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drawings/drawing4.xml" ContentType="application/vnd.openxmlformats-officedocument.drawing+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omments5.xml" ContentType="application/vnd.openxmlformats-officedocument.spreadsheetml.comments+xml"/>
  <Override PartName="/xl/drawings/drawing9.xml" ContentType="application/vnd.openxmlformats-officedocument.drawing+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omments6.xml" ContentType="application/vnd.openxmlformats-officedocument.spreadsheetml.comments+xml"/>
  <Override PartName="/xl/drawings/drawing10.xml" ContentType="application/vnd.openxmlformats-officedocument.drawing+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drawings/drawing11.xml" ContentType="application/vnd.openxmlformats-officedocument.drawing+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omments7.xml" ContentType="application/vnd.openxmlformats-officedocument.spreadsheetml.comments+xml"/>
  <Override PartName="/xl/comments8.xml" ContentType="application/vnd.openxmlformats-officedocument.spreadsheetml.comments+xml"/>
  <Override PartName="/xl/drawings/drawing12.xml" ContentType="application/vnd.openxmlformats-officedocument.drawing+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drawings/drawing13.xml" ContentType="application/vnd.openxmlformats-officedocument.drawing+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codeName="ThisWorkbook"/>
  <workbookProtection workbookAlgorithmName="SHA-512" workbookHashValue="GwlvbiZbOxlWeOsoee+zF0u9nQRrj8Z+c2b1cB+RYpsUC431NCFil0D7TDaAzbBoakRfUGFQRglZfZ5xHwfZaw==" workbookSaltValue="F2TNT8E7VNEo+IvNdCkL5w==" workbookSpinCount="100000" lockStructure="1"/>
  <bookViews>
    <workbookView xWindow="0" yWindow="0" windowWidth="28800" windowHeight="12390" tabRatio="934" firstSheet="6" activeTab="7"/>
  </bookViews>
  <sheets>
    <sheet name="【見本】記入シート1" sheetId="43" r:id="rId1"/>
    <sheet name="【見本】記入シート2" sheetId="48" r:id="rId2"/>
    <sheet name="【見本】【JCB用記入シート】業態シート" sheetId="76" r:id="rId3"/>
    <sheet name="【見本】【楽天Edy用記入シート】業種シート" sheetId="53" r:id="rId4"/>
    <sheet name="【見本】【楽天Edy用記入シート】チェックシート" sheetId="54" r:id="rId5"/>
    <sheet name="【見本】【iD・WAON用記入シート】業種シート" sheetId="64" r:id="rId6"/>
    <sheet name="サービス申込みに必要な添付書類" sheetId="72" r:id="rId7"/>
    <sheet name="記入シート1" sheetId="11" r:id="rId8"/>
    <sheet name="記入シート2" sheetId="5" r:id="rId9"/>
    <sheet name="【JCB用記入シート】業態シート" sheetId="58" r:id="rId10"/>
    <sheet name="【楽天Edy用記入シート】業種シート" sheetId="29" r:id="rId11"/>
    <sheet name="【楽天Edy用記入シート】チェックシート" sheetId="32" r:id="rId12"/>
    <sheet name="【iD・WAON用記入シート】業種シート" sheetId="63" r:id="rId13"/>
    <sheet name="【追加アプリ用記入シート】チェックシート" sheetId="68" r:id="rId14"/>
  </sheets>
  <externalReferences>
    <externalReference r:id="rId15"/>
    <externalReference r:id="rId16"/>
  </externalReferences>
  <definedNames>
    <definedName name="_xlnm._FilterDatabase" localSheetId="10" hidden="1">【楽天Edy用記入シート】業種シート!$A$7:$E$117</definedName>
    <definedName name="_xlnm._FilterDatabase" localSheetId="3" hidden="1">【見本】【楽天Edy用記入シート】業種シート!$A$7:$E$117</definedName>
    <definedName name="_xlnm._FilterDatabase" localSheetId="0" hidden="1">【見本】記入シート1!#REF!</definedName>
    <definedName name="_xlnm._FilterDatabase" localSheetId="1" hidden="1">【見本】記入シート2!#REF!</definedName>
    <definedName name="_xlnm._FilterDatabase" localSheetId="7" hidden="1">記入シート1!#REF!</definedName>
    <definedName name="_xlnm._FilterDatabase" localSheetId="8" hidden="1">記入シート2!#REF!</definedName>
    <definedName name="■時間" localSheetId="2">[1]記入シート1!$BG$2:$BG$25</definedName>
    <definedName name="■時間" localSheetId="0">【見本】記入シート1!$BG$2:$BG$25</definedName>
    <definedName name="■時間">記入シート1!$BG$2:$BG$25</definedName>
    <definedName name="■都道府県" localSheetId="12">[2]記入シート1!$BO$2:$BO$49</definedName>
    <definedName name="■都道府県" localSheetId="9">[2]記入シート1!$BO$2:$BO$49</definedName>
    <definedName name="■都道府県" localSheetId="5">[2]記入シート1!$BO$2:$BO$49</definedName>
    <definedName name="■都道府県" localSheetId="2">[2]記入シート1!$BO$2:$BO$49</definedName>
    <definedName name="■都道府県">記入シート1!$BO$2:$BO$49</definedName>
    <definedName name="■販売形態" localSheetId="12">[2]記入シート1!$BL$2:$BL$9</definedName>
    <definedName name="■販売形態" localSheetId="9">[2]記入シート1!$BL$2:$BL$9</definedName>
    <definedName name="■販売形態" localSheetId="5">[2]記入シート1!$BL$2:$BL$9</definedName>
    <definedName name="■販売形態" localSheetId="2">[2]記入シート1!$BL$2:$BL$9</definedName>
    <definedName name="■販売形態" localSheetId="0">【見本】記入シート1!$BL$2:$BL$9</definedName>
    <definedName name="■販売形態">記入シート1!$BL$2:$BL$9</definedName>
    <definedName name="■分" localSheetId="12">[2]記入シート1!$BH$2:$BH$7</definedName>
    <definedName name="■分" localSheetId="9">[2]記入シート1!$BH$2:$BH$7</definedName>
    <definedName name="■分" localSheetId="5">[2]記入シート1!$BH$2:$BH$7</definedName>
    <definedName name="■分" localSheetId="2">[2]記入シート1!$BH$2:$BH$7</definedName>
    <definedName name="■分" localSheetId="0">【見本】記入シート1!$BH$2:$BH$7</definedName>
    <definedName name="■分">記入シート1!$BH$2:$BH$7</definedName>
    <definedName name="auPAY業種" localSheetId="1">記入シート2!$AX$339:$AX$361</definedName>
    <definedName name="auPAY業種" localSheetId="8">記入シート2!$AX$339:$AX$361</definedName>
    <definedName name="d払い業態" localSheetId="12">[2]記入シート2!$AX$203:$AX$233</definedName>
    <definedName name="d払い業態" localSheetId="9">[2]記入シート2!$AX$203:$AX$233</definedName>
    <definedName name="d払い業態" localSheetId="5">[2]記入シート2!$AX$203:$AX$233</definedName>
    <definedName name="d払い業態" localSheetId="2">[2]記入シート2!$AX$203:$AX$233</definedName>
    <definedName name="d払い業態" localSheetId="1">【見本】記入シート2!$AX$203:$AX$233</definedName>
    <definedName name="d払い業態">記入シート2!$AX$203:$AX$233</definedName>
    <definedName name="JCoin0000" localSheetId="8">記入シート2!$BN$523</definedName>
    <definedName name="JCoin1000" localSheetId="8">記入シート2!$AY$523:$AY$572</definedName>
    <definedName name="JCoin1100" localSheetId="8">記入シート2!$AZ$523:$AZ$531</definedName>
    <definedName name="JCoin1200" localSheetId="8">記入シート2!$BA$523:$BA$557</definedName>
    <definedName name="JCoin1300" localSheetId="8">記入シート2!$BB$523:$BB$545</definedName>
    <definedName name="JCoin1400" localSheetId="8">記入シート2!$BC$523:$BC$531</definedName>
    <definedName name="JCoin1500" localSheetId="8">記入シート2!$BD$523:$BD$528</definedName>
    <definedName name="JCoin1600" localSheetId="8">記入シート2!$BE$523:$BE$533</definedName>
    <definedName name="JCoin1700" localSheetId="8">記入シート2!$BF$523:$BF$545</definedName>
    <definedName name="JCoin1800" localSheetId="8">記入シート2!$BG$523:$BG$547</definedName>
    <definedName name="JCoin1900" localSheetId="8">記入シート2!$BH$523:$BH$551</definedName>
    <definedName name="JCoin2000" localSheetId="8">記入シート2!$BI$523:$BI$567</definedName>
    <definedName name="JCoin2100" localSheetId="8">記入シート2!$BJ$523:$BJ$535</definedName>
    <definedName name="JCoin2200" localSheetId="8">記入シート2!$BK$523:$BK$534</definedName>
    <definedName name="JCoin2300" localSheetId="8">記入シート2!$BL$523:$BL$536</definedName>
    <definedName name="JCoin2400" localSheetId="8">記入シート2!$BM$523:$BM$528</definedName>
    <definedName name="JCoin業種" localSheetId="1">記入シート2!$AX$523:$AX$538</definedName>
    <definedName name="JCoin業種" localSheetId="8">記入シート2!$AX$523:$AX$538</definedName>
    <definedName name="JKOPAY0000" localSheetId="8">記入シート2!$BE$365</definedName>
    <definedName name="JKOPAY1000" localSheetId="8">記入シート2!$AY$365:$AY$390</definedName>
    <definedName name="JKOPAY2000" localSheetId="8">記入シート2!$AZ$365:$AZ$371</definedName>
    <definedName name="JKOPAY3000" localSheetId="8">記入シート2!$BA$365:$BA$369</definedName>
    <definedName name="JKOPAY4000" localSheetId="8">記入シート2!$BB$365:$BB$368</definedName>
    <definedName name="JKOPAY5000" localSheetId="8">記入シート2!$BC$365:$BC$373</definedName>
    <definedName name="JKOPAY6000" localSheetId="8">記入シート2!$BD$365:$BD$367</definedName>
    <definedName name="JKOPAY商品1" localSheetId="1">記入シート2!$AX$365:$AX$371</definedName>
    <definedName name="JKOPAY商品1" localSheetId="8">記入シート2!$AX$365:$AX$371</definedName>
    <definedName name="LinePayショッピング・小売" localSheetId="8">記入シート2!$AZ$237:$AZ$270</definedName>
    <definedName name="LinePayスポーツ" localSheetId="8">記入シート2!$BB$237:$BB$241</definedName>
    <definedName name="LinePayスポーツチーム・団体" localSheetId="8">記入シート2!$BQ$237:$BQ$238</definedName>
    <definedName name="LinePayファッション" localSheetId="8">記入シート2!$BA$237:$BA$242</definedName>
    <definedName name="LinePayペット" localSheetId="8">記入シート2!$BI$237:$BI$243</definedName>
    <definedName name="LinePay医療機関・診療所" localSheetId="8">記入シート2!$BF$237:$BF$245</definedName>
    <definedName name="LinePay飲食" localSheetId="8">記入シート2!$AY$237:$AY$239</definedName>
    <definedName name="LinePay冠婚葬祭" localSheetId="8">記入シート2!$BT$237:$BT$242</definedName>
    <definedName name="LinePay教育・習い事" localSheetId="8">記入シート2!$BC$237:$BC$244</definedName>
    <definedName name="LinePay業種" localSheetId="8">記入シート2!$AX$237:$AX$262</definedName>
    <definedName name="LinePay銀行・保険・金融" localSheetId="8">記入シート2!$BN$237:$BN$244</definedName>
    <definedName name="LinePay建設・土木" localSheetId="8">記入シート2!$BW$237:$BW$239</definedName>
    <definedName name="LinePay交通機関・サービス" localSheetId="8">記入シート2!$BM$237:$BM$244</definedName>
    <definedName name="LinePay公共機関・施設" localSheetId="8">記入シート2!$BR$237:$BR$238</definedName>
    <definedName name="LinePay寺院・神社・教会" localSheetId="8">記入シート2!$BO$237:$BO$239</definedName>
    <definedName name="LinePay自動車・バイク" localSheetId="8">記入シート2!$BL$237:$BL$249</definedName>
    <definedName name="LinePay宿泊施設" localSheetId="8">記入シート2!$BJ$237:$BJ$239</definedName>
    <definedName name="LinePay生活関連サービス" localSheetId="8">記入シート2!$BH$237:$BH$254</definedName>
    <definedName name="LinePay専門サービス" localSheetId="8">記入シート2!$BG$237:$BG$253</definedName>
    <definedName name="LinePay選択してください" localSheetId="8">記入シート2!$BX$237</definedName>
    <definedName name="LinePay団体" localSheetId="8">記入シート2!$BP$237:$BP$238</definedName>
    <definedName name="LinePay通信・情報・メディア" localSheetId="8">記入シート2!$BV$237:$BV$243</definedName>
    <definedName name="LinePay電気・ガス・エネルギー" localSheetId="8">記入シート2!$BU$237:$BU$241</definedName>
    <definedName name="LinePay美容・サロン" localSheetId="8">記入シート2!$BE$237:$BE$242</definedName>
    <definedName name="LinePay福祉・介護" localSheetId="8">記入シート2!$BS$237:$BS$240</definedName>
    <definedName name="LinePay保育・学校" localSheetId="8">記入シート2!$BD$237:$BD$245</definedName>
    <definedName name="LinePay旅行・エンタメ・レジャー" localSheetId="8">記入シート2!$BK$237:$BK$263</definedName>
    <definedName name="Origamiカテゴリー" localSheetId="1">【見本】記入シート2!$AX$280:$AX$293</definedName>
    <definedName name="Origamiカテゴリー" localSheetId="8">記入シート2!$AX$280:$AX$293</definedName>
    <definedName name="Origamiコンビニ・スーパー・食料飲料品店" localSheetId="1">【見本】記入シート2!$BB$280:$BB$285</definedName>
    <definedName name="Origamiコンビニ・スーパー・食料飲料品店" localSheetId="8">記入シート2!$BB$280:$BB$285</definedName>
    <definedName name="Origamiファッション" localSheetId="1">【見本】記入シート2!$AY$280:$AY$289</definedName>
    <definedName name="Origamiファッション" localSheetId="8">記入シート2!$AY$280:$AY$289</definedName>
    <definedName name="Origamiレジャー・エンターテイメント・フィットネス" localSheetId="1">【見本】記入シート2!$BE$280:$BE$294</definedName>
    <definedName name="Origamiレジャー・エンターテイメント・フィットネス" localSheetId="8">記入シート2!$BE$280:$BE$294</definedName>
    <definedName name="Origami医療" localSheetId="1">【見本】記入シート2!$BI$280:$BI$290</definedName>
    <definedName name="Origami医療" localSheetId="8">記入シート2!$BI$280:$BI$290</definedName>
    <definedName name="Origami飲食" localSheetId="1">【見本】記入シート2!$AZ$280:$AZ$297</definedName>
    <definedName name="Origami飲食" localSheetId="8">記入シート2!$AZ$280:$AZ$297</definedName>
    <definedName name="Origami観光・宿泊" localSheetId="1">【見本】記入シート2!$BF$280:$BF$288</definedName>
    <definedName name="Origami観光・宿泊" localSheetId="8">記入シート2!$BF$280:$BF$288</definedName>
    <definedName name="Origami教育・習い事" localSheetId="1">【見本】記入シート2!$BJ$280:$BJ$293</definedName>
    <definedName name="Origami教育・習い事" localSheetId="8">記入シート2!$BJ$280:$BJ$293</definedName>
    <definedName name="Origami交通・運送・運輸関連サービス" localSheetId="1">【見本】記入シート2!$BD$280:$BD$291</definedName>
    <definedName name="Origami交通・運送・運輸関連サービス" localSheetId="8">記入シート2!$BD$280:$BD$291</definedName>
    <definedName name="Origami小売" localSheetId="1">【見本】記入シート2!$BG$280:$BG$305</definedName>
    <definedName name="Origami小売" localSheetId="8">記入シート2!$BG$280:$BG$305</definedName>
    <definedName name="Origami専門サービス" localSheetId="1">【見本】記入シート2!$BH$280:$BH$312</definedName>
    <definedName name="Origami専門サービス" localSheetId="8">記入シート2!$BH$280:$BH$312</definedName>
    <definedName name="Origami選択してください" localSheetId="1">【見本】記入シート2!$BL$280</definedName>
    <definedName name="Origami選択してください" localSheetId="8">記入シート2!$BL$280</definedName>
    <definedName name="Origami非営利・団体" localSheetId="1">【見本】記入シート2!$BK$280:$BK$285</definedName>
    <definedName name="Origami非営利・団体" localSheetId="8">記入シート2!$BK$280:$BK$285</definedName>
    <definedName name="Origami美容" localSheetId="1">【見本】記入シート2!$BA$280:$BA$290</definedName>
    <definedName name="Origami美容" localSheetId="8">記入シート2!$BA$280:$BA$290</definedName>
    <definedName name="Origami百貨店・量販店・専門店" localSheetId="1">【見本】記入シート2!$BC$280:$BC$289</definedName>
    <definedName name="Origami百貨店・量販店・専門店" localSheetId="8">記入シート2!$BC$280:$BC$289</definedName>
    <definedName name="PayPayサービス" localSheetId="1">【見本】記入シート2!$BD$177:$BD$208</definedName>
    <definedName name="PayPayサービス" localSheetId="8">記入シート2!$BD$177:$BD$208</definedName>
    <definedName name="PayPayスクール" localSheetId="1">【見本】記入シート2!$BC$177:$BC$182</definedName>
    <definedName name="PayPayスクール" localSheetId="8">記入シート2!$BC$177:$BC$182</definedName>
    <definedName name="PayPayビューティ・リラクゼーション" localSheetId="1">【見本】記入シート2!$BA$177:$BA$187</definedName>
    <definedName name="PayPayビューティ・リラクゼーション" localSheetId="8">記入シート2!$BA$177:$BA$187</definedName>
    <definedName name="PayPay飲食" localSheetId="1">【見本】記入シート2!$AZ$177:$AZ$180</definedName>
    <definedName name="PayPay飲食" localSheetId="8">記入シート2!$AZ$177:$AZ$180</definedName>
    <definedName name="PayPay学校・教育機関" localSheetId="1">【見本】記入シート2!$BH$177:$BH$185</definedName>
    <definedName name="PayPay学校・教育機関" localSheetId="8">記入シート2!$BH$177:$BH$185</definedName>
    <definedName name="PayPay娯楽" localSheetId="1">【見本】記入シート2!$BE$177:$BE$180</definedName>
    <definedName name="PayPay娯楽" localSheetId="8">記入シート2!$BE$177:$BE$180</definedName>
    <definedName name="PayPay交通" localSheetId="1">【見本】記入シート2!$BF$177:$BF$186</definedName>
    <definedName name="PayPay交通" localSheetId="8">記入シート2!$BF$177:$BF$186</definedName>
    <definedName name="PayPay行政・公共サービス" localSheetId="1">【見本】記入シート2!$BG$177:$BG$181</definedName>
    <definedName name="PayPay行政・公共サービス" localSheetId="8">記入シート2!$BG$177:$BG$181</definedName>
    <definedName name="PayPay商品1" localSheetId="1">【見本】記入シート2!$AX$177:$AX$187</definedName>
    <definedName name="PayPay商品1" localSheetId="8">記入シート2!$AX$177:$AX$187</definedName>
    <definedName name="PayPay小売" localSheetId="1">【見本】記入シート2!$AY$177:$AY$226</definedName>
    <definedName name="PayPay小売" localSheetId="8">記入シート2!$AY$177:$AY$226</definedName>
    <definedName name="PayPay選択してください" localSheetId="1">【見本】記入シート2!$BI$177</definedName>
    <definedName name="PayPay選択してください" localSheetId="8">記入シート2!$BI$177</definedName>
    <definedName name="PayPay病院" localSheetId="1">【見本】記入シート2!$BB$177:$BB$180</definedName>
    <definedName name="PayPay病院" localSheetId="8">記入シート2!$BB$177:$BB$180</definedName>
    <definedName name="PCIDSS準拠状況" localSheetId="12">[2]記入シート1!$BN$2:$BN$5</definedName>
    <definedName name="PCIDSS準拠状況" localSheetId="9">[2]記入シート1!$BN$2:$BN$5</definedName>
    <definedName name="PCIDSS準拠状況" localSheetId="5">[2]記入シート1!$BN$2:$BN$5</definedName>
    <definedName name="PCIDSS準拠状況" localSheetId="2">[2]記入シート1!$BN$2:$BN$5</definedName>
    <definedName name="PCIDSS準拠状況" localSheetId="0">【見本】記入シート1!$BN$2:$BN$5</definedName>
    <definedName name="PCIDSS準拠状況">記入シート1!$BN$2:$BN$5</definedName>
    <definedName name="_xlnm.Print_Area" localSheetId="11">【楽天Edy用記入シート】チェックシート!$A$1:$F$50</definedName>
    <definedName name="_xlnm.Print_Area" localSheetId="4">【見本】【楽天Edy用記入シート】チェックシート!$A$1:$F$50</definedName>
    <definedName name="_xlnm.Print_Area" localSheetId="0">【見本】記入シート1!$B$2:$AU$143</definedName>
    <definedName name="_xlnm.Print_Area" localSheetId="1">【見本】記入シート2!$B$2:$AU$188</definedName>
    <definedName name="_xlnm.Print_Area" localSheetId="13">【追加アプリ用記入シート】チェックシート!$A$1:$G$17</definedName>
    <definedName name="_xlnm.Print_Area" localSheetId="7">記入シート1!$B$2:$AU$143</definedName>
    <definedName name="_xlnm.Print_Area" localSheetId="8">記入シート2!$B$2:$AU$199</definedName>
    <definedName name="WeChatPayビジネスカテゴリ" localSheetId="1">【見本】記入シート2!$AZ$203:$AZ$221</definedName>
    <definedName name="WeChatPayビジネスカテゴリ" localSheetId="8">記入シート2!$AZ$203:$AZ$221</definedName>
    <definedName name="カード情報保持状況" localSheetId="12">[2]記入シート1!$BM$2:$BM$5</definedName>
    <definedName name="カード情報保持状況" localSheetId="9">[2]記入シート1!$BM$2:$BM$5</definedName>
    <definedName name="カード情報保持状況" localSheetId="5">[2]記入シート1!$BM$2:$BM$5</definedName>
    <definedName name="カード情報保持状況" localSheetId="2">[2]記入シート1!$BM$2:$BM$5</definedName>
    <definedName name="カード情報保持状況" localSheetId="0">【見本】記入シート1!$BM$2:$BM$5</definedName>
    <definedName name="カード情報保持状況">記入シート1!$BM$2:$BM$5</definedName>
    <definedName name="メルペイエンタメ" localSheetId="8">記入シート2!$BO$316:$BO$322</definedName>
    <definedName name="メルペイオンラインサービス" localSheetId="8">記入シート2!$BQ$316:$BQ$320</definedName>
    <definedName name="メルペイその他" localSheetId="8">記入シート2!$BP$316:$BP$319</definedName>
    <definedName name="メルペイファッション" localSheetId="8">記入シート2!$BE$316:$BE$320</definedName>
    <definedName name="メルペイホビー" localSheetId="8">記入シート2!$BC$316:$BC$324</definedName>
    <definedName name="メルペイ医療・介護" localSheetId="8">記入シート2!$BL$316:$BL$325</definedName>
    <definedName name="メルペイ飲食" localSheetId="8">記入シート2!$AY$316:$AY$320</definedName>
    <definedName name="メルペイ学習・教育・保育" localSheetId="8">記入シート2!$BH$316:$BH$324</definedName>
    <definedName name="メルペイ冠婚葬祭" localSheetId="8">記入シート2!$BN$316:$BN$320</definedName>
    <definedName name="メルペイ業種" localSheetId="1">記入シート2!$AX$316:$AX$336</definedName>
    <definedName name="メルペイ業種" localSheetId="8">記入シート2!$AX$316:$AX$336</definedName>
    <definedName name="メルペイ交通・輸送" localSheetId="8">記入シート2!$BJ$316:$BJ$321</definedName>
    <definedName name="メルペイ公共事業・通信" localSheetId="8">記入シート2!$BK$316:$BK$318</definedName>
    <definedName name="メルペイ自動車関連" localSheetId="8">記入シート2!$BI$316:$BI$321</definedName>
    <definedName name="メルペイ宿泊・娯楽・スポーツ等施設" localSheetId="8">記入シート2!$BG$316:$BG$323</definedName>
    <definedName name="メルペイ小売総合" localSheetId="8">記入シート2!$AZ$316:$AZ$322</definedName>
    <definedName name="メルペイ食料品" localSheetId="8">記入シート2!$BA$316:$BA$318</definedName>
    <definedName name="メルペイ専門サービス" localSheetId="8">記入シート2!$BM$316:$BM$325</definedName>
    <definedName name="メルペイ選択してください" localSheetId="8">記入シート2!$BS$316</definedName>
    <definedName name="メルペイ電子機器" localSheetId="8">記入シート2!$BB$316:$BB$319</definedName>
    <definedName name="メルペイ美容" localSheetId="8">記入シート2!$BF$316:$BF$322</definedName>
    <definedName name="メルペイ暮らし" localSheetId="8">記入シート2!$BD$316:$BD$328</definedName>
    <definedName name="メルペイ無人端末" localSheetId="8">記入シート2!$BR$316:$BR$318</definedName>
    <definedName name="楽天ペイ0000" localSheetId="8">記入シート2!$BP$394</definedName>
    <definedName name="楽天ペイ1000" localSheetId="8">記入シート2!$AY$394:$AY$397</definedName>
    <definedName name="楽天ペイ1100" localSheetId="8">記入シート2!$AZ$394:$AZ$396</definedName>
    <definedName name="楽天ペイ1200" localSheetId="8">記入シート2!$BA$394:$BA$408</definedName>
    <definedName name="楽天ペイ1300" localSheetId="8">記入シート2!$BB$394:$BB$399</definedName>
    <definedName name="楽天ペイ1400" localSheetId="8">記入シート2!$BC$394:$BC$396</definedName>
    <definedName name="楽天ペイ1500" localSheetId="8">記入シート2!$BD$394:$BD$402</definedName>
    <definedName name="楽天ペイ1600" localSheetId="8">記入シート2!$BE$394:$BE$401</definedName>
    <definedName name="楽天ペイ1700" localSheetId="8">記入シート2!$BF$394:$BF$397</definedName>
    <definedName name="楽天ペイ1800" localSheetId="8">記入シート2!$BG$394:$BG$405</definedName>
    <definedName name="楽天ペイ1900" localSheetId="8">記入シート2!$BH$394:$BH$404</definedName>
    <definedName name="楽天ペイ2000" localSheetId="8">記入シート2!$BI$394:$BI$399</definedName>
    <definedName name="楽天ペイ2100" localSheetId="8">記入シート2!$BJ$394:$BJ$398</definedName>
    <definedName name="楽天ペイ2200" localSheetId="8">記入シート2!$BK$394:$BK$400</definedName>
    <definedName name="楽天ペイ2300" localSheetId="8">記入シート2!$BL$394:$BL$403</definedName>
    <definedName name="楽天ペイ2400" localSheetId="8">記入シート2!$BM$394:$BM$400</definedName>
    <definedName name="楽天ペイ2500" localSheetId="8">記入シート2!$BN$394:$BN$398</definedName>
    <definedName name="楽天ペイ2600" localSheetId="8">記入シート2!$BO$394:$BO$400</definedName>
    <definedName name="楽天ペイ大項目" localSheetId="8">記入シート2!$AX$394:$AX$411</definedName>
    <definedName name="都道府県" localSheetId="0">【見本】記入シート1!$BO$2:$BO$49</definedName>
    <definedName name="都道府県">記入シート1!$BO$2:$BO$49</definedName>
  </definedNames>
  <calcPr calcId="145621"/>
</workbook>
</file>

<file path=xl/calcChain.xml><?xml version="1.0" encoding="utf-8"?>
<calcChain xmlns="http://schemas.openxmlformats.org/spreadsheetml/2006/main">
  <c r="B8" i="68" l="1"/>
  <c r="B10" i="68" s="1"/>
  <c r="B12" i="68" s="1"/>
  <c r="B14" i="68" s="1"/>
  <c r="B16" i="68" s="1"/>
  <c r="B18" i="68" s="1"/>
  <c r="B20" i="68" s="1"/>
  <c r="B22" i="68" s="1"/>
  <c r="B28" i="68" s="1"/>
  <c r="B30" i="68" s="1"/>
  <c r="B32" i="68" s="1"/>
  <c r="B34" i="68" s="1"/>
  <c r="J34" i="68"/>
  <c r="J32" i="68"/>
  <c r="DN168" i="5" l="1"/>
  <c r="DN167" i="5"/>
  <c r="DN160" i="5"/>
  <c r="DN191" i="5" l="1"/>
  <c r="DN188" i="5"/>
  <c r="DN187" i="5"/>
  <c r="DN186" i="5"/>
  <c r="DN184" i="5"/>
  <c r="DN190" i="5"/>
  <c r="DN189" i="5"/>
  <c r="DN185" i="5"/>
  <c r="DK191" i="5"/>
  <c r="DK190" i="5"/>
  <c r="DK189" i="5"/>
  <c r="DK188" i="5"/>
  <c r="DK187" i="5"/>
  <c r="DK186" i="5"/>
  <c r="DK185" i="5"/>
  <c r="DK184" i="5"/>
  <c r="DB101" i="5"/>
  <c r="CT24" i="5"/>
  <c r="BJ52" i="5"/>
  <c r="BI52" i="5"/>
  <c r="BB52" i="5"/>
  <c r="BA52" i="5"/>
  <c r="AY52" i="5"/>
  <c r="AW52" i="5"/>
  <c r="AW44" i="5"/>
  <c r="AK44" i="5"/>
  <c r="AZ52" i="5" l="1"/>
  <c r="BK52" i="5" l="1"/>
  <c r="BA37" i="5"/>
  <c r="BA35" i="5"/>
  <c r="BA33" i="5"/>
  <c r="BD37" i="5" l="1"/>
  <c r="BD35" i="5"/>
  <c r="BD33" i="5"/>
  <c r="J30" i="68" l="1"/>
  <c r="J28" i="68"/>
  <c r="DN178" i="5"/>
  <c r="DN179" i="5"/>
  <c r="DN180" i="5"/>
  <c r="DN181" i="5"/>
  <c r="DN183" i="5"/>
  <c r="DN182" i="5"/>
  <c r="DK183" i="5"/>
  <c r="DK182" i="5"/>
  <c r="DK181" i="5"/>
  <c r="DK180" i="5"/>
  <c r="DK179" i="5"/>
  <c r="DK178" i="5"/>
  <c r="AF25" i="5"/>
  <c r="S25" i="5"/>
  <c r="G4" i="76" l="1"/>
  <c r="C4" i="76"/>
  <c r="J26" i="68" l="1"/>
  <c r="CP179" i="5" l="1"/>
  <c r="AW98" i="11"/>
  <c r="J24" i="68" l="1"/>
  <c r="AV10" i="5" l="1"/>
  <c r="J22" i="68" l="1"/>
  <c r="J20" i="68" l="1"/>
  <c r="J18" i="68"/>
  <c r="AV7" i="5" l="1"/>
  <c r="J16" i="68" l="1"/>
  <c r="K16" i="68" l="1"/>
  <c r="K32" i="68"/>
  <c r="K34" i="68"/>
  <c r="K28" i="68"/>
  <c r="K30" i="68"/>
  <c r="K26" i="68"/>
  <c r="K24" i="68"/>
  <c r="K22" i="68"/>
  <c r="K18" i="68"/>
  <c r="K20" i="68"/>
  <c r="J14" i="68"/>
  <c r="J12" i="68"/>
  <c r="DN177" i="5" l="1"/>
  <c r="DN176" i="5"/>
  <c r="DN175" i="5"/>
  <c r="DN174" i="5"/>
  <c r="DN172" i="5"/>
  <c r="DN171" i="5"/>
  <c r="DN170" i="5"/>
  <c r="DN166" i="5"/>
  <c r="DN165" i="5"/>
  <c r="DN162" i="5"/>
  <c r="DN135" i="5"/>
  <c r="DN161" i="5" s="1"/>
  <c r="DK170" i="5"/>
  <c r="DK171" i="5"/>
  <c r="DK172" i="5"/>
  <c r="DK173" i="5"/>
  <c r="DK174" i="5"/>
  <c r="DK175" i="5"/>
  <c r="DK176" i="5"/>
  <c r="DK177" i="5"/>
  <c r="DK160" i="5"/>
  <c r="DK161" i="5"/>
  <c r="DK162" i="5"/>
  <c r="DK163" i="5"/>
  <c r="DK164" i="5"/>
  <c r="DK165" i="5"/>
  <c r="DK166" i="5"/>
  <c r="DK167" i="5"/>
  <c r="DK168" i="5"/>
  <c r="DK169" i="5"/>
  <c r="DN169" i="5" l="1"/>
  <c r="DN163" i="5"/>
  <c r="DN164" i="5"/>
  <c r="D25" i="5" l="1"/>
  <c r="L10" i="5"/>
  <c r="BA64" i="5" l="1"/>
  <c r="BA80" i="5"/>
  <c r="BA78" i="5"/>
  <c r="BA75" i="5"/>
  <c r="BA71" i="5"/>
  <c r="BA67" i="5"/>
  <c r="BA65" i="5"/>
  <c r="BA60" i="5"/>
  <c r="BA50" i="5"/>
  <c r="BA47" i="5"/>
  <c r="BA45" i="5"/>
  <c r="BA44" i="5"/>
  <c r="DD11" i="5" l="1"/>
  <c r="DD12" i="5"/>
  <c r="DB14" i="5"/>
  <c r="DB13" i="5"/>
  <c r="DB12" i="5"/>
  <c r="DB11" i="5"/>
  <c r="DN159" i="5"/>
  <c r="DK159" i="5"/>
  <c r="DK158" i="5" l="1"/>
  <c r="DN157" i="5"/>
  <c r="DN156" i="5"/>
  <c r="DN153" i="5"/>
  <c r="DK153" i="5"/>
  <c r="DK154" i="5"/>
  <c r="DK155" i="5"/>
  <c r="DK156" i="5"/>
  <c r="DK157" i="5"/>
  <c r="AY79" i="5" l="1"/>
  <c r="AX79" i="5"/>
  <c r="DN155" i="5" s="1"/>
  <c r="AW79" i="5"/>
  <c r="AV79" i="5"/>
  <c r="AV6" i="11"/>
  <c r="BA575" i="5"/>
  <c r="BB79" i="5" l="1"/>
  <c r="AZ79" i="5"/>
  <c r="DN154" i="5" s="1"/>
  <c r="BJ80" i="5"/>
  <c r="BI80" i="5"/>
  <c r="BD80" i="5"/>
  <c r="AY80" i="5"/>
  <c r="AW80" i="5"/>
  <c r="BP80" i="5" s="1"/>
  <c r="BM80" i="5" l="1"/>
  <c r="BN80" i="5"/>
  <c r="BE80" i="5"/>
  <c r="BF80" i="5" s="1"/>
  <c r="BO80" i="5"/>
  <c r="AZ80" i="5"/>
  <c r="BK80" i="5" s="1"/>
  <c r="BL80" i="5"/>
  <c r="C195" i="48" l="1"/>
  <c r="DD61" i="5" l="1"/>
  <c r="DN68" i="5"/>
  <c r="DB89" i="5"/>
  <c r="DD100" i="5"/>
  <c r="DD99" i="5"/>
  <c r="DB100" i="5"/>
  <c r="CT23" i="5"/>
  <c r="J10" i="68" l="1"/>
  <c r="J8" i="68"/>
  <c r="K8" i="68" s="1"/>
  <c r="J6" i="68"/>
  <c r="K10" i="68" l="1"/>
  <c r="K14" i="68"/>
  <c r="K12" i="68"/>
  <c r="J4" i="68"/>
  <c r="AV174" i="5" s="1"/>
  <c r="K6" i="68"/>
  <c r="CP83" i="5"/>
  <c r="AA145" i="5" l="1"/>
  <c r="BJ19" i="5"/>
  <c r="BJ35" i="5"/>
  <c r="BJ34" i="5"/>
  <c r="BJ33" i="5"/>
  <c r="BJ32" i="5"/>
  <c r="BJ31" i="5"/>
  <c r="BJ30" i="5"/>
  <c r="BJ29" i="5"/>
  <c r="BJ28" i="5"/>
  <c r="BJ27" i="5"/>
  <c r="BJ36" i="5"/>
  <c r="DN3" i="5" l="1"/>
  <c r="BC19" i="5" l="1"/>
  <c r="BD23" i="5"/>
  <c r="BD18" i="5"/>
  <c r="BD17" i="5"/>
  <c r="BD16" i="5"/>
  <c r="BD15" i="5"/>
  <c r="BF19" i="5" l="1"/>
  <c r="AV28" i="5"/>
  <c r="AV117" i="5"/>
  <c r="AV115" i="5"/>
  <c r="AV114" i="5"/>
  <c r="J145" i="48" l="1"/>
  <c r="AD131" i="48"/>
  <c r="AD130" i="48"/>
  <c r="AD129" i="48"/>
  <c r="AD128" i="48"/>
  <c r="AD127" i="48"/>
  <c r="AD126" i="48"/>
  <c r="Z131" i="48"/>
  <c r="Z130" i="48"/>
  <c r="Z129" i="48"/>
  <c r="Z128" i="48"/>
  <c r="Z127" i="48"/>
  <c r="Z126" i="48"/>
  <c r="V131" i="48"/>
  <c r="AE131" i="48" s="1"/>
  <c r="J126" i="48"/>
  <c r="J131" i="48"/>
  <c r="G4" i="64"/>
  <c r="C4" i="64"/>
  <c r="DN152" i="5"/>
  <c r="DN151" i="5"/>
  <c r="DN150" i="5"/>
  <c r="DN149" i="5"/>
  <c r="DN148" i="5"/>
  <c r="DN147" i="5"/>
  <c r="DN146" i="5"/>
  <c r="DN145" i="5"/>
  <c r="DK149" i="5"/>
  <c r="DK150" i="5"/>
  <c r="DK151" i="5"/>
  <c r="DK152" i="5"/>
  <c r="DK148" i="5"/>
  <c r="DK147" i="5"/>
  <c r="DK146" i="5"/>
  <c r="DK145" i="5"/>
  <c r="DN142" i="5"/>
  <c r="DN143" i="5"/>
  <c r="DN144" i="5"/>
  <c r="DN141" i="5"/>
  <c r="DK144" i="5"/>
  <c r="DK143" i="5"/>
  <c r="DK142" i="5"/>
  <c r="DK141" i="5"/>
  <c r="DN17" i="5"/>
  <c r="DN12" i="5"/>
  <c r="DN4" i="5"/>
  <c r="AW84" i="5" l="1"/>
  <c r="DD9" i="5"/>
  <c r="DD10" i="5"/>
  <c r="DD8" i="5"/>
  <c r="DD7" i="5" l="1"/>
  <c r="AV83" i="5" l="1"/>
  <c r="DN158" i="5" s="1"/>
  <c r="AA128" i="5" l="1"/>
  <c r="AV126" i="5"/>
  <c r="AE131" i="5"/>
  <c r="AE126" i="5"/>
  <c r="DD58" i="5" l="1"/>
  <c r="DD59" i="5"/>
  <c r="DD60" i="5"/>
  <c r="DD62" i="5"/>
  <c r="DD63" i="5"/>
  <c r="DD64" i="5"/>
  <c r="DD65" i="5"/>
  <c r="DD66" i="5"/>
  <c r="DD67" i="5"/>
  <c r="G4" i="63" l="1"/>
  <c r="C4" i="63"/>
  <c r="DN53" i="5" l="1"/>
  <c r="DN54" i="5"/>
  <c r="AW23" i="5"/>
  <c r="DK140" i="5" l="1"/>
  <c r="DK139" i="5"/>
  <c r="BB63" i="5" l="1"/>
  <c r="BB62" i="5"/>
  <c r="BA63" i="5"/>
  <c r="DN140" i="5" s="1"/>
  <c r="BA62" i="5"/>
  <c r="BC63" i="5" l="1"/>
  <c r="BC62" i="5"/>
  <c r="DN139" i="5" l="1"/>
  <c r="J34" i="43"/>
  <c r="AV15" i="5"/>
  <c r="BJ38" i="5"/>
  <c r="BJ37" i="5"/>
  <c r="BJ44" i="5"/>
  <c r="AW88" i="5" l="1"/>
  <c r="DD80" i="5"/>
  <c r="DK138" i="5"/>
  <c r="DK137" i="5"/>
  <c r="DK136" i="5"/>
  <c r="DK135" i="5"/>
  <c r="DN137" i="5"/>
  <c r="DD50" i="5"/>
  <c r="DD79" i="5" l="1"/>
  <c r="AW154" i="5"/>
  <c r="AW159" i="5"/>
  <c r="AV153" i="5" l="1"/>
  <c r="G4" i="58" l="1"/>
  <c r="C4" i="58"/>
  <c r="DN136" i="5" l="1"/>
  <c r="AV71" i="11"/>
  <c r="B48" i="11"/>
  <c r="C23" i="11"/>
  <c r="AV70" i="11"/>
  <c r="AV34" i="11"/>
  <c r="AV51" i="11"/>
  <c r="CP98" i="5" l="1"/>
  <c r="CP87" i="5"/>
  <c r="CP97" i="5"/>
  <c r="CP86" i="5"/>
  <c r="B117" i="11"/>
  <c r="AV120" i="11"/>
  <c r="DN134" i="5" l="1"/>
  <c r="DN133" i="5"/>
  <c r="DK134" i="5"/>
  <c r="DK133" i="5"/>
  <c r="BF23" i="5" l="1"/>
  <c r="BF22" i="5"/>
  <c r="BF21" i="5"/>
  <c r="BF20" i="5"/>
  <c r="BF18" i="5"/>
  <c r="BF17" i="5"/>
  <c r="BF16" i="5"/>
  <c r="BF15" i="5"/>
  <c r="BF14" i="5"/>
  <c r="BF13" i="5"/>
  <c r="BF12" i="5"/>
  <c r="BF11" i="5"/>
  <c r="BA31" i="5"/>
  <c r="BA29" i="5"/>
  <c r="BA27" i="5"/>
  <c r="BA23" i="5"/>
  <c r="BA19" i="5"/>
  <c r="BA15" i="5"/>
  <c r="BA11" i="5"/>
  <c r="DN109" i="5" l="1"/>
  <c r="DN107" i="5"/>
  <c r="J44" i="54" l="1"/>
  <c r="J43" i="54"/>
  <c r="J42" i="54"/>
  <c r="J41" i="54"/>
  <c r="J40" i="54"/>
  <c r="J39" i="54"/>
  <c r="J38" i="54"/>
  <c r="J37" i="54"/>
  <c r="J36" i="54"/>
  <c r="J31" i="54"/>
  <c r="J30" i="54"/>
  <c r="J29" i="54"/>
  <c r="J28" i="54"/>
  <c r="J27" i="54"/>
  <c r="J26" i="54"/>
  <c r="J25" i="54"/>
  <c r="J24" i="54"/>
  <c r="J23" i="54"/>
  <c r="J22" i="54"/>
  <c r="J21" i="54"/>
  <c r="J20" i="54"/>
  <c r="J19" i="54"/>
  <c r="J15" i="54"/>
  <c r="J14" i="54"/>
  <c r="J7" i="54"/>
  <c r="G4" i="53"/>
  <c r="H5" i="53" s="1"/>
  <c r="D4" i="53" s="1"/>
  <c r="C4" i="53"/>
  <c r="J3" i="54" l="1"/>
  <c r="AW44" i="48" l="1"/>
  <c r="AZ44" i="48" s="1"/>
  <c r="AY44" i="48"/>
  <c r="BA44" i="48"/>
  <c r="AW45" i="48"/>
  <c r="AZ45" i="48" s="1"/>
  <c r="AY45" i="48"/>
  <c r="BA45" i="48"/>
  <c r="AV46" i="48"/>
  <c r="C3" i="43"/>
  <c r="DN130" i="5" l="1"/>
  <c r="AV51" i="5"/>
  <c r="DN128" i="5" s="1"/>
  <c r="AW51" i="5"/>
  <c r="DN129" i="5" s="1"/>
  <c r="DN125" i="5"/>
  <c r="DN132" i="5"/>
  <c r="DN124" i="5"/>
  <c r="DN131" i="5"/>
  <c r="DN123" i="5"/>
  <c r="DK132" i="5"/>
  <c r="DK131" i="5"/>
  <c r="DK130" i="5"/>
  <c r="DK129" i="5"/>
  <c r="DK128" i="5"/>
  <c r="DK127" i="5"/>
  <c r="DK126" i="5"/>
  <c r="DK125" i="5"/>
  <c r="DK124" i="5"/>
  <c r="DK123" i="5"/>
  <c r="DN122" i="5"/>
  <c r="DN113" i="5"/>
  <c r="AV72" i="5"/>
  <c r="DN112" i="5" s="1"/>
  <c r="DN110" i="5"/>
  <c r="DN111" i="5"/>
  <c r="DN115" i="5"/>
  <c r="DN114" i="5"/>
  <c r="AV59" i="5"/>
  <c r="AV43" i="5"/>
  <c r="DD97" i="5"/>
  <c r="DD98" i="5"/>
  <c r="DB99" i="5"/>
  <c r="DB98" i="5"/>
  <c r="DB97" i="5"/>
  <c r="AY72" i="5" l="1"/>
  <c r="AY71" i="5" l="1"/>
  <c r="Z144" i="5" l="1"/>
  <c r="Z143" i="5"/>
  <c r="Z142" i="5"/>
  <c r="Z141" i="5"/>
  <c r="Z140" i="5"/>
  <c r="Z139" i="5"/>
  <c r="Z138" i="5"/>
  <c r="Z137" i="5"/>
  <c r="Z136" i="5"/>
  <c r="Z135" i="5"/>
  <c r="Z134" i="5"/>
  <c r="Z133" i="5"/>
  <c r="Z132" i="5"/>
  <c r="AE144" i="5"/>
  <c r="AE143" i="5"/>
  <c r="AE142" i="5"/>
  <c r="AE141" i="5"/>
  <c r="AE140" i="5"/>
  <c r="AE138" i="5"/>
  <c r="AE137" i="5"/>
  <c r="AE136" i="5"/>
  <c r="AE135" i="5"/>
  <c r="AE133" i="5"/>
  <c r="BJ78" i="5" l="1"/>
  <c r="BI78" i="5"/>
  <c r="BD78" i="5"/>
  <c r="AY78" i="5"/>
  <c r="AW78" i="5"/>
  <c r="BP78" i="5" s="1"/>
  <c r="AX77" i="5"/>
  <c r="AX51" i="5"/>
  <c r="DN127" i="5" s="1"/>
  <c r="BJ50" i="5"/>
  <c r="BI50" i="5"/>
  <c r="BD50" i="5"/>
  <c r="BB50" i="5"/>
  <c r="AY50" i="5"/>
  <c r="AW50" i="5"/>
  <c r="BM78" i="5" l="1"/>
  <c r="BN78" i="5"/>
  <c r="AZ78" i="5"/>
  <c r="BK78" i="5" s="1"/>
  <c r="BO78" i="5"/>
  <c r="BL78" i="5"/>
  <c r="BE78" i="5"/>
  <c r="BF78" i="5" s="1"/>
  <c r="AY51" i="5"/>
  <c r="BE52" i="5" s="1"/>
  <c r="BF52" i="5" s="1"/>
  <c r="AZ50" i="5"/>
  <c r="BK50" i="5" s="1"/>
  <c r="BD38" i="5" l="1"/>
  <c r="BB35" i="5"/>
  <c r="BB37" i="5"/>
  <c r="AW37" i="5"/>
  <c r="AW38" i="5" s="1"/>
  <c r="BF38" i="5"/>
  <c r="BF37" i="5"/>
  <c r="AY37" i="5"/>
  <c r="AZ37" i="5" l="1"/>
  <c r="BK38" i="5" l="1"/>
  <c r="BK37" i="5"/>
  <c r="AW15" i="5" l="1"/>
  <c r="AW11" i="5"/>
  <c r="BH15" i="5" l="1"/>
  <c r="BJ15" i="5" l="1"/>
  <c r="AW14" i="5"/>
  <c r="BD14" i="5"/>
  <c r="BD13" i="5"/>
  <c r="BD12" i="5"/>
  <c r="BD11" i="5"/>
  <c r="BD19" i="5"/>
  <c r="AY23" i="5"/>
  <c r="AY11" i="5"/>
  <c r="AY15" i="5"/>
  <c r="BH11" i="5"/>
  <c r="AW19" i="5"/>
  <c r="AX14" i="5" l="1"/>
  <c r="BH14" i="5" s="1"/>
  <c r="AZ19" i="5"/>
  <c r="BK19" i="5" s="1"/>
  <c r="AZ11" i="5"/>
  <c r="AW16" i="5"/>
  <c r="AW17" i="5"/>
  <c r="AW18" i="5"/>
  <c r="AZ15" i="5"/>
  <c r="BJ11" i="5"/>
  <c r="BJ14" i="5"/>
  <c r="AW12" i="5"/>
  <c r="AW13" i="5"/>
  <c r="AV8" i="11"/>
  <c r="BK11" i="5" l="1"/>
  <c r="BK14" i="5"/>
  <c r="AX16" i="5"/>
  <c r="BH16" i="5" s="1"/>
  <c r="BK13" i="5"/>
  <c r="BJ16" i="5"/>
  <c r="BK12" i="5"/>
  <c r="BJ17" i="5"/>
  <c r="AX17" i="5"/>
  <c r="BH17" i="5" s="1"/>
  <c r="BJ18" i="5"/>
  <c r="AX18" i="5"/>
  <c r="BH18" i="5" s="1"/>
  <c r="BK15" i="5"/>
  <c r="BK18" i="5"/>
  <c r="BK16" i="5"/>
  <c r="BK17" i="5"/>
  <c r="AX12" i="5"/>
  <c r="BH12" i="5" s="1"/>
  <c r="BJ12" i="5"/>
  <c r="AX13" i="5"/>
  <c r="BH13" i="5" s="1"/>
  <c r="BJ13" i="5"/>
  <c r="AE5" i="5" l="1"/>
  <c r="BI34" i="5"/>
  <c r="BI32" i="5"/>
  <c r="BI33" i="5"/>
  <c r="BI31" i="5"/>
  <c r="B13" i="11"/>
  <c r="V127" i="48" l="1"/>
  <c r="AE127" i="48" s="1"/>
  <c r="J128" i="48"/>
  <c r="J129" i="48"/>
  <c r="V126" i="48"/>
  <c r="AE126" i="48" s="1"/>
  <c r="V128" i="48"/>
  <c r="AE128" i="48" s="1"/>
  <c r="AP5" i="48"/>
  <c r="V129" i="48"/>
  <c r="AE129" i="48" s="1"/>
  <c r="J127" i="48"/>
  <c r="AE130" i="5"/>
  <c r="AP148" i="48"/>
  <c r="J130" i="48"/>
  <c r="V130" i="48"/>
  <c r="AE130" i="48" s="1"/>
  <c r="AE127" i="5"/>
  <c r="AE128" i="5"/>
  <c r="CP154" i="5" l="1"/>
  <c r="CP153" i="5"/>
  <c r="CP150" i="5"/>
  <c r="CP147" i="5"/>
  <c r="L4" i="5" l="1"/>
  <c r="AH5" i="5"/>
  <c r="AE134" i="5"/>
  <c r="AV116" i="5"/>
  <c r="DN26" i="5"/>
  <c r="AV43" i="11"/>
  <c r="AV2" i="11"/>
  <c r="AV3" i="11"/>
  <c r="AV87" i="11"/>
  <c r="AV8" i="5"/>
  <c r="B5" i="5"/>
  <c r="B8" i="5"/>
  <c r="CP6" i="5"/>
  <c r="CP7" i="5"/>
  <c r="CP3" i="5"/>
  <c r="CP4" i="5"/>
  <c r="CP5" i="5"/>
  <c r="CP10" i="5"/>
  <c r="CP13" i="5"/>
  <c r="CP14" i="5"/>
  <c r="CP9" i="5"/>
  <c r="CP18" i="5"/>
  <c r="CP17" i="5"/>
  <c r="CP20" i="5"/>
  <c r="J34" i="11"/>
  <c r="CP19" i="5" s="1"/>
  <c r="CP22" i="5"/>
  <c r="CP23" i="5"/>
  <c r="CP24" i="5"/>
  <c r="CP25" i="5"/>
  <c r="CP26" i="5"/>
  <c r="CP27" i="5"/>
  <c r="CP28" i="5"/>
  <c r="CP31" i="5"/>
  <c r="CP30" i="5"/>
  <c r="CP32" i="5"/>
  <c r="CP33" i="5"/>
  <c r="CP34" i="5"/>
  <c r="CP45" i="5"/>
  <c r="CP47" i="5"/>
  <c r="CP46" i="5"/>
  <c r="CP48" i="5"/>
  <c r="CP53" i="5"/>
  <c r="CP57" i="5"/>
  <c r="CP56" i="5"/>
  <c r="CP58" i="5"/>
  <c r="CP62" i="5"/>
  <c r="CP60" i="5"/>
  <c r="CP61" i="5"/>
  <c r="CP64" i="5"/>
  <c r="CP65" i="5"/>
  <c r="CP66" i="5"/>
  <c r="CP67" i="5"/>
  <c r="CP68" i="5"/>
  <c r="CP69" i="5"/>
  <c r="CP78" i="5"/>
  <c r="CP74" i="5"/>
  <c r="CP75" i="5"/>
  <c r="CP79" i="5"/>
  <c r="CP76" i="5"/>
  <c r="CP77" i="5"/>
  <c r="CP80" i="5"/>
  <c r="CP81" i="5"/>
  <c r="CP82" i="5"/>
  <c r="CP88" i="5"/>
  <c r="CP89" i="5"/>
  <c r="CP91" i="5"/>
  <c r="CP90" i="5"/>
  <c r="CP93" i="5"/>
  <c r="CP92" i="5"/>
  <c r="CP94" i="5"/>
  <c r="CP95" i="5"/>
  <c r="CP96" i="5"/>
  <c r="CP99" i="5"/>
  <c r="CP100" i="5"/>
  <c r="CP101" i="5"/>
  <c r="CP103" i="5"/>
  <c r="CP104" i="5"/>
  <c r="CP102" i="5"/>
  <c r="CP35" i="5"/>
  <c r="CP49" i="5"/>
  <c r="J70" i="11"/>
  <c r="CP51" i="5" s="1"/>
  <c r="CP29" i="5"/>
  <c r="CP59" i="5"/>
  <c r="CP52" i="5"/>
  <c r="CP40" i="5"/>
  <c r="CP41" i="5"/>
  <c r="CP42" i="5"/>
  <c r="CP37" i="5"/>
  <c r="J51" i="11"/>
  <c r="CP38" i="5" s="1"/>
  <c r="CP39" i="5"/>
  <c r="AY33" i="5"/>
  <c r="AY35" i="5"/>
  <c r="AY44" i="5"/>
  <c r="BE44" i="5" s="1"/>
  <c r="BF44" i="5" s="1"/>
  <c r="AY45" i="5"/>
  <c r="AW45" i="5"/>
  <c r="AZ45" i="5" s="1"/>
  <c r="AY8" i="5"/>
  <c r="AY19" i="5"/>
  <c r="AY27" i="5"/>
  <c r="AY29" i="5"/>
  <c r="AX8" i="5"/>
  <c r="BL8" i="5"/>
  <c r="BM8" i="5"/>
  <c r="BN8" i="5"/>
  <c r="BO8" i="5"/>
  <c r="BP8" i="5"/>
  <c r="AW20" i="5"/>
  <c r="BB94" i="5"/>
  <c r="BB95" i="5" s="1"/>
  <c r="BH19" i="5"/>
  <c r="BD20" i="5"/>
  <c r="BD21" i="5"/>
  <c r="BD22" i="5"/>
  <c r="BH23" i="5"/>
  <c r="AW27" i="5"/>
  <c r="BB27" i="5"/>
  <c r="BD27" i="5"/>
  <c r="BD28" i="5" s="1"/>
  <c r="BF27" i="5"/>
  <c r="BF28" i="5"/>
  <c r="AW29" i="5"/>
  <c r="AZ29" i="5" s="1"/>
  <c r="BB29" i="5"/>
  <c r="BD29" i="5"/>
  <c r="BD30" i="5" s="1"/>
  <c r="BF29" i="5"/>
  <c r="BF30" i="5"/>
  <c r="AY31" i="5"/>
  <c r="AW31" i="5"/>
  <c r="AZ31" i="5" s="1"/>
  <c r="BB31" i="5"/>
  <c r="BD31" i="5"/>
  <c r="BD32" i="5" s="1"/>
  <c r="BF31" i="5"/>
  <c r="BF32" i="5"/>
  <c r="AW33" i="5"/>
  <c r="BB33" i="5"/>
  <c r="BD34" i="5"/>
  <c r="BF33" i="5"/>
  <c r="BF34" i="5"/>
  <c r="AW35" i="5"/>
  <c r="AZ35" i="5" s="1"/>
  <c r="BD36" i="5"/>
  <c r="BF35" i="5"/>
  <c r="BF36" i="5"/>
  <c r="BB44" i="5"/>
  <c r="BD44" i="5"/>
  <c r="BD52" i="5" s="1"/>
  <c r="BI44" i="5"/>
  <c r="BB45" i="5"/>
  <c r="BD45" i="5"/>
  <c r="BI45" i="5"/>
  <c r="BJ45" i="5"/>
  <c r="AY47" i="5"/>
  <c r="BE47" i="5" s="1"/>
  <c r="AW47" i="5"/>
  <c r="BB47" i="5"/>
  <c r="BD47" i="5"/>
  <c r="BG47" i="5"/>
  <c r="BH47" i="5" s="1"/>
  <c r="BI47" i="5"/>
  <c r="BJ47" i="5"/>
  <c r="BJ48" i="5" s="1"/>
  <c r="BJ49" i="5" s="1"/>
  <c r="AY48" i="5"/>
  <c r="BB48" i="5"/>
  <c r="BD48" i="5"/>
  <c r="BG48" i="5"/>
  <c r="BH48" i="5" s="1"/>
  <c r="BI48" i="5"/>
  <c r="AY49" i="5"/>
  <c r="BE50" i="5" s="1"/>
  <c r="BF50" i="5" s="1"/>
  <c r="BB49" i="5"/>
  <c r="BD49" i="5"/>
  <c r="BG49" i="5"/>
  <c r="BH49" i="5" s="1"/>
  <c r="BI49" i="5"/>
  <c r="AY60" i="5"/>
  <c r="AW60" i="5"/>
  <c r="BD60" i="5"/>
  <c r="BI60" i="5"/>
  <c r="BJ60" i="5"/>
  <c r="AY61" i="5"/>
  <c r="DN91" i="5" s="1"/>
  <c r="AY64" i="5"/>
  <c r="AW64" i="5"/>
  <c r="BD64" i="5"/>
  <c r="BE64" i="5"/>
  <c r="BI64" i="5"/>
  <c r="BJ64" i="5"/>
  <c r="AY65" i="5"/>
  <c r="AW65" i="5"/>
  <c r="BD65" i="5"/>
  <c r="BI65" i="5"/>
  <c r="BJ65" i="5"/>
  <c r="AY67" i="5"/>
  <c r="AW67" i="5"/>
  <c r="BD67" i="5"/>
  <c r="BI67" i="5"/>
  <c r="BJ67" i="5"/>
  <c r="AW71" i="5"/>
  <c r="AZ71" i="5" s="1"/>
  <c r="BK71" i="5" s="1"/>
  <c r="BD71" i="5"/>
  <c r="BE71" i="5"/>
  <c r="BI71" i="5"/>
  <c r="BJ71" i="5"/>
  <c r="AY75" i="5"/>
  <c r="AW75" i="5"/>
  <c r="AZ75" i="5" s="1"/>
  <c r="BK75" i="5" s="1"/>
  <c r="BD75" i="5"/>
  <c r="BE75" i="5"/>
  <c r="BI75" i="5"/>
  <c r="BJ75" i="5"/>
  <c r="AW94" i="5"/>
  <c r="AW95" i="5" s="1"/>
  <c r="BD94" i="5"/>
  <c r="BF94" i="5"/>
  <c r="AX94" i="5"/>
  <c r="BH94" i="5" s="1"/>
  <c r="BD95" i="5"/>
  <c r="BF95" i="5"/>
  <c r="AX95" i="5"/>
  <c r="BH95" i="5" s="1"/>
  <c r="AY96" i="5"/>
  <c r="AW96" i="5"/>
  <c r="AW97" i="5" s="1"/>
  <c r="BD96" i="5"/>
  <c r="BF96" i="5"/>
  <c r="AX96" i="5"/>
  <c r="BH96" i="5" s="1"/>
  <c r="BB97" i="5"/>
  <c r="BB98" i="5" s="1"/>
  <c r="BD97" i="5"/>
  <c r="BF97" i="5"/>
  <c r="AX97" i="5"/>
  <c r="BH97" i="5" s="1"/>
  <c r="BD98" i="5"/>
  <c r="BF98" i="5"/>
  <c r="AX98" i="5"/>
  <c r="BH98" i="5" s="1"/>
  <c r="AV109" i="5"/>
  <c r="AY109" i="5" s="1"/>
  <c r="AV62" i="5"/>
  <c r="DB3" i="5"/>
  <c r="DB4" i="5"/>
  <c r="DB5" i="5"/>
  <c r="DB6" i="5"/>
  <c r="DB7" i="5"/>
  <c r="DB8" i="5"/>
  <c r="DB9" i="5"/>
  <c r="DB10" i="5"/>
  <c r="DU11" i="5"/>
  <c r="DU12" i="5"/>
  <c r="DU13" i="5"/>
  <c r="DU14" i="5"/>
  <c r="DB15" i="5"/>
  <c r="DU15" i="5"/>
  <c r="DB16" i="5"/>
  <c r="DU16" i="5"/>
  <c r="DB17" i="5"/>
  <c r="DB18" i="5"/>
  <c r="DB19" i="5"/>
  <c r="DB20" i="5"/>
  <c r="DB21" i="5"/>
  <c r="DB22" i="5"/>
  <c r="DB23" i="5"/>
  <c r="DB24" i="5"/>
  <c r="DB25" i="5"/>
  <c r="DB26" i="5"/>
  <c r="DB27" i="5"/>
  <c r="DB28" i="5"/>
  <c r="DB29" i="5"/>
  <c r="DB30" i="5"/>
  <c r="DB31" i="5"/>
  <c r="DB32" i="5"/>
  <c r="DB33" i="5"/>
  <c r="DB34" i="5"/>
  <c r="DB35" i="5"/>
  <c r="DB36" i="5"/>
  <c r="DB37" i="5"/>
  <c r="DB38" i="5"/>
  <c r="DB39" i="5"/>
  <c r="DN5" i="5"/>
  <c r="DB40" i="5"/>
  <c r="DN6" i="5"/>
  <c r="DB41" i="5"/>
  <c r="DN7" i="5"/>
  <c r="DB42" i="5"/>
  <c r="DN8" i="5"/>
  <c r="DB43" i="5"/>
  <c r="DN9" i="5"/>
  <c r="DB44" i="5"/>
  <c r="DU44" i="5"/>
  <c r="DB45" i="5"/>
  <c r="DB46" i="5"/>
  <c r="DB47" i="5"/>
  <c r="DN13" i="5"/>
  <c r="DB48" i="5"/>
  <c r="DN14" i="5"/>
  <c r="DB49" i="5"/>
  <c r="DN15" i="5"/>
  <c r="DB50" i="5"/>
  <c r="DB51" i="5"/>
  <c r="DB52" i="5"/>
  <c r="DB53" i="5"/>
  <c r="DB54" i="5"/>
  <c r="DB55" i="5"/>
  <c r="DN21" i="5"/>
  <c r="DB56" i="5"/>
  <c r="DB57" i="5"/>
  <c r="DN23" i="5"/>
  <c r="DB58" i="5"/>
  <c r="DN24" i="5"/>
  <c r="DB59" i="5"/>
  <c r="DN25" i="5"/>
  <c r="DB60" i="5"/>
  <c r="DB61" i="5"/>
  <c r="DB62" i="5"/>
  <c r="AW88" i="11"/>
  <c r="DB63" i="5"/>
  <c r="AV110" i="5"/>
  <c r="DN29" i="5" s="1"/>
  <c r="DB64" i="5"/>
  <c r="AV111" i="5"/>
  <c r="DN30" i="5" s="1"/>
  <c r="DB65" i="5"/>
  <c r="DN31" i="5"/>
  <c r="DB66" i="5"/>
  <c r="DB67" i="5"/>
  <c r="DB68" i="5"/>
  <c r="DN34" i="5"/>
  <c r="DB69" i="5"/>
  <c r="DN35" i="5"/>
  <c r="DB70" i="5"/>
  <c r="DB71" i="5"/>
  <c r="DN37" i="5"/>
  <c r="DB72" i="5"/>
  <c r="DN38" i="5"/>
  <c r="DB73" i="5"/>
  <c r="DN39" i="5"/>
  <c r="DB74" i="5"/>
  <c r="DN40" i="5"/>
  <c r="DB75" i="5"/>
  <c r="DN41" i="5"/>
  <c r="DB76" i="5"/>
  <c r="DN42" i="5"/>
  <c r="DB77" i="5"/>
  <c r="DN43" i="5"/>
  <c r="DB78" i="5"/>
  <c r="DN44" i="5"/>
  <c r="DB79" i="5"/>
  <c r="DB80" i="5"/>
  <c r="DB81" i="5"/>
  <c r="DD81" i="5"/>
  <c r="G4" i="29"/>
  <c r="AW25" i="5" s="1"/>
  <c r="DB82" i="5"/>
  <c r="DD82" i="5"/>
  <c r="DB83" i="5"/>
  <c r="DD83" i="5"/>
  <c r="DN49" i="5"/>
  <c r="DB84" i="5"/>
  <c r="DD84" i="5"/>
  <c r="DN50" i="5"/>
  <c r="DB85" i="5"/>
  <c r="DD85" i="5"/>
  <c r="DN51" i="5"/>
  <c r="DB86" i="5"/>
  <c r="DD86" i="5"/>
  <c r="DN52" i="5"/>
  <c r="DB87" i="5"/>
  <c r="DD87" i="5"/>
  <c r="DB88" i="5"/>
  <c r="DD88" i="5"/>
  <c r="DN55" i="5"/>
  <c r="DB90" i="5"/>
  <c r="DD90" i="5"/>
  <c r="DN56" i="5"/>
  <c r="DB91" i="5"/>
  <c r="DD91" i="5"/>
  <c r="DN57" i="5"/>
  <c r="DB92" i="5"/>
  <c r="DD92" i="5"/>
  <c r="DB93" i="5"/>
  <c r="DD93" i="5"/>
  <c r="DN59" i="5"/>
  <c r="DB94" i="5"/>
  <c r="DD94" i="5"/>
  <c r="DN60" i="5"/>
  <c r="DD95" i="5"/>
  <c r="DN61" i="5"/>
  <c r="DB96" i="5"/>
  <c r="DD96" i="5"/>
  <c r="DN62" i="5"/>
  <c r="DN63" i="5"/>
  <c r="DN64" i="5"/>
  <c r="DN67" i="5"/>
  <c r="DN69" i="5"/>
  <c r="DN70" i="5"/>
  <c r="DN71" i="5"/>
  <c r="DN74" i="5"/>
  <c r="DN76" i="5"/>
  <c r="DN77" i="5"/>
  <c r="DN78" i="5"/>
  <c r="DN79" i="5"/>
  <c r="DN81" i="5"/>
  <c r="DN82" i="5"/>
  <c r="AV61" i="5"/>
  <c r="DN84" i="5" s="1"/>
  <c r="DN86" i="5"/>
  <c r="DN87" i="5"/>
  <c r="DN88" i="5"/>
  <c r="DN89" i="5"/>
  <c r="DN90" i="5"/>
  <c r="DN92" i="5"/>
  <c r="DN93" i="5"/>
  <c r="DN94" i="5"/>
  <c r="DN95" i="5"/>
  <c r="AV66" i="5"/>
  <c r="DN96" i="5" s="1"/>
  <c r="DN97" i="5"/>
  <c r="DN98" i="5"/>
  <c r="DN99" i="5"/>
  <c r="DN100" i="5"/>
  <c r="DN101" i="5"/>
  <c r="DN102" i="5"/>
  <c r="DN103" i="5"/>
  <c r="AV68" i="5"/>
  <c r="AV69" i="5"/>
  <c r="DN105" i="5" s="1"/>
  <c r="DN106" i="5"/>
  <c r="DN108" i="5"/>
  <c r="DN116" i="5"/>
  <c r="DN117" i="5"/>
  <c r="AV76" i="5"/>
  <c r="AV77" i="5"/>
  <c r="DN119" i="5" s="1"/>
  <c r="DN120" i="5"/>
  <c r="DN121" i="5"/>
  <c r="AW68" i="5"/>
  <c r="AU1" i="48"/>
  <c r="DK122" i="5"/>
  <c r="DK121" i="5"/>
  <c r="DK120" i="5"/>
  <c r="DK119" i="5"/>
  <c r="DK118" i="5"/>
  <c r="DK117" i="5"/>
  <c r="DK116" i="5"/>
  <c r="DK115" i="5"/>
  <c r="DK114" i="5"/>
  <c r="AW76" i="5"/>
  <c r="AW77" i="5"/>
  <c r="AV42" i="5"/>
  <c r="AV155" i="48"/>
  <c r="AH5" i="48" s="1"/>
  <c r="AE144" i="48"/>
  <c r="AE143" i="48"/>
  <c r="AE142" i="48"/>
  <c r="AE141" i="48"/>
  <c r="AE140" i="48"/>
  <c r="AE139" i="48"/>
  <c r="AE138" i="48"/>
  <c r="AE137" i="48"/>
  <c r="AE136" i="48"/>
  <c r="AE135" i="48"/>
  <c r="AE133" i="48"/>
  <c r="AE132" i="48"/>
  <c r="M122" i="48"/>
  <c r="AW115" i="48"/>
  <c r="DN113" i="48"/>
  <c r="DK113" i="48"/>
  <c r="DN112" i="48"/>
  <c r="DK112" i="48"/>
  <c r="DN111" i="48"/>
  <c r="DK111" i="48"/>
  <c r="AW111" i="48"/>
  <c r="AV111" i="48"/>
  <c r="DN30" i="48" s="1"/>
  <c r="DK110" i="48"/>
  <c r="AV110" i="48"/>
  <c r="DN29" i="48" s="1"/>
  <c r="DN109" i="48"/>
  <c r="DK109" i="48"/>
  <c r="AV109" i="48"/>
  <c r="AX109" i="48" s="1"/>
  <c r="DN108" i="48"/>
  <c r="DK108" i="48"/>
  <c r="DN107" i="48"/>
  <c r="DK107" i="48"/>
  <c r="DN106" i="48"/>
  <c r="DK106" i="48"/>
  <c r="DK105" i="48"/>
  <c r="DK104" i="48"/>
  <c r="CP104" i="48"/>
  <c r="DN103" i="48"/>
  <c r="DK103" i="48"/>
  <c r="CP103" i="48"/>
  <c r="DN102" i="48"/>
  <c r="DK102" i="48"/>
  <c r="CP102" i="48"/>
  <c r="DN101" i="48"/>
  <c r="DK101" i="48"/>
  <c r="CP101" i="48"/>
  <c r="AH101" i="48"/>
  <c r="L101" i="48"/>
  <c r="DN100" i="48"/>
  <c r="DK100" i="48"/>
  <c r="CP100" i="48"/>
  <c r="DN99" i="48"/>
  <c r="DK99" i="48"/>
  <c r="CP99" i="48"/>
  <c r="DN98" i="48"/>
  <c r="DK98" i="48"/>
  <c r="CP98" i="48"/>
  <c r="BF98" i="48"/>
  <c r="BD98" i="48"/>
  <c r="AX98" i="48"/>
  <c r="BH98" i="48" s="1"/>
  <c r="DN97" i="48"/>
  <c r="DK97" i="48"/>
  <c r="CP97" i="48"/>
  <c r="BF97" i="48"/>
  <c r="BD97" i="48"/>
  <c r="BB97" i="48"/>
  <c r="BB98" i="48" s="1"/>
  <c r="AX97" i="48"/>
  <c r="BH97" i="48" s="1"/>
  <c r="U97" i="48"/>
  <c r="DK96" i="48"/>
  <c r="CP96" i="48"/>
  <c r="BF96" i="48"/>
  <c r="BD96" i="48"/>
  <c r="AY96" i="48"/>
  <c r="AX96" i="48"/>
  <c r="BH96" i="48" s="1"/>
  <c r="AW96" i="48"/>
  <c r="BP96" i="48" s="1"/>
  <c r="U96" i="48"/>
  <c r="DN95" i="48"/>
  <c r="DK95" i="48"/>
  <c r="DD95" i="48"/>
  <c r="DB95" i="48"/>
  <c r="CP95" i="48"/>
  <c r="AX95" i="48"/>
  <c r="BH95" i="48" s="1"/>
  <c r="BF95" i="48"/>
  <c r="BD95" i="48"/>
  <c r="DN94" i="48"/>
  <c r="DK94" i="48"/>
  <c r="DD94" i="48"/>
  <c r="DB94" i="48"/>
  <c r="CP94" i="48"/>
  <c r="AW94" i="48"/>
  <c r="BP94" i="48" s="1"/>
  <c r="BF94" i="48"/>
  <c r="BD94" i="48"/>
  <c r="AX94" i="48"/>
  <c r="BH94" i="48" s="1"/>
  <c r="DN93" i="48"/>
  <c r="DK93" i="48"/>
  <c r="DD93" i="48"/>
  <c r="DB93" i="48"/>
  <c r="CP93" i="48"/>
  <c r="O93" i="48"/>
  <c r="DN92" i="48"/>
  <c r="DK92" i="48"/>
  <c r="DD92" i="48"/>
  <c r="DB92" i="48"/>
  <c r="CP92" i="48"/>
  <c r="AV92" i="48"/>
  <c r="DN34" i="48" s="1"/>
  <c r="DK91" i="48"/>
  <c r="DD91" i="48"/>
  <c r="DB91" i="48"/>
  <c r="CP91" i="48"/>
  <c r="DK90" i="48"/>
  <c r="DD90" i="48"/>
  <c r="DB90" i="48"/>
  <c r="CP90" i="48"/>
  <c r="DN89" i="48"/>
  <c r="DK89" i="48"/>
  <c r="DD89" i="48"/>
  <c r="DB89" i="48"/>
  <c r="CP89" i="48"/>
  <c r="AY89" i="48"/>
  <c r="AX89" i="48"/>
  <c r="DN88" i="48"/>
  <c r="DK88" i="48"/>
  <c r="DD88" i="48"/>
  <c r="DB88" i="48"/>
  <c r="CP88" i="48"/>
  <c r="DN87" i="48"/>
  <c r="DK87" i="48"/>
  <c r="DD87" i="48"/>
  <c r="DB87" i="48"/>
  <c r="CP87" i="48"/>
  <c r="DN86" i="48"/>
  <c r="DK86" i="48"/>
  <c r="DD86" i="48"/>
  <c r="DB86" i="48"/>
  <c r="CP86" i="48"/>
  <c r="DK85" i="48"/>
  <c r="DD85" i="48"/>
  <c r="DB85" i="48"/>
  <c r="DK84" i="48"/>
  <c r="DD84" i="48"/>
  <c r="DB84" i="48"/>
  <c r="CA84" i="48"/>
  <c r="DK83" i="48"/>
  <c r="DD83" i="48"/>
  <c r="DB83" i="48"/>
  <c r="CP83" i="48"/>
  <c r="CA83" i="48"/>
  <c r="DN82" i="48"/>
  <c r="DK82" i="48"/>
  <c r="DD82" i="48"/>
  <c r="DB82" i="48"/>
  <c r="CP82" i="48"/>
  <c r="CA82" i="48"/>
  <c r="DK81" i="48"/>
  <c r="DD81" i="48"/>
  <c r="DB81" i="48"/>
  <c r="CP81" i="48"/>
  <c r="CA81" i="48"/>
  <c r="DN80" i="48"/>
  <c r="DK80" i="48"/>
  <c r="DB80" i="48"/>
  <c r="CP80" i="48"/>
  <c r="CA80" i="48"/>
  <c r="DN79" i="48"/>
  <c r="DK79" i="48"/>
  <c r="DD79" i="48"/>
  <c r="DB79" i="48"/>
  <c r="CP79" i="48"/>
  <c r="CA79" i="48"/>
  <c r="DN78" i="48"/>
  <c r="DK78" i="48"/>
  <c r="DB78" i="48"/>
  <c r="CP78" i="48"/>
  <c r="CA78" i="48"/>
  <c r="DN77" i="48"/>
  <c r="DK77" i="48"/>
  <c r="DB77" i="48"/>
  <c r="CP77" i="48"/>
  <c r="CA77" i="48"/>
  <c r="DN76" i="48"/>
  <c r="DK76" i="48"/>
  <c r="DB76" i="48"/>
  <c r="CP76" i="48"/>
  <c r="CA76" i="48"/>
  <c r="DK75" i="48"/>
  <c r="DB75" i="48"/>
  <c r="CP75" i="48"/>
  <c r="CA75" i="48"/>
  <c r="DK74" i="48"/>
  <c r="DB74" i="48"/>
  <c r="CP74" i="48"/>
  <c r="CA74" i="48"/>
  <c r="DN73" i="48"/>
  <c r="DK73" i="48"/>
  <c r="DB73" i="48"/>
  <c r="CA73" i="48"/>
  <c r="AW73" i="48"/>
  <c r="AV73" i="48"/>
  <c r="DN110" i="48" s="1"/>
  <c r="DN72" i="48"/>
  <c r="DK72" i="48"/>
  <c r="DB72" i="48"/>
  <c r="CA72" i="48"/>
  <c r="AV72" i="48"/>
  <c r="DN71" i="48"/>
  <c r="DK71" i="48"/>
  <c r="DB71" i="48"/>
  <c r="CA71" i="48"/>
  <c r="AW71" i="48"/>
  <c r="BP71" i="48" s="1"/>
  <c r="BL71" i="48"/>
  <c r="BJ71" i="48"/>
  <c r="BI71" i="48"/>
  <c r="BD71" i="48"/>
  <c r="BA71" i="48"/>
  <c r="AY71" i="48"/>
  <c r="BE71" i="48" s="1"/>
  <c r="BF71" i="48" s="1"/>
  <c r="DN70" i="48"/>
  <c r="DK70" i="48"/>
  <c r="DB70" i="48"/>
  <c r="CA70" i="48"/>
  <c r="DN69" i="48"/>
  <c r="DK69" i="48"/>
  <c r="DB69" i="48"/>
  <c r="CP69" i="48"/>
  <c r="CA69" i="48"/>
  <c r="AW69" i="48"/>
  <c r="AV69" i="48"/>
  <c r="DN105" i="48" s="1"/>
  <c r="DN68" i="48"/>
  <c r="DK68" i="48"/>
  <c r="DB68" i="48"/>
  <c r="CP68" i="48"/>
  <c r="CP70" i="48" s="1"/>
  <c r="CA68" i="48"/>
  <c r="AX68" i="48"/>
  <c r="AW68" i="48"/>
  <c r="AV68" i="48"/>
  <c r="DN104" i="48" s="1"/>
  <c r="DN67" i="48"/>
  <c r="DK67" i="48"/>
  <c r="DB67" i="48"/>
  <c r="CP67" i="48"/>
  <c r="CA67" i="48"/>
  <c r="BJ67" i="48"/>
  <c r="BI67" i="48"/>
  <c r="BD67" i="48"/>
  <c r="BA67" i="48"/>
  <c r="AY67" i="48"/>
  <c r="AY65" i="48"/>
  <c r="AW67" i="48"/>
  <c r="BP67" i="48" s="1"/>
  <c r="DN66" i="48"/>
  <c r="DK66" i="48"/>
  <c r="DB66" i="48"/>
  <c r="CP66" i="48"/>
  <c r="CA66" i="48"/>
  <c r="AV66" i="48"/>
  <c r="DN96" i="48" s="1"/>
  <c r="DK65" i="48"/>
  <c r="DB65" i="48"/>
  <c r="CP65" i="48"/>
  <c r="CA65" i="48"/>
  <c r="AW65" i="48"/>
  <c r="BP65" i="48" s="1"/>
  <c r="BM65" i="48"/>
  <c r="BL65" i="48"/>
  <c r="BJ65" i="48"/>
  <c r="BI65" i="48"/>
  <c r="BD65" i="48"/>
  <c r="BA65" i="48"/>
  <c r="AY64" i="48"/>
  <c r="BN65" i="48"/>
  <c r="DK64" i="48"/>
  <c r="DB64" i="48"/>
  <c r="CP64" i="48"/>
  <c r="CA64" i="48"/>
  <c r="AW64" i="48"/>
  <c r="BP64" i="48" s="1"/>
  <c r="BL64" i="48"/>
  <c r="BJ64" i="48"/>
  <c r="BI64" i="48"/>
  <c r="BD64" i="48"/>
  <c r="BA64" i="48"/>
  <c r="DN63" i="48"/>
  <c r="DK63" i="48"/>
  <c r="DB63" i="48"/>
  <c r="CA63" i="48"/>
  <c r="DN62" i="48"/>
  <c r="DK62" i="48"/>
  <c r="DB62" i="48"/>
  <c r="CP62" i="48"/>
  <c r="CP63" i="48" s="1"/>
  <c r="CA62" i="48"/>
  <c r="AW62" i="48"/>
  <c r="AV62" i="48"/>
  <c r="DN85" i="48" s="1"/>
  <c r="DN61" i="48"/>
  <c r="DK61" i="48"/>
  <c r="DB61" i="48"/>
  <c r="CP61" i="48"/>
  <c r="CA61" i="48"/>
  <c r="AY61" i="48"/>
  <c r="DN91" i="48" s="1"/>
  <c r="AW61" i="48"/>
  <c r="AV61" i="48"/>
  <c r="DN84" i="48" s="1"/>
  <c r="DN60" i="48"/>
  <c r="DK60" i="48"/>
  <c r="DB60" i="48"/>
  <c r="CP60" i="48"/>
  <c r="CA60" i="48"/>
  <c r="BJ60" i="48"/>
  <c r="BI60" i="48"/>
  <c r="BD60" i="48"/>
  <c r="BA60" i="48"/>
  <c r="AY60" i="48"/>
  <c r="BE60" i="48" s="1"/>
  <c r="AW60" i="48"/>
  <c r="DN59" i="48"/>
  <c r="DK59" i="48"/>
  <c r="DB59" i="48"/>
  <c r="CP59" i="48"/>
  <c r="CA59" i="48"/>
  <c r="DN58" i="48"/>
  <c r="DK58" i="48"/>
  <c r="DB58" i="48"/>
  <c r="CP58" i="48"/>
  <c r="CA58" i="48"/>
  <c r="DN57" i="48"/>
  <c r="DK57" i="48"/>
  <c r="DB57" i="48"/>
  <c r="CP57" i="48"/>
  <c r="CA57" i="48"/>
  <c r="DN56" i="48"/>
  <c r="DK56" i="48"/>
  <c r="DB56" i="48"/>
  <c r="CP56" i="48"/>
  <c r="CA56" i="48"/>
  <c r="DN55" i="48"/>
  <c r="DK55" i="48"/>
  <c r="DB55" i="48"/>
  <c r="CA55" i="48"/>
  <c r="DK54" i="48"/>
  <c r="DB54" i="48"/>
  <c r="CA54" i="48"/>
  <c r="DN53" i="48"/>
  <c r="DK53" i="48"/>
  <c r="DB53" i="48"/>
  <c r="CP53" i="48"/>
  <c r="CA53" i="48"/>
  <c r="DN52" i="48"/>
  <c r="DK52" i="48"/>
  <c r="DB52" i="48"/>
  <c r="CP52" i="48"/>
  <c r="DN64" i="48" s="1"/>
  <c r="CA52" i="48"/>
  <c r="DN51" i="48"/>
  <c r="DK51" i="48"/>
  <c r="DB51" i="48"/>
  <c r="CA51" i="48"/>
  <c r="DN50" i="48"/>
  <c r="DK50" i="48"/>
  <c r="DB50" i="48"/>
  <c r="CA50" i="48"/>
  <c r="DN49" i="48"/>
  <c r="DK49" i="48"/>
  <c r="DB49" i="48"/>
  <c r="CP49" i="48"/>
  <c r="CA49" i="48"/>
  <c r="BI49" i="48"/>
  <c r="BG49" i="48"/>
  <c r="BH49" i="48" s="1"/>
  <c r="BD49" i="48"/>
  <c r="BB49" i="48"/>
  <c r="AY49" i="48"/>
  <c r="DK48" i="48"/>
  <c r="DB48" i="48"/>
  <c r="CP48" i="48"/>
  <c r="DN81" i="48" s="1"/>
  <c r="CA48" i="48"/>
  <c r="BI48" i="48"/>
  <c r="BG48" i="48"/>
  <c r="BH48" i="48" s="1"/>
  <c r="BD48" i="48"/>
  <c r="BB48" i="48"/>
  <c r="AY48" i="48"/>
  <c r="AW47" i="48"/>
  <c r="AW48" i="48" s="1"/>
  <c r="DK47" i="48"/>
  <c r="DB47" i="48"/>
  <c r="CP47" i="48"/>
  <c r="CA47" i="48"/>
  <c r="BJ47" i="48"/>
  <c r="BJ48" i="48" s="1"/>
  <c r="BJ49" i="48" s="1"/>
  <c r="BI47" i="48"/>
  <c r="BG47" i="48"/>
  <c r="BH47" i="48" s="1"/>
  <c r="AY47" i="48"/>
  <c r="BE47" i="48" s="1"/>
  <c r="BD47" i="48"/>
  <c r="BB47" i="48"/>
  <c r="BA47" i="48"/>
  <c r="DN46" i="48"/>
  <c r="DK46" i="48"/>
  <c r="DB46" i="48"/>
  <c r="CP46" i="48"/>
  <c r="CA46" i="48"/>
  <c r="DN65" i="48"/>
  <c r="DK45" i="48"/>
  <c r="DB45" i="48"/>
  <c r="CP45" i="48"/>
  <c r="CA45" i="48"/>
  <c r="BJ45" i="48"/>
  <c r="BI45" i="48"/>
  <c r="BD45" i="48"/>
  <c r="BB45" i="48"/>
  <c r="BK45" i="48"/>
  <c r="DU44" i="48"/>
  <c r="DN44" i="48"/>
  <c r="DK44" i="48"/>
  <c r="DB44" i="48"/>
  <c r="CA44" i="48"/>
  <c r="BJ44" i="48"/>
  <c r="BI44" i="48"/>
  <c r="BD44" i="48"/>
  <c r="BB44" i="48"/>
  <c r="DN43" i="48"/>
  <c r="DK43" i="48"/>
  <c r="DB43" i="48"/>
  <c r="CA43" i="48"/>
  <c r="AV43" i="48"/>
  <c r="DN42" i="48"/>
  <c r="DK42" i="48"/>
  <c r="DB42" i="48"/>
  <c r="CP42" i="48"/>
  <c r="CA42" i="48"/>
  <c r="DN41" i="48"/>
  <c r="DK41" i="48"/>
  <c r="DB41" i="48"/>
  <c r="CP41" i="48"/>
  <c r="CA41" i="48"/>
  <c r="DN40" i="48"/>
  <c r="DK40" i="48"/>
  <c r="DB40" i="48"/>
  <c r="CP40" i="48"/>
  <c r="CA40" i="48"/>
  <c r="DN39" i="48"/>
  <c r="DK39" i="48"/>
  <c r="DB39" i="48"/>
  <c r="CP39" i="48"/>
  <c r="CA39" i="48"/>
  <c r="DN38" i="48"/>
  <c r="DK38" i="48"/>
  <c r="DB38" i="48"/>
  <c r="CA38" i="48"/>
  <c r="DN37" i="48"/>
  <c r="DK37" i="48"/>
  <c r="DB37" i="48"/>
  <c r="CP37" i="48"/>
  <c r="CA37" i="48"/>
  <c r="DN36" i="48"/>
  <c r="DK36" i="48"/>
  <c r="DB36" i="48"/>
  <c r="CA36" i="48"/>
  <c r="BF36" i="48"/>
  <c r="AX36" i="48"/>
  <c r="DN35" i="48"/>
  <c r="DK35" i="48"/>
  <c r="DB35" i="48"/>
  <c r="CP35" i="48"/>
  <c r="CA35" i="48"/>
  <c r="BF35" i="48"/>
  <c r="BD35" i="48"/>
  <c r="BD36" i="48" s="1"/>
  <c r="BB35" i="48"/>
  <c r="BA35" i="48"/>
  <c r="AY35" i="48"/>
  <c r="AX35" i="48"/>
  <c r="AW35" i="48"/>
  <c r="AW36" i="48" s="1"/>
  <c r="BJ36" i="48" s="1"/>
  <c r="DK34" i="48"/>
  <c r="DB34" i="48"/>
  <c r="CP34" i="48"/>
  <c r="CA34" i="48"/>
  <c r="BF34" i="48"/>
  <c r="AX34" i="48"/>
  <c r="DN33" i="48"/>
  <c r="DK33" i="48"/>
  <c r="DB33" i="48"/>
  <c r="CP33" i="48"/>
  <c r="CA33" i="48"/>
  <c r="BF33" i="48"/>
  <c r="BD33" i="48"/>
  <c r="BD34" i="48" s="1"/>
  <c r="BB33" i="48"/>
  <c r="BA33" i="48"/>
  <c r="AY33" i="48"/>
  <c r="AX33" i="48"/>
  <c r="AW33" i="48"/>
  <c r="AW34" i="48" s="1"/>
  <c r="BJ34" i="48" s="1"/>
  <c r="DN32" i="48"/>
  <c r="DK32" i="48"/>
  <c r="DB32" i="48"/>
  <c r="CP32" i="48"/>
  <c r="CA32" i="48"/>
  <c r="BF32" i="48"/>
  <c r="AX32" i="48"/>
  <c r="DN31" i="48"/>
  <c r="DK31" i="48"/>
  <c r="DB31" i="48"/>
  <c r="CP31" i="48"/>
  <c r="CA31" i="48"/>
  <c r="BF31" i="48"/>
  <c r="BD31" i="48"/>
  <c r="BD32" i="48" s="1"/>
  <c r="BB31" i="48"/>
  <c r="BA31" i="48"/>
  <c r="AY31" i="48"/>
  <c r="AX31" i="48"/>
  <c r="AW31" i="48"/>
  <c r="AW32" i="48" s="1"/>
  <c r="BJ32" i="48" s="1"/>
  <c r="DK30" i="48"/>
  <c r="DB30" i="48"/>
  <c r="CP30" i="48"/>
  <c r="CA30" i="48"/>
  <c r="BF30" i="48"/>
  <c r="AX30" i="48"/>
  <c r="DK29" i="48"/>
  <c r="DB29" i="48"/>
  <c r="CP29" i="48"/>
  <c r="CA29" i="48"/>
  <c r="BF29" i="48"/>
  <c r="BD29" i="48"/>
  <c r="BD30" i="48" s="1"/>
  <c r="BB29" i="48"/>
  <c r="BA29" i="48"/>
  <c r="AY29" i="48"/>
  <c r="AX29" i="48"/>
  <c r="AW29" i="48"/>
  <c r="AW30" i="48" s="1"/>
  <c r="BJ30" i="48" s="1"/>
  <c r="DK28" i="48"/>
  <c r="DB28" i="48"/>
  <c r="CP28" i="48"/>
  <c r="CA28" i="48"/>
  <c r="BF28" i="48"/>
  <c r="AX28" i="48"/>
  <c r="AV28" i="48"/>
  <c r="AV126" i="48"/>
  <c r="DK27" i="48"/>
  <c r="DB27" i="48"/>
  <c r="CP27" i="48"/>
  <c r="CA27" i="48"/>
  <c r="BF27" i="48"/>
  <c r="BD27" i="48"/>
  <c r="BD28" i="48" s="1"/>
  <c r="BB27" i="48"/>
  <c r="BA27" i="48"/>
  <c r="AY27" i="48"/>
  <c r="AX27" i="48"/>
  <c r="AW27" i="48"/>
  <c r="AZ27" i="48" s="1"/>
  <c r="DN26" i="48"/>
  <c r="DK26" i="48"/>
  <c r="DB26" i="48"/>
  <c r="CP26" i="48"/>
  <c r="DN90" i="48" s="1"/>
  <c r="CA26" i="48"/>
  <c r="AW26" i="48"/>
  <c r="DN45" i="48" s="1"/>
  <c r="AV26" i="48"/>
  <c r="DN54" i="48" s="1"/>
  <c r="DN25" i="48"/>
  <c r="DK25" i="48"/>
  <c r="DB25" i="48"/>
  <c r="CP25" i="48"/>
  <c r="CA25" i="48"/>
  <c r="DN24" i="48"/>
  <c r="DK24" i="48"/>
  <c r="DB24" i="48"/>
  <c r="CP24" i="48"/>
  <c r="CA24" i="48"/>
  <c r="AV24" i="48"/>
  <c r="DN23" i="48"/>
  <c r="DK23" i="48"/>
  <c r="DB23" i="48"/>
  <c r="CP23" i="48"/>
  <c r="CA23" i="48"/>
  <c r="DK22" i="48"/>
  <c r="DB22" i="48"/>
  <c r="CP22" i="48"/>
  <c r="DN74" i="48" s="1"/>
  <c r="CA22" i="48"/>
  <c r="AV19" i="48"/>
  <c r="AW22" i="48" s="1"/>
  <c r="BF22" i="48"/>
  <c r="BD22" i="48"/>
  <c r="DN21" i="48"/>
  <c r="DK21" i="48"/>
  <c r="DB21" i="48"/>
  <c r="CP21" i="48"/>
  <c r="CA21" i="48"/>
  <c r="BF21" i="48"/>
  <c r="BD21" i="48"/>
  <c r="AX21" i="48"/>
  <c r="BH21" i="48" s="1"/>
  <c r="AW18" i="48"/>
  <c r="AW21" i="48" s="1"/>
  <c r="BJ21" i="48" s="1"/>
  <c r="DN20" i="48"/>
  <c r="DK20" i="48"/>
  <c r="DB20" i="48"/>
  <c r="CP20" i="48"/>
  <c r="CA20" i="48"/>
  <c r="BH20" i="48"/>
  <c r="BF20" i="48"/>
  <c r="BD20" i="48"/>
  <c r="AX20" i="48"/>
  <c r="DN19" i="48"/>
  <c r="DK19" i="48"/>
  <c r="DB19" i="48"/>
  <c r="CA19" i="48"/>
  <c r="BF19" i="48"/>
  <c r="BD19" i="48"/>
  <c r="AX19" i="48"/>
  <c r="BH19" i="48" s="1"/>
  <c r="DN18" i="48"/>
  <c r="DK18" i="48"/>
  <c r="DB18" i="48"/>
  <c r="CP18" i="48"/>
  <c r="CA18" i="48"/>
  <c r="BJ18" i="48"/>
  <c r="BF18" i="48"/>
  <c r="BD18" i="48"/>
  <c r="BB18" i="48"/>
  <c r="BB19" i="48" s="1"/>
  <c r="BB20" i="48" s="1"/>
  <c r="BB21" i="48" s="1"/>
  <c r="BB22" i="48" s="1"/>
  <c r="BB94" i="48" s="1"/>
  <c r="BB95" i="48" s="1"/>
  <c r="BA18" i="48"/>
  <c r="AY18" i="48"/>
  <c r="AX18" i="48"/>
  <c r="BH18" i="48" s="1"/>
  <c r="AW20" i="48"/>
  <c r="BJ20" i="48" s="1"/>
  <c r="DN17" i="48"/>
  <c r="DK17" i="48"/>
  <c r="DB17" i="48"/>
  <c r="CP17" i="48"/>
  <c r="CA17" i="48"/>
  <c r="DU16" i="48"/>
  <c r="DN16" i="48"/>
  <c r="DK16" i="48"/>
  <c r="DB16" i="48"/>
  <c r="CA16" i="48"/>
  <c r="BP16" i="48"/>
  <c r="BO16" i="48"/>
  <c r="BN16" i="48"/>
  <c r="BM16" i="48"/>
  <c r="BL16" i="48"/>
  <c r="DU15" i="48"/>
  <c r="DN15" i="48"/>
  <c r="DK15" i="48"/>
  <c r="DB15" i="48"/>
  <c r="CA15" i="48"/>
  <c r="DU14" i="48"/>
  <c r="DN14" i="48"/>
  <c r="DK14" i="48"/>
  <c r="DB14" i="48"/>
  <c r="CP14" i="48"/>
  <c r="CT7" i="48" s="1"/>
  <c r="CA14" i="48"/>
  <c r="DU13" i="48"/>
  <c r="DN13" i="48"/>
  <c r="DK13" i="48"/>
  <c r="DB13" i="48"/>
  <c r="CP13" i="48"/>
  <c r="CA13" i="48"/>
  <c r="DU12" i="48"/>
  <c r="DN12" i="48"/>
  <c r="DK12" i="48"/>
  <c r="DB12" i="48"/>
  <c r="CA12" i="48"/>
  <c r="DU11" i="48"/>
  <c r="DK11" i="48"/>
  <c r="DB11" i="48"/>
  <c r="CA11" i="48"/>
  <c r="DK10" i="48"/>
  <c r="DB10" i="48"/>
  <c r="CP10" i="48"/>
  <c r="CA10" i="48"/>
  <c r="DN9" i="48"/>
  <c r="DK9" i="48"/>
  <c r="DB9" i="48"/>
  <c r="CP9" i="48"/>
  <c r="CA9" i="48"/>
  <c r="DN8" i="48"/>
  <c r="DK8" i="48"/>
  <c r="DB8" i="48"/>
  <c r="CA8" i="48"/>
  <c r="AV8" i="48"/>
  <c r="AY8" i="48" s="1"/>
  <c r="B8" i="48"/>
  <c r="DN7" i="48"/>
  <c r="DK7" i="48"/>
  <c r="DB7" i="48"/>
  <c r="CP7" i="48"/>
  <c r="CA7" i="48"/>
  <c r="DN6" i="48"/>
  <c r="DK6" i="48"/>
  <c r="DB6" i="48"/>
  <c r="CP6" i="48"/>
  <c r="CA6" i="48"/>
  <c r="DN5" i="48"/>
  <c r="DK5" i="48"/>
  <c r="DB5" i="48"/>
  <c r="CP5" i="48"/>
  <c r="CA5" i="48"/>
  <c r="B5" i="48"/>
  <c r="DN4" i="48"/>
  <c r="DK4" i="48"/>
  <c r="DB4" i="48"/>
  <c r="CP4" i="48"/>
  <c r="CA4" i="48"/>
  <c r="L4" i="48"/>
  <c r="AG4" i="48" s="1"/>
  <c r="CP8" i="48" s="1"/>
  <c r="DN3" i="48"/>
  <c r="DK3" i="48"/>
  <c r="DB3" i="48"/>
  <c r="CP3" i="48"/>
  <c r="CA3" i="48"/>
  <c r="AC3" i="48"/>
  <c r="CA2" i="48"/>
  <c r="AV2" i="48"/>
  <c r="I2" i="48"/>
  <c r="AV1" i="48"/>
  <c r="DK113" i="5"/>
  <c r="AW63" i="48"/>
  <c r="BM67" i="48"/>
  <c r="BJ27" i="48"/>
  <c r="BN67" i="48"/>
  <c r="BJ35" i="48"/>
  <c r="BE44" i="48"/>
  <c r="BF44" i="48" s="1"/>
  <c r="BO67" i="48"/>
  <c r="AZ47" i="48"/>
  <c r="BK47" i="48" s="1"/>
  <c r="AZ60" i="48"/>
  <c r="BK60" i="48" s="1"/>
  <c r="AZ67" i="48"/>
  <c r="BK67" i="48" s="1"/>
  <c r="BL67" i="48"/>
  <c r="BK44" i="48"/>
  <c r="AV72" i="11"/>
  <c r="DN27" i="48" s="1"/>
  <c r="BR2" i="11"/>
  <c r="DN80" i="5"/>
  <c r="DN72" i="5"/>
  <c r="DN73" i="5"/>
  <c r="DN66" i="5"/>
  <c r="AV46" i="5"/>
  <c r="DN65" i="5" s="1"/>
  <c r="DK112" i="5"/>
  <c r="DK111" i="5"/>
  <c r="DK110" i="5"/>
  <c r="DK109" i="5"/>
  <c r="DK108" i="5"/>
  <c r="DK107" i="5"/>
  <c r="DK106" i="5"/>
  <c r="DK105" i="5"/>
  <c r="DK104" i="5"/>
  <c r="DK103" i="5"/>
  <c r="DK102" i="5"/>
  <c r="DK101" i="5"/>
  <c r="DK100" i="5"/>
  <c r="DK99" i="5"/>
  <c r="DK98" i="5"/>
  <c r="DK97" i="5"/>
  <c r="DK96" i="5"/>
  <c r="DK95" i="5"/>
  <c r="DK94" i="5"/>
  <c r="DK93" i="5"/>
  <c r="DK92" i="5"/>
  <c r="DK91" i="5"/>
  <c r="DK90" i="5"/>
  <c r="DK89" i="5"/>
  <c r="DK88" i="5"/>
  <c r="DK87" i="5"/>
  <c r="DK86" i="5"/>
  <c r="DK85" i="5"/>
  <c r="DK84" i="5"/>
  <c r="DK83" i="5"/>
  <c r="DK82" i="5"/>
  <c r="DK81" i="5"/>
  <c r="DK80" i="5"/>
  <c r="DK79" i="5"/>
  <c r="DK78" i="5"/>
  <c r="DK77" i="5"/>
  <c r="DK76" i="5"/>
  <c r="DK75" i="5"/>
  <c r="DK74" i="5"/>
  <c r="DK73" i="5"/>
  <c r="DK72" i="5"/>
  <c r="DK71" i="5"/>
  <c r="DK70" i="5"/>
  <c r="DK69" i="5"/>
  <c r="DK68" i="5"/>
  <c r="DK67" i="5"/>
  <c r="DK66" i="5"/>
  <c r="DK65" i="5"/>
  <c r="DK64" i="5"/>
  <c r="DK63" i="5"/>
  <c r="DK62" i="5"/>
  <c r="DK61" i="5"/>
  <c r="DK60" i="5"/>
  <c r="DK59" i="5"/>
  <c r="DK58" i="5"/>
  <c r="DK57" i="5"/>
  <c r="DK44" i="5"/>
  <c r="DK43" i="5"/>
  <c r="DK42" i="5"/>
  <c r="DK41" i="5"/>
  <c r="DK40" i="5"/>
  <c r="DK39" i="5"/>
  <c r="DK38" i="5"/>
  <c r="DK37" i="5"/>
  <c r="DK36" i="5"/>
  <c r="DK35" i="5"/>
  <c r="AV4" i="11"/>
  <c r="AW69" i="5"/>
  <c r="AZ127" i="43"/>
  <c r="AY127" i="43"/>
  <c r="AX127" i="43"/>
  <c r="AW127" i="43" s="1"/>
  <c r="AV127" i="43"/>
  <c r="B117" i="43" s="1"/>
  <c r="AV126" i="43"/>
  <c r="AV125" i="43"/>
  <c r="AV122" i="43"/>
  <c r="AZ120" i="43"/>
  <c r="AY120" i="43"/>
  <c r="AW120" i="43" s="1"/>
  <c r="AX120" i="43"/>
  <c r="AV120" i="43"/>
  <c r="AV119" i="43"/>
  <c r="AV118" i="43"/>
  <c r="B104" i="43"/>
  <c r="AV99" i="43"/>
  <c r="AV100" i="43"/>
  <c r="AV97" i="43"/>
  <c r="AV98" i="43"/>
  <c r="AY93" i="43"/>
  <c r="AV92" i="43"/>
  <c r="AW92" i="43" s="1"/>
  <c r="AW88" i="43"/>
  <c r="AV88" i="43"/>
  <c r="AZ88" i="43" s="1"/>
  <c r="AV87" i="43"/>
  <c r="BC79" i="43"/>
  <c r="BB79" i="43"/>
  <c r="BA79" i="43"/>
  <c r="AZ79" i="43"/>
  <c r="AY79" i="43"/>
  <c r="AX79" i="43"/>
  <c r="BD79" i="43" s="1"/>
  <c r="BD80" i="43" s="1"/>
  <c r="AW79" i="43"/>
  <c r="AV79" i="43"/>
  <c r="AV76" i="43"/>
  <c r="AW72" i="43"/>
  <c r="AV72" i="43"/>
  <c r="AV71" i="43"/>
  <c r="AV70" i="43"/>
  <c r="AV60" i="43"/>
  <c r="AW55" i="43"/>
  <c r="AV55" i="43"/>
  <c r="AW53" i="43"/>
  <c r="AV53" i="43"/>
  <c r="AV51" i="43"/>
  <c r="B48" i="43" s="1"/>
  <c r="AV43" i="43"/>
  <c r="AW38" i="43"/>
  <c r="AV38" i="43"/>
  <c r="AW36" i="43"/>
  <c r="AV36" i="43"/>
  <c r="AV34" i="43"/>
  <c r="AV27" i="43"/>
  <c r="B13" i="43"/>
  <c r="AW87" i="43"/>
  <c r="DK56" i="5"/>
  <c r="DK55" i="5"/>
  <c r="AV88" i="11"/>
  <c r="AW62" i="5"/>
  <c r="AW61" i="5"/>
  <c r="AW111" i="5"/>
  <c r="AH101" i="5"/>
  <c r="L101" i="5"/>
  <c r="CA84" i="5"/>
  <c r="I2" i="5"/>
  <c r="J5" i="48"/>
  <c r="AV24" i="5"/>
  <c r="DK54" i="5"/>
  <c r="AW72" i="11"/>
  <c r="CP50" i="5" s="1"/>
  <c r="AV60" i="11"/>
  <c r="AW53" i="11"/>
  <c r="CP36" i="5" s="1"/>
  <c r="AV53" i="11"/>
  <c r="AW36" i="11"/>
  <c r="CP21" i="5" s="1"/>
  <c r="AV36" i="11"/>
  <c r="AZ127" i="11"/>
  <c r="AZ120" i="11"/>
  <c r="DK53" i="5"/>
  <c r="DK34" i="5"/>
  <c r="AX127" i="11"/>
  <c r="AX120" i="11"/>
  <c r="AW120" i="11" s="1"/>
  <c r="AV122" i="11"/>
  <c r="AV118" i="11"/>
  <c r="B104" i="11"/>
  <c r="V5" i="48" s="1"/>
  <c r="J7" i="32"/>
  <c r="AZ88" i="11"/>
  <c r="DK47" i="5"/>
  <c r="DK52" i="5"/>
  <c r="DK49" i="5"/>
  <c r="DK51" i="5"/>
  <c r="DK48" i="5"/>
  <c r="DK50" i="5"/>
  <c r="DK27" i="5"/>
  <c r="DK31" i="5"/>
  <c r="DK28" i="5"/>
  <c r="DK32" i="5"/>
  <c r="DK29" i="5"/>
  <c r="DK33" i="5"/>
  <c r="DK30" i="5"/>
  <c r="J44" i="32"/>
  <c r="J43" i="32"/>
  <c r="J42" i="32"/>
  <c r="J41" i="32"/>
  <c r="J40" i="32"/>
  <c r="J39" i="32"/>
  <c r="J38" i="32"/>
  <c r="J37" i="32"/>
  <c r="J36" i="32"/>
  <c r="J31" i="32"/>
  <c r="J30" i="32"/>
  <c r="J29" i="32"/>
  <c r="J28" i="32"/>
  <c r="J27" i="32"/>
  <c r="J26" i="32"/>
  <c r="J25" i="32"/>
  <c r="J24" i="32"/>
  <c r="J23" i="32"/>
  <c r="J22" i="32"/>
  <c r="J21" i="32"/>
  <c r="J20" i="32"/>
  <c r="J19" i="32"/>
  <c r="J15" i="32"/>
  <c r="J14" i="32"/>
  <c r="C4" i="29"/>
  <c r="H5" i="29"/>
  <c r="J2" i="32" s="1"/>
  <c r="AV126" i="11"/>
  <c r="AV119" i="11"/>
  <c r="AV127" i="11"/>
  <c r="AY127" i="11"/>
  <c r="AW127" i="11"/>
  <c r="AY120" i="11"/>
  <c r="AV125" i="11"/>
  <c r="AV76" i="11"/>
  <c r="AW55" i="11"/>
  <c r="AV55" i="11"/>
  <c r="AW38" i="11"/>
  <c r="AV38" i="11"/>
  <c r="AV99" i="11"/>
  <c r="DU6" i="5" s="1"/>
  <c r="AV97" i="11"/>
  <c r="DU4" i="5" s="1"/>
  <c r="AY93" i="11"/>
  <c r="CA79" i="5"/>
  <c r="CA80" i="5"/>
  <c r="CA81" i="5"/>
  <c r="CA82" i="5"/>
  <c r="CA83" i="5"/>
  <c r="CA78" i="5"/>
  <c r="CA77" i="5"/>
  <c r="CA76" i="5"/>
  <c r="CA75" i="5"/>
  <c r="CA74" i="5"/>
  <c r="CA73" i="5"/>
  <c r="CA72" i="5"/>
  <c r="CA71" i="5"/>
  <c r="CA70" i="5"/>
  <c r="CA69" i="5"/>
  <c r="CA68" i="5"/>
  <c r="CA67" i="5"/>
  <c r="CA66" i="5"/>
  <c r="BA79" i="11"/>
  <c r="BB79" i="11"/>
  <c r="BC79" i="11"/>
  <c r="AV27" i="11"/>
  <c r="U97" i="5"/>
  <c r="U96" i="5"/>
  <c r="CA65" i="5"/>
  <c r="CA64" i="5"/>
  <c r="CA63" i="5"/>
  <c r="CA62" i="5"/>
  <c r="CA55" i="5"/>
  <c r="CA56" i="5"/>
  <c r="CA57" i="5"/>
  <c r="CA58" i="5"/>
  <c r="CA59" i="5"/>
  <c r="CA60" i="5"/>
  <c r="CA61" i="5"/>
  <c r="AV92" i="11"/>
  <c r="AW92" i="11" s="1"/>
  <c r="AZ79" i="11"/>
  <c r="AY79" i="11"/>
  <c r="AX79" i="11"/>
  <c r="AW79" i="11"/>
  <c r="AV79" i="11"/>
  <c r="BD79" i="11" s="1"/>
  <c r="BD80" i="11" s="1"/>
  <c r="CA43" i="5"/>
  <c r="AV1" i="5"/>
  <c r="CA8" i="5"/>
  <c r="CA51" i="5"/>
  <c r="CA54" i="5"/>
  <c r="CA53" i="5"/>
  <c r="CA52" i="5"/>
  <c r="CA50" i="5"/>
  <c r="CA49" i="5"/>
  <c r="CA48" i="5"/>
  <c r="CA47" i="5"/>
  <c r="CA46" i="5"/>
  <c r="CA45" i="5"/>
  <c r="CA44" i="5"/>
  <c r="CA42" i="5"/>
  <c r="CA41" i="5"/>
  <c r="CA40" i="5"/>
  <c r="CA39" i="5"/>
  <c r="CA38" i="5"/>
  <c r="CA37" i="5"/>
  <c r="CA36" i="5"/>
  <c r="CA35" i="5"/>
  <c r="CA34" i="5"/>
  <c r="CA33" i="5"/>
  <c r="CA32" i="5"/>
  <c r="CA31" i="5"/>
  <c r="CA30" i="5"/>
  <c r="CA29" i="5"/>
  <c r="CA28" i="5"/>
  <c r="CA27" i="5"/>
  <c r="CA26" i="5"/>
  <c r="CA25" i="5"/>
  <c r="CA24" i="5"/>
  <c r="CA23" i="5"/>
  <c r="CA22" i="5"/>
  <c r="CA21" i="5"/>
  <c r="CA20" i="5"/>
  <c r="CA19" i="5"/>
  <c r="CA18" i="5"/>
  <c r="CA17" i="5"/>
  <c r="CA16" i="5"/>
  <c r="CA15" i="5"/>
  <c r="CA14" i="5"/>
  <c r="CA13" i="5"/>
  <c r="CA12" i="5"/>
  <c r="CA11" i="5"/>
  <c r="CA10" i="5"/>
  <c r="CA9" i="5"/>
  <c r="CA7" i="5"/>
  <c r="CA6" i="5"/>
  <c r="CA5" i="5"/>
  <c r="CA4" i="5"/>
  <c r="CA3" i="5"/>
  <c r="CA2" i="5"/>
  <c r="CT18" i="5"/>
  <c r="CT14" i="5"/>
  <c r="CT10" i="5"/>
  <c r="CT17" i="5"/>
  <c r="CT13" i="5"/>
  <c r="CT16" i="5"/>
  <c r="CT12" i="5"/>
  <c r="CT19" i="5"/>
  <c r="CT15" i="5"/>
  <c r="CT11" i="5"/>
  <c r="AC3" i="5"/>
  <c r="CT7" i="5"/>
  <c r="CT9" i="5"/>
  <c r="CT8" i="5"/>
  <c r="DK22" i="5"/>
  <c r="DK18" i="5"/>
  <c r="DK14" i="5"/>
  <c r="DK10" i="5"/>
  <c r="DK21" i="5"/>
  <c r="DK17" i="5"/>
  <c r="DK13" i="5"/>
  <c r="DK8" i="5"/>
  <c r="DK3" i="5"/>
  <c r="DK5" i="5"/>
  <c r="DK20" i="5"/>
  <c r="DK16" i="5"/>
  <c r="DK12" i="5"/>
  <c r="DK7" i="5"/>
  <c r="DK4" i="5"/>
  <c r="DK25" i="5"/>
  <c r="DK26" i="5"/>
  <c r="DK23" i="5"/>
  <c r="DK19" i="5"/>
  <c r="DK15" i="5"/>
  <c r="DK11" i="5"/>
  <c r="DK6" i="5"/>
  <c r="DK9" i="5"/>
  <c r="DK24" i="5"/>
  <c r="CT6" i="5"/>
  <c r="CT5" i="5"/>
  <c r="CT3" i="5"/>
  <c r="CT4" i="5" s="1"/>
  <c r="AW87" i="11"/>
  <c r="J5" i="5"/>
  <c r="BP27" i="5"/>
  <c r="BO47" i="5"/>
  <c r="BO31" i="5"/>
  <c r="BN31" i="5"/>
  <c r="BP31" i="5"/>
  <c r="BL44" i="5"/>
  <c r="BP52" i="5"/>
  <c r="BN52" i="5"/>
  <c r="BL52" i="5"/>
  <c r="BO52" i="5"/>
  <c r="BM52" i="5"/>
  <c r="AZ8" i="5" l="1"/>
  <c r="DU4" i="48"/>
  <c r="AV67" i="11"/>
  <c r="BK45" i="5"/>
  <c r="DN28" i="48"/>
  <c r="DD13" i="5"/>
  <c r="CP19" i="48"/>
  <c r="CP63" i="5"/>
  <c r="DN173" i="5"/>
  <c r="DN47" i="5"/>
  <c r="AV25" i="5"/>
  <c r="DN58" i="5"/>
  <c r="AW82" i="5"/>
  <c r="AV118" i="5"/>
  <c r="CP51" i="48"/>
  <c r="AE139" i="5"/>
  <c r="AA129" i="5"/>
  <c r="CP38" i="48"/>
  <c r="AX109" i="5"/>
  <c r="DN83" i="5"/>
  <c r="DD51" i="5"/>
  <c r="AV5" i="11"/>
  <c r="DD49" i="5"/>
  <c r="AW63" i="5"/>
  <c r="AV32" i="11"/>
  <c r="AV98" i="11"/>
  <c r="DN104" i="5"/>
  <c r="AY68" i="5"/>
  <c r="P5" i="48"/>
  <c r="P5" i="5"/>
  <c r="CP71" i="5"/>
  <c r="CP71" i="48"/>
  <c r="B4" i="32"/>
  <c r="B6" i="32"/>
  <c r="B3" i="32"/>
  <c r="B5" i="32"/>
  <c r="CP36" i="48"/>
  <c r="V5" i="5"/>
  <c r="J3" i="32"/>
  <c r="H4" i="29" s="1"/>
  <c r="CT19" i="48"/>
  <c r="AX88" i="11"/>
  <c r="DN10" i="48" s="1"/>
  <c r="DU5" i="5"/>
  <c r="AV100" i="11"/>
  <c r="AX88" i="43"/>
  <c r="CT3" i="48"/>
  <c r="CT4" i="48" s="1"/>
  <c r="DU6" i="48"/>
  <c r="AW28" i="48"/>
  <c r="BJ28" i="48" s="1"/>
  <c r="DN83" i="48"/>
  <c r="DU3" i="5"/>
  <c r="J2" i="54"/>
  <c r="DU5" i="48"/>
  <c r="D4" i="29"/>
  <c r="AY88" i="11"/>
  <c r="AY88" i="43"/>
  <c r="CT13" i="48"/>
  <c r="CT16" i="48"/>
  <c r="DU3" i="48"/>
  <c r="AW32" i="5"/>
  <c r="H4" i="53"/>
  <c r="AX20" i="5"/>
  <c r="BH20" i="5" s="1"/>
  <c r="DN28" i="5"/>
  <c r="Y5" i="48"/>
  <c r="Y5" i="5"/>
  <c r="AZ109" i="48"/>
  <c r="AW98" i="48"/>
  <c r="BJ98" i="48" s="1"/>
  <c r="AW19" i="48"/>
  <c r="BJ19" i="48" s="1"/>
  <c r="BE67" i="48"/>
  <c r="BF67" i="48" s="1"/>
  <c r="BK28" i="48"/>
  <c r="BK27" i="48"/>
  <c r="BM64" i="48"/>
  <c r="BE65" i="48"/>
  <c r="BF65" i="48" s="1"/>
  <c r="BO65" i="48"/>
  <c r="BJ31" i="48"/>
  <c r="AY68" i="48"/>
  <c r="BO64" i="48"/>
  <c r="AZ65" i="48"/>
  <c r="BK65" i="48" s="1"/>
  <c r="AZ31" i="48"/>
  <c r="AZ33" i="48"/>
  <c r="BJ33" i="48"/>
  <c r="BJ96" i="48"/>
  <c r="BJ29" i="48"/>
  <c r="AZ29" i="48"/>
  <c r="AX66" i="48"/>
  <c r="CT22" i="5"/>
  <c r="CT21" i="5"/>
  <c r="CT20" i="5"/>
  <c r="AG4" i="5"/>
  <c r="CP8" i="5" s="1"/>
  <c r="CT12" i="48"/>
  <c r="CT14" i="48"/>
  <c r="AX8" i="48"/>
  <c r="AZ8" i="48" s="1"/>
  <c r="CT10" i="48"/>
  <c r="CT11" i="48"/>
  <c r="CT9" i="48"/>
  <c r="CT17" i="48"/>
  <c r="CT15" i="48"/>
  <c r="CT6" i="48"/>
  <c r="CT8" i="48"/>
  <c r="CT18" i="48"/>
  <c r="CT5" i="48"/>
  <c r="AY72" i="48"/>
  <c r="AV59" i="48"/>
  <c r="BF47" i="48"/>
  <c r="BE48" i="48"/>
  <c r="BF48" i="48" s="1"/>
  <c r="AZ48" i="48"/>
  <c r="BK48" i="48" s="1"/>
  <c r="AW49" i="48"/>
  <c r="AZ35" i="48"/>
  <c r="BE45" i="48"/>
  <c r="BF45" i="48" s="1"/>
  <c r="AE134" i="48"/>
  <c r="AE147" i="48" s="1"/>
  <c r="DN22" i="48" s="1"/>
  <c r="BE64" i="48"/>
  <c r="BF64" i="48" s="1"/>
  <c r="BM71" i="48"/>
  <c r="BF60" i="48"/>
  <c r="BJ22" i="48"/>
  <c r="BK22" i="48"/>
  <c r="AZ18" i="48"/>
  <c r="AX22" i="48"/>
  <c r="BH22" i="48" s="1"/>
  <c r="AZ33" i="5"/>
  <c r="DN48" i="5"/>
  <c r="DN27" i="5"/>
  <c r="DN48" i="48"/>
  <c r="CP50" i="48"/>
  <c r="AV73" i="11"/>
  <c r="AW73" i="11" s="1"/>
  <c r="DN75" i="5" s="1"/>
  <c r="V148" i="5"/>
  <c r="DN118" i="5"/>
  <c r="AX76" i="5"/>
  <c r="AW28" i="5"/>
  <c r="BK31" i="5"/>
  <c r="BK32" i="5"/>
  <c r="AW34" i="5"/>
  <c r="AZ27" i="5"/>
  <c r="AZ23" i="5"/>
  <c r="BK23" i="5"/>
  <c r="BN64" i="5"/>
  <c r="BL64" i="5"/>
  <c r="CP70" i="5"/>
  <c r="BL29" i="5"/>
  <c r="BP29" i="5"/>
  <c r="BN27" i="5"/>
  <c r="BL27" i="5"/>
  <c r="BM27" i="5"/>
  <c r="BO27" i="5"/>
  <c r="BP28" i="5"/>
  <c r="BO33" i="5"/>
  <c r="BP33" i="5"/>
  <c r="BL33" i="5"/>
  <c r="BN34" i="5"/>
  <c r="BM33" i="5"/>
  <c r="BN33" i="5"/>
  <c r="BM31" i="5"/>
  <c r="BO32" i="5"/>
  <c r="BL31" i="5"/>
  <c r="BN32" i="5"/>
  <c r="AE129" i="5" l="1"/>
  <c r="V119" i="5"/>
  <c r="BP98" i="48"/>
  <c r="DN10" i="5"/>
  <c r="DN138" i="5"/>
  <c r="DN11" i="5"/>
  <c r="DN11" i="48"/>
  <c r="AX25" i="5"/>
  <c r="AX25" i="48"/>
  <c r="BK30" i="48"/>
  <c r="BK29" i="48"/>
  <c r="BK33" i="48"/>
  <c r="BK34" i="48"/>
  <c r="BK31" i="48"/>
  <c r="BK32" i="48"/>
  <c r="AZ49" i="48"/>
  <c r="BK49" i="48" s="1"/>
  <c r="BK35" i="48"/>
  <c r="BK36" i="48"/>
  <c r="BK21" i="48"/>
  <c r="BK19" i="48"/>
  <c r="BK20" i="48"/>
  <c r="BK18" i="48"/>
  <c r="BI27" i="5"/>
  <c r="BI28" i="5" s="1"/>
  <c r="BK33" i="5"/>
  <c r="DN126" i="5"/>
  <c r="BK27" i="5"/>
  <c r="BK28" i="5"/>
  <c r="BJ20" i="5"/>
  <c r="AW22" i="5"/>
  <c r="AW21" i="5"/>
  <c r="AV66" i="11"/>
  <c r="AV68" i="11"/>
  <c r="DN75" i="48"/>
  <c r="BJ23" i="5"/>
  <c r="BO65" i="5"/>
  <c r="BO67" i="5"/>
  <c r="BK34" i="5"/>
  <c r="BK30" i="5"/>
  <c r="BK29" i="5"/>
  <c r="AW30" i="5"/>
  <c r="B9" i="48"/>
  <c r="B4" i="48" s="1"/>
  <c r="V148" i="48"/>
  <c r="AE5" i="48"/>
  <c r="BE49" i="48"/>
  <c r="BF49" i="48" s="1"/>
  <c r="BN64" i="48"/>
  <c r="AZ64" i="48"/>
  <c r="BK64" i="48" s="1"/>
  <c r="BO71" i="48"/>
  <c r="BN71" i="48"/>
  <c r="AZ71" i="48"/>
  <c r="BK71" i="48" s="1"/>
  <c r="DN36" i="5"/>
  <c r="AX66" i="5"/>
  <c r="BE65" i="5"/>
  <c r="BF65" i="5" s="1"/>
  <c r="BO64" i="5"/>
  <c r="AW48" i="5"/>
  <c r="AZ48" i="5" s="1"/>
  <c r="BK48" i="5" s="1"/>
  <c r="DN85" i="5"/>
  <c r="BM65" i="5"/>
  <c r="BE45" i="5"/>
  <c r="BF45" i="5" s="1"/>
  <c r="AZ67" i="5"/>
  <c r="BJ94" i="48"/>
  <c r="AW95" i="48"/>
  <c r="AZ94" i="48" s="1"/>
  <c r="AW97" i="48"/>
  <c r="AY109" i="48"/>
  <c r="BP94" i="5"/>
  <c r="BJ94" i="5"/>
  <c r="BP95" i="5"/>
  <c r="BJ95" i="5"/>
  <c r="AW25" i="48"/>
  <c r="BF75" i="5"/>
  <c r="BN65" i="5"/>
  <c r="BE60" i="5"/>
  <c r="BF60" i="5" s="1"/>
  <c r="BO75" i="5"/>
  <c r="BF71" i="5"/>
  <c r="BL65" i="5"/>
  <c r="BF64" i="5"/>
  <c r="BO71" i="5"/>
  <c r="BP65" i="5"/>
  <c r="AZ65" i="5"/>
  <c r="BM64" i="5"/>
  <c r="AZ44" i="5"/>
  <c r="BF47" i="5"/>
  <c r="BE48" i="5"/>
  <c r="BF48" i="5" s="1"/>
  <c r="AV74" i="11"/>
  <c r="AV64" i="11"/>
  <c r="AV31" i="11"/>
  <c r="B27" i="11" s="1"/>
  <c r="AV83" i="11"/>
  <c r="BK36" i="5"/>
  <c r="BK35" i="5"/>
  <c r="BN75" i="5"/>
  <c r="BN71" i="5"/>
  <c r="BN67" i="5"/>
  <c r="BP64" i="5"/>
  <c r="AZ64" i="5"/>
  <c r="AZ60" i="5"/>
  <c r="AZ47" i="5"/>
  <c r="AW36" i="5"/>
  <c r="BE67" i="5"/>
  <c r="BF67" i="5" s="1"/>
  <c r="AV2" i="43"/>
  <c r="BM75" i="5"/>
  <c r="BM71" i="5"/>
  <c r="BM67" i="5"/>
  <c r="BP75" i="5"/>
  <c r="BL75" i="5"/>
  <c r="BP71" i="5"/>
  <c r="BL71" i="5"/>
  <c r="BP67" i="5"/>
  <c r="BL67" i="5"/>
  <c r="CV7" i="5"/>
  <c r="CU7" i="5" s="1"/>
  <c r="CV11" i="5"/>
  <c r="CU11" i="5" s="1"/>
  <c r="CV5" i="5"/>
  <c r="CU5" i="5" s="1"/>
  <c r="CV18" i="5"/>
  <c r="CU18" i="5" s="1"/>
  <c r="CV6" i="5"/>
  <c r="CU6" i="5" s="1"/>
  <c r="CV8" i="5"/>
  <c r="CU8" i="5" s="1"/>
  <c r="CV19" i="5"/>
  <c r="CU19" i="5" s="1"/>
  <c r="CV9" i="5"/>
  <c r="CU9" i="5" s="1"/>
  <c r="AZ109" i="5"/>
  <c r="CV25" i="5" s="1"/>
  <c r="AZ94" i="5"/>
  <c r="AZ95" i="5" s="1"/>
  <c r="BK95" i="5" s="1"/>
  <c r="BP97" i="5"/>
  <c r="BJ97" i="5"/>
  <c r="BJ96" i="5"/>
  <c r="AZ96" i="5"/>
  <c r="AW98" i="5"/>
  <c r="BP96" i="5"/>
  <c r="BP50" i="5"/>
  <c r="BO50" i="5"/>
  <c r="BN50" i="5"/>
  <c r="BM50" i="5"/>
  <c r="BL50" i="5"/>
  <c r="BN28" i="5"/>
  <c r="BO28" i="5"/>
  <c r="BL45" i="5"/>
  <c r="BP45" i="5"/>
  <c r="BO45" i="5"/>
  <c r="BM45" i="5"/>
  <c r="BN45" i="5"/>
  <c r="BP47" i="5"/>
  <c r="BL47" i="5"/>
  <c r="BM47" i="5"/>
  <c r="BP48" i="5"/>
  <c r="BN47" i="5"/>
  <c r="BP34" i="5"/>
  <c r="BO34" i="5"/>
  <c r="BP35" i="5"/>
  <c r="BN35" i="5"/>
  <c r="BL35" i="5"/>
  <c r="BM35" i="5"/>
  <c r="BO35" i="5"/>
  <c r="BP32" i="5"/>
  <c r="BM44" i="5"/>
  <c r="BO44" i="5"/>
  <c r="BN44" i="5"/>
  <c r="BP44" i="5"/>
  <c r="B60" i="11" l="1"/>
  <c r="CV17" i="5"/>
  <c r="CU17" i="5" s="1"/>
  <c r="V120" i="5"/>
  <c r="AE147" i="5"/>
  <c r="CV16" i="5"/>
  <c r="CU16" i="5" s="1"/>
  <c r="CV10" i="5"/>
  <c r="CU10" i="5" s="1"/>
  <c r="DD89" i="5" s="1"/>
  <c r="CV13" i="5"/>
  <c r="CU13" i="5" s="1"/>
  <c r="AV25" i="48"/>
  <c r="AB5" i="48" s="1"/>
  <c r="CV15" i="5"/>
  <c r="CU15" i="5" s="1"/>
  <c r="CV14" i="5"/>
  <c r="CU14" i="5" s="1"/>
  <c r="AX21" i="5"/>
  <c r="BH21" i="5" s="1"/>
  <c r="AX22" i="5"/>
  <c r="BH22" i="5" s="1"/>
  <c r="DK45" i="5"/>
  <c r="BL60" i="5"/>
  <c r="BP60" i="5"/>
  <c r="BM60" i="5"/>
  <c r="BO60" i="5"/>
  <c r="BN60" i="5"/>
  <c r="BN18" i="5"/>
  <c r="BN15" i="5"/>
  <c r="BN23" i="5"/>
  <c r="BN12" i="5"/>
  <c r="BN13" i="5"/>
  <c r="BP18" i="5"/>
  <c r="BP13" i="5"/>
  <c r="BN11" i="5"/>
  <c r="BN16" i="5"/>
  <c r="BO13" i="5"/>
  <c r="BN14" i="5"/>
  <c r="BP17" i="5"/>
  <c r="BO18" i="5"/>
  <c r="BP14" i="5"/>
  <c r="BP12" i="5"/>
  <c r="BO11" i="5"/>
  <c r="BO14" i="5"/>
  <c r="BO12" i="5"/>
  <c r="BO17" i="5"/>
  <c r="BP15" i="5"/>
  <c r="BO16" i="5"/>
  <c r="BP23" i="5"/>
  <c r="BN17" i="5"/>
  <c r="BP16" i="5"/>
  <c r="BO23" i="5"/>
  <c r="BP11" i="5"/>
  <c r="BO15" i="5"/>
  <c r="BN20" i="5"/>
  <c r="BO20" i="5"/>
  <c r="BM11" i="5"/>
  <c r="BL11" i="5"/>
  <c r="BN19" i="5"/>
  <c r="BP20" i="5"/>
  <c r="BO19" i="5"/>
  <c r="BP19" i="5"/>
  <c r="DK46" i="5" l="1"/>
  <c r="BK22" i="5"/>
  <c r="BJ21" i="5"/>
  <c r="BJ22" i="5"/>
  <c r="B4" i="11"/>
  <c r="AW49" i="5"/>
  <c r="DN22" i="5"/>
  <c r="BK44" i="5"/>
  <c r="BK67" i="5"/>
  <c r="BK65" i="5"/>
  <c r="AZ95" i="48"/>
  <c r="BK95" i="48" s="1"/>
  <c r="BK94" i="48"/>
  <c r="CV38" i="48"/>
  <c r="CV29" i="48"/>
  <c r="CV43" i="48"/>
  <c r="CV13" i="48"/>
  <c r="CU13" i="48" s="1"/>
  <c r="CV11" i="48"/>
  <c r="CU11" i="48" s="1"/>
  <c r="CV23" i="48"/>
  <c r="CV8" i="48"/>
  <c r="CU8" i="48" s="1"/>
  <c r="CV16" i="48"/>
  <c r="CU16" i="48" s="1"/>
  <c r="CV7" i="48"/>
  <c r="CU7" i="48" s="1"/>
  <c r="CV44" i="48"/>
  <c r="CV30" i="48"/>
  <c r="CV34" i="48"/>
  <c r="CV40" i="48"/>
  <c r="CV17" i="48"/>
  <c r="CU17" i="48" s="1"/>
  <c r="CV19" i="48"/>
  <c r="CU19" i="48" s="1"/>
  <c r="CV31" i="48"/>
  <c r="CV10" i="48"/>
  <c r="CU10" i="48" s="1"/>
  <c r="CV6" i="48"/>
  <c r="CU6" i="48" s="1"/>
  <c r="CV14" i="48"/>
  <c r="CU14" i="48" s="1"/>
  <c r="CV35" i="48"/>
  <c r="CV21" i="48"/>
  <c r="CV27" i="48"/>
  <c r="CV42" i="48"/>
  <c r="CV33" i="48"/>
  <c r="CV41" i="48"/>
  <c r="CV22" i="48"/>
  <c r="CV5" i="48"/>
  <c r="CU5" i="48" s="1"/>
  <c r="CV9" i="48"/>
  <c r="CU9" i="48" s="1"/>
  <c r="CV37" i="48"/>
  <c r="CV20" i="48"/>
  <c r="CV12" i="48"/>
  <c r="CU12" i="48" s="1"/>
  <c r="CV39" i="48"/>
  <c r="CV28" i="48"/>
  <c r="CV32" i="48"/>
  <c r="CV36" i="48"/>
  <c r="CV18" i="48"/>
  <c r="CU18" i="48" s="1"/>
  <c r="CV26" i="48"/>
  <c r="CV25" i="48"/>
  <c r="CV15" i="48"/>
  <c r="CU15" i="48" s="1"/>
  <c r="CV24" i="48"/>
  <c r="CV3" i="48"/>
  <c r="CU3" i="48" s="1"/>
  <c r="BJ97" i="48"/>
  <c r="BP97" i="48"/>
  <c r="AZ96" i="48"/>
  <c r="BJ95" i="48"/>
  <c r="BP95" i="48"/>
  <c r="DN47" i="48"/>
  <c r="BK94" i="5"/>
  <c r="CV30" i="5"/>
  <c r="CV36" i="5"/>
  <c r="BE49" i="5"/>
  <c r="BF49" i="5" s="1"/>
  <c r="AV83" i="43"/>
  <c r="AV64" i="43"/>
  <c r="AV31" i="43"/>
  <c r="B27" i="43" s="1"/>
  <c r="AV67" i="43"/>
  <c r="AV74" i="43"/>
  <c r="M5" i="5"/>
  <c r="M5" i="48"/>
  <c r="B9" i="5"/>
  <c r="B4" i="5" s="1"/>
  <c r="BK64" i="5"/>
  <c r="BK47" i="5"/>
  <c r="BK60" i="5"/>
  <c r="CV20" i="5"/>
  <c r="CU20" i="5" s="1"/>
  <c r="CV42" i="5"/>
  <c r="CV41" i="5"/>
  <c r="CV32" i="5"/>
  <c r="CV37" i="5"/>
  <c r="CV31" i="5"/>
  <c r="CV38" i="5"/>
  <c r="CV23" i="5"/>
  <c r="CU23" i="5" s="1"/>
  <c r="CV33" i="5"/>
  <c r="CV34" i="5"/>
  <c r="CV44" i="5"/>
  <c r="CV43" i="5"/>
  <c r="CV39" i="5"/>
  <c r="CV35" i="5"/>
  <c r="CV27" i="5"/>
  <c r="CV21" i="5"/>
  <c r="CU21" i="5" s="1"/>
  <c r="CV24" i="5"/>
  <c r="CU24" i="5" s="1"/>
  <c r="DD101" i="5" s="1"/>
  <c r="CV26" i="5"/>
  <c r="CV28" i="5"/>
  <c r="CV40" i="5"/>
  <c r="CV22" i="5"/>
  <c r="CU22" i="5" s="1"/>
  <c r="CV29" i="5"/>
  <c r="BJ98" i="5"/>
  <c r="BP98" i="5"/>
  <c r="AZ97" i="5"/>
  <c r="CV4" i="5"/>
  <c r="CU4" i="5" s="1"/>
  <c r="BK96" i="5"/>
  <c r="BN29" i="5"/>
  <c r="BO29" i="5"/>
  <c r="BM29" i="5"/>
  <c r="BN49" i="5"/>
  <c r="BN48" i="5"/>
  <c r="BP49" i="5"/>
  <c r="BO49" i="5"/>
  <c r="BO48" i="5"/>
  <c r="BN37" i="5"/>
  <c r="BO22" i="5"/>
  <c r="BO37" i="5"/>
  <c r="BO21" i="5"/>
  <c r="BL37" i="5"/>
  <c r="BP22" i="5"/>
  <c r="BP37" i="5"/>
  <c r="BN38" i="5"/>
  <c r="BP21" i="5"/>
  <c r="BM37" i="5"/>
  <c r="BN21" i="5"/>
  <c r="BO38" i="5"/>
  <c r="BN22" i="5"/>
  <c r="BP38" i="5"/>
  <c r="AZ49" i="5" l="1"/>
  <c r="CV12" i="5" s="1"/>
  <c r="CU12" i="5" s="1"/>
  <c r="AV6" i="5"/>
  <c r="AB5" i="5" s="1"/>
  <c r="BK21" i="5"/>
  <c r="BK20" i="5"/>
  <c r="CV3" i="5"/>
  <c r="CU3" i="5" s="1"/>
  <c r="CV4" i="48"/>
  <c r="CU4" i="48" s="1"/>
  <c r="AZ97" i="48"/>
  <c r="BK96" i="48"/>
  <c r="S5" i="5"/>
  <c r="C195" i="5" s="1"/>
  <c r="S5" i="48"/>
  <c r="B3" i="48"/>
  <c r="B60" i="43"/>
  <c r="C23" i="43" s="1"/>
  <c r="BK97" i="5"/>
  <c r="AZ98" i="5"/>
  <c r="BK98" i="5" s="1"/>
  <c r="BK49" i="5" l="1"/>
  <c r="B3" i="5"/>
  <c r="BK97" i="48"/>
  <c r="AZ98" i="48"/>
  <c r="BK98" i="48" s="1"/>
  <c r="B4" i="43"/>
  <c r="I11" i="43" l="1"/>
  <c r="I13" i="43"/>
  <c r="C9" i="43"/>
  <c r="I12" i="43"/>
  <c r="C8" i="43"/>
  <c r="BO30" i="5" l="1"/>
  <c r="BN30" i="5"/>
  <c r="BP30" i="5"/>
  <c r="BP36" i="5"/>
  <c r="BN36" i="5"/>
  <c r="BO36" i="5"/>
  <c r="BO31" i="48"/>
  <c r="BO27" i="48"/>
  <c r="BO47" i="48"/>
  <c r="BO29" i="48"/>
  <c r="BP32" i="48"/>
  <c r="BO19" i="48"/>
  <c r="BM27" i="48"/>
  <c r="BP45" i="48"/>
  <c r="BO35" i="48"/>
  <c r="BL45" i="48"/>
  <c r="BN45" i="48"/>
  <c r="BP21" i="48"/>
  <c r="BM29" i="48"/>
  <c r="BO30" i="48"/>
  <c r="BN34" i="48"/>
  <c r="BN27" i="48"/>
  <c r="BL35" i="48"/>
  <c r="BM45" i="48"/>
  <c r="BP22" i="48"/>
  <c r="BN36" i="48"/>
  <c r="BN32" i="48"/>
  <c r="BN49" i="48"/>
  <c r="BN30" i="48"/>
  <c r="BO49" i="48"/>
  <c r="BL18" i="48"/>
  <c r="BL60" i="48"/>
  <c r="BP60" i="48"/>
  <c r="BN28" i="48"/>
  <c r="BP47" i="48"/>
  <c r="BO45" i="48"/>
  <c r="BO60" i="48"/>
  <c r="BO22" i="48"/>
  <c r="BM31" i="48"/>
  <c r="BN20" i="48"/>
  <c r="BL44" i="48"/>
  <c r="BN19" i="48"/>
  <c r="BP44" i="48"/>
  <c r="BM47" i="48"/>
  <c r="BO18" i="48"/>
  <c r="BP35" i="48"/>
  <c r="BP34" i="48"/>
  <c r="BL27" i="48"/>
  <c r="BN60" i="48"/>
  <c r="BP27" i="48"/>
  <c r="BP49" i="48"/>
  <c r="BL29" i="48"/>
  <c r="BM18" i="48"/>
  <c r="BL33" i="48"/>
  <c r="BM33" i="48"/>
  <c r="BN22" i="48"/>
  <c r="BO21" i="48"/>
  <c r="BM35" i="48"/>
  <c r="BO33" i="48"/>
  <c r="BN47" i="48"/>
  <c r="BP28" i="48"/>
  <c r="BP20" i="48"/>
  <c r="BP33" i="48"/>
  <c r="BO20" i="48"/>
  <c r="BN21" i="48"/>
  <c r="BL47" i="48"/>
  <c r="BN29" i="48"/>
  <c r="BP29" i="48"/>
  <c r="BN44" i="48"/>
  <c r="BP48" i="48"/>
  <c r="BO34" i="48"/>
  <c r="BP36" i="48"/>
  <c r="BP18" i="48"/>
  <c r="BP31" i="48"/>
  <c r="BO48" i="48"/>
  <c r="BN33" i="48"/>
  <c r="BM60" i="48"/>
  <c r="BP30" i="48"/>
  <c r="BN31" i="48"/>
  <c r="BO28" i="48"/>
  <c r="BM44" i="48"/>
  <c r="BN18" i="48"/>
  <c r="BO32" i="48"/>
  <c r="BN35" i="48"/>
  <c r="BP19" i="48"/>
  <c r="BN48" i="48"/>
  <c r="BL31" i="48"/>
  <c r="BO36" i="48"/>
  <c r="BO44" i="48"/>
</calcChain>
</file>

<file path=xl/comments1.xml><?xml version="1.0" encoding="utf-8"?>
<comments xmlns="http://schemas.openxmlformats.org/spreadsheetml/2006/main">
  <authors>
    <author>千葉　武士（SBPS）</author>
    <author>ehamasaki</author>
  </authors>
  <commentList>
    <comment ref="AW88" authorId="0">
      <text>
        <r>
          <rPr>
            <b/>
            <sz val="10"/>
            <color indexed="81"/>
            <rFont val="Meiryo UI"/>
            <family val="3"/>
            <charset val="128"/>
          </rPr>
          <t>取扱区分から
業種区分へ読み替え</t>
        </r>
      </text>
    </comment>
    <comment ref="AX88" authorId="0">
      <text>
        <r>
          <rPr>
            <b/>
            <sz val="10"/>
            <color indexed="81"/>
            <rFont val="Meiryo UI"/>
            <family val="3"/>
            <charset val="128"/>
          </rPr>
          <t>クレジット用販売形態</t>
        </r>
      </text>
    </comment>
    <comment ref="AY88" authorId="0">
      <text>
        <r>
          <rPr>
            <b/>
            <sz val="10"/>
            <color indexed="81"/>
            <rFont val="Meiryo UI"/>
            <family val="3"/>
            <charset val="128"/>
          </rPr>
          <t>クレジット用販売形態
その他</t>
        </r>
      </text>
    </comment>
    <comment ref="AZ88" authorId="0">
      <text>
        <r>
          <rPr>
            <b/>
            <sz val="10"/>
            <color indexed="81"/>
            <rFont val="Meiryo UI"/>
            <family val="3"/>
            <charset val="128"/>
          </rPr>
          <t>PayPay用販売形態</t>
        </r>
      </text>
    </comment>
    <comment ref="C122" authorId="1">
      <text>
        <r>
          <rPr>
            <b/>
            <sz val="11"/>
            <color indexed="81"/>
            <rFont val="ＭＳ Ｐゴシック"/>
            <family val="3"/>
            <charset val="128"/>
          </rPr>
          <t>接続情報のご連絡など、システム設定に関するご案内をさせていただきます。
サイト構築を他社に依頼されている場合は、そのご連絡先でも結構です。
E-mailアドレスにつきましてはグループアドレスのご指定を推奨しております。</t>
        </r>
      </text>
    </comment>
  </commentList>
</comments>
</file>

<file path=xl/comments2.xml><?xml version="1.0" encoding="utf-8"?>
<comments xmlns="http://schemas.openxmlformats.org/spreadsheetml/2006/main">
  <authors>
    <author>奥川　直人（SBPS）</author>
    <author>千葉　武士（SBPS）</author>
    <author>伊藤　一裕（SBPS）</author>
  </authors>
  <commentList>
    <comment ref="CT2" authorId="0">
      <text>
        <r>
          <rPr>
            <sz val="9"/>
            <color indexed="81"/>
            <rFont val="ＭＳ Ｐゴシック"/>
            <family val="3"/>
            <charset val="128"/>
          </rPr>
          <t xml:space="preserve">APIの取り込み項目に要追加
</t>
        </r>
      </text>
    </comment>
    <comment ref="DD2" authorId="0">
      <text>
        <r>
          <rPr>
            <sz val="9"/>
            <color indexed="81"/>
            <rFont val="ＭＳ Ｐゴシック"/>
            <family val="3"/>
            <charset val="128"/>
          </rPr>
          <t xml:space="preserve">Null＝API連携対象外
</t>
        </r>
      </text>
    </comment>
    <comment ref="DN2" authorId="0">
      <text>
        <r>
          <rPr>
            <sz val="9"/>
            <color indexed="81"/>
            <rFont val="ＭＳ Ｐゴシック"/>
            <family val="3"/>
            <charset val="128"/>
          </rPr>
          <t xml:space="preserve">Null＝API連携対象外
</t>
        </r>
      </text>
    </comment>
    <comment ref="DU2" authorId="0">
      <text>
        <r>
          <rPr>
            <sz val="9"/>
            <color indexed="81"/>
            <rFont val="ＭＳ Ｐゴシック"/>
            <family val="3"/>
            <charset val="128"/>
          </rPr>
          <t xml:space="preserve">Null＝API連携対象外
</t>
        </r>
      </text>
    </comment>
    <comment ref="AV25" authorId="1">
      <text>
        <r>
          <rPr>
            <b/>
            <sz val="10"/>
            <color indexed="81"/>
            <rFont val="Meiryo UI"/>
            <family val="3"/>
            <charset val="128"/>
          </rPr>
          <t>Edy用別シート総合判定</t>
        </r>
      </text>
    </comment>
    <comment ref="AW25" authorId="1">
      <text>
        <r>
          <rPr>
            <b/>
            <sz val="10"/>
            <color indexed="81"/>
            <rFont val="Meiryo UI"/>
            <family val="3"/>
            <charset val="128"/>
          </rPr>
          <t>Edy業種ID</t>
        </r>
      </text>
    </comment>
    <comment ref="AX25" authorId="1">
      <text>
        <r>
          <rPr>
            <b/>
            <sz val="10"/>
            <color indexed="81"/>
            <rFont val="Meiryo UI"/>
            <family val="3"/>
            <charset val="128"/>
          </rPr>
          <t>Edyチェックシートの入力</t>
        </r>
      </text>
    </comment>
    <comment ref="AV26" authorId="1">
      <text>
        <r>
          <rPr>
            <b/>
            <sz val="10"/>
            <color indexed="81"/>
            <rFont val="Meiryo UI"/>
            <family val="3"/>
            <charset val="128"/>
          </rPr>
          <t>iD業種</t>
        </r>
      </text>
    </comment>
    <comment ref="AW26" authorId="1">
      <text>
        <r>
          <rPr>
            <b/>
            <sz val="10"/>
            <color indexed="81"/>
            <rFont val="Meiryo UI"/>
            <family val="3"/>
            <charset val="128"/>
          </rPr>
          <t>交通系事業者精算先コード</t>
        </r>
      </text>
    </comment>
    <comment ref="DN27" authorId="1">
      <text>
        <r>
          <rPr>
            <b/>
            <sz val="10"/>
            <color indexed="81"/>
            <rFont val="Meiryo UI"/>
            <family val="3"/>
            <charset val="128"/>
          </rPr>
          <t>店舗住所</t>
        </r>
        <r>
          <rPr>
            <sz val="9"/>
            <color indexed="81"/>
            <rFont val="ＭＳ Ｐゴシック"/>
            <family val="3"/>
            <charset val="128"/>
          </rPr>
          <t xml:space="preserve">
</t>
        </r>
      </text>
    </comment>
    <comment ref="AV28" authorId="1">
      <text>
        <r>
          <rPr>
            <b/>
            <sz val="10"/>
            <color indexed="81"/>
            <rFont val="Meiryo UI"/>
            <family val="3"/>
            <charset val="128"/>
          </rPr>
          <t>電子マネー有無</t>
        </r>
      </text>
    </comment>
    <comment ref="AV46" authorId="1">
      <text>
        <r>
          <rPr>
            <sz val="10"/>
            <color indexed="81"/>
            <rFont val="Meiryo UI"/>
            <family val="3"/>
            <charset val="128"/>
          </rPr>
          <t>WeChatPayビジネスカテゴリ</t>
        </r>
      </text>
    </comment>
    <comment ref="DN48" authorId="1">
      <text>
        <r>
          <rPr>
            <b/>
            <sz val="10"/>
            <color indexed="81"/>
            <rFont val="Meiryo UI"/>
            <family val="3"/>
            <charset val="128"/>
          </rPr>
          <t>店舗住所</t>
        </r>
      </text>
    </comment>
    <comment ref="AY61" authorId="1">
      <text>
        <r>
          <rPr>
            <sz val="10"/>
            <color indexed="81"/>
            <rFont val="Meiryo UI"/>
            <family val="3"/>
            <charset val="128"/>
          </rPr>
          <t>フランチャイズ特約</t>
        </r>
      </text>
    </comment>
    <comment ref="J62" authorId="1">
      <text>
        <r>
          <rPr>
            <sz val="11"/>
            <color indexed="81"/>
            <rFont val="Meiryo UI"/>
            <family val="3"/>
            <charset val="128"/>
          </rPr>
          <t>PayPay Map とは、ユーザー向けアプリ「PayPay」で
PayPayが使えるお店を地図で表示し、
現在位置に近いPayPayが使えるお店を見つけやすくし、
来店誘導と利用促進を図る機能です。</t>
        </r>
      </text>
    </comment>
    <comment ref="J85" authorId="1">
      <text>
        <r>
          <rPr>
            <sz val="11"/>
            <color indexed="81"/>
            <rFont val="Meiryo UI"/>
            <family val="3"/>
            <charset val="128"/>
          </rPr>
          <t>固定IPアドレスをご記入ください。（レンジ指定はできません）
プライベートIPの登録はできませんのでグローバルIPをご登録ください。</t>
        </r>
      </text>
    </comment>
    <comment ref="AX89" authorId="2">
      <text>
        <r>
          <rPr>
            <b/>
            <sz val="9"/>
            <color indexed="81"/>
            <rFont val="ＭＳ Ｐゴシック"/>
            <family val="3"/>
            <charset val="128"/>
          </rPr>
          <t>共通初期費用</t>
        </r>
      </text>
    </comment>
    <comment ref="AY89" authorId="2">
      <text>
        <r>
          <rPr>
            <b/>
            <sz val="9"/>
            <color indexed="81"/>
            <rFont val="ＭＳ Ｐゴシック"/>
            <family val="3"/>
            <charset val="128"/>
          </rPr>
          <t>共通月額固定</t>
        </r>
      </text>
    </comment>
    <comment ref="CH91" authorId="1">
      <text>
        <r>
          <rPr>
            <b/>
            <sz val="9"/>
            <color indexed="81"/>
            <rFont val="ＭＳ Ｐゴシック"/>
            <family val="3"/>
            <charset val="128"/>
          </rPr>
          <t>千葉　武士（SBPS）:</t>
        </r>
        <r>
          <rPr>
            <sz val="9"/>
            <color indexed="81"/>
            <rFont val="ＭＳ Ｐゴシック"/>
            <family val="3"/>
            <charset val="128"/>
          </rPr>
          <t xml:space="preserve">
下記「現在利用無し」から移動</t>
        </r>
      </text>
    </comment>
    <comment ref="AV92" authorId="1">
      <text>
        <r>
          <rPr>
            <b/>
            <sz val="10"/>
            <color indexed="81"/>
            <rFont val="Meiryo UI"/>
            <family val="3"/>
            <charset val="128"/>
          </rPr>
          <t xml:space="preserve">QUICPay取次希望
</t>
        </r>
        <r>
          <rPr>
            <b/>
            <sz val="10"/>
            <color indexed="10"/>
            <rFont val="Meiryo UI"/>
            <family val="3"/>
            <charset val="128"/>
          </rPr>
          <t>※読み替えあり</t>
        </r>
      </text>
    </comment>
    <comment ref="AV109" authorId="1">
      <text>
        <r>
          <rPr>
            <b/>
            <sz val="10"/>
            <color indexed="81"/>
            <rFont val="Meiryo UI"/>
            <family val="3"/>
            <charset val="128"/>
          </rPr>
          <t>早期・複数回入金オプション</t>
        </r>
      </text>
    </comment>
    <comment ref="AV110" authorId="1">
      <text>
        <r>
          <rPr>
            <b/>
            <sz val="10"/>
            <color indexed="81"/>
            <rFont val="Meiryo UI"/>
            <family val="3"/>
            <charset val="128"/>
          </rPr>
          <t>POS連動申込</t>
        </r>
      </text>
    </comment>
    <comment ref="AV111" authorId="1">
      <text>
        <r>
          <rPr>
            <b/>
            <sz val="10"/>
            <color indexed="81"/>
            <rFont val="Meiryo UI"/>
            <family val="3"/>
            <charset val="128"/>
          </rPr>
          <t>SIM申込</t>
        </r>
      </text>
    </comment>
    <comment ref="AV115" authorId="1">
      <text>
        <r>
          <rPr>
            <b/>
            <sz val="10"/>
            <color indexed="81"/>
            <rFont val="Meiryo UI"/>
            <family val="3"/>
            <charset val="128"/>
          </rPr>
          <t>WeChat公式アカウント
申込</t>
        </r>
      </text>
    </comment>
    <comment ref="AV116" authorId="1">
      <text>
        <r>
          <rPr>
            <b/>
            <sz val="10"/>
            <color indexed="81"/>
            <rFont val="Meiryo UI"/>
            <family val="3"/>
            <charset val="128"/>
          </rPr>
          <t>WeChat公式アカウント
同意</t>
        </r>
      </text>
    </comment>
  </commentList>
</comments>
</file>

<file path=xl/comments3.xml><?xml version="1.0" encoding="utf-8"?>
<comments xmlns="http://schemas.openxmlformats.org/spreadsheetml/2006/main">
  <authors>
    <author>千葉　武士（SBPS）</author>
  </authors>
  <commentList>
    <comment ref="H5" authorId="0">
      <text>
        <r>
          <rPr>
            <b/>
            <sz val="10"/>
            <color indexed="81"/>
            <rFont val="Meiryo UI"/>
            <family val="3"/>
            <charset val="128"/>
          </rPr>
          <t>千葉　武士（SBPS）:</t>
        </r>
        <r>
          <rPr>
            <sz val="10"/>
            <color indexed="81"/>
            <rFont val="Meiryo UI"/>
            <family val="3"/>
            <charset val="128"/>
          </rPr>
          <t xml:space="preserve">
チェックシート入力
必要：1
不要:0</t>
        </r>
      </text>
    </comment>
  </commentList>
</comments>
</file>

<file path=xl/comments4.xml><?xml version="1.0" encoding="utf-8"?>
<comments xmlns="http://schemas.openxmlformats.org/spreadsheetml/2006/main">
  <authors>
    <author>千葉　武士（SBPS）</author>
  </authors>
  <commentList>
    <comment ref="J2" authorId="0">
      <text>
        <r>
          <rPr>
            <b/>
            <sz val="8"/>
            <color indexed="81"/>
            <rFont val="Meiryo UI"/>
            <family val="3"/>
            <charset val="128"/>
          </rPr>
          <t>千葉　武士（SBPS）:</t>
        </r>
        <r>
          <rPr>
            <sz val="8"/>
            <color indexed="81"/>
            <rFont val="Meiryo UI"/>
            <family val="3"/>
            <charset val="128"/>
          </rPr>
          <t xml:space="preserve">
チェックシート入力
必要：1
不要:0</t>
        </r>
      </text>
    </comment>
  </commentList>
</comments>
</file>

<file path=xl/comments5.xml><?xml version="1.0" encoding="utf-8"?>
<comments xmlns="http://schemas.openxmlformats.org/spreadsheetml/2006/main">
  <authors>
    <author>千葉　武士（SBPS）</author>
  </authors>
  <commentList>
    <comment ref="U39" authorId="0">
      <text>
        <r>
          <rPr>
            <sz val="11"/>
            <color indexed="81"/>
            <rFont val="Meiryo UI"/>
            <family val="3"/>
            <charset val="128"/>
          </rPr>
          <t>個人事業主の場合は「0」を入力ください。</t>
        </r>
        <r>
          <rPr>
            <sz val="9"/>
            <color indexed="81"/>
            <rFont val="MS P ゴシック"/>
            <family val="3"/>
            <charset val="128"/>
          </rPr>
          <t xml:space="preserve">
</t>
        </r>
      </text>
    </comment>
    <comment ref="AW88" authorId="0">
      <text>
        <r>
          <rPr>
            <b/>
            <sz val="10"/>
            <color indexed="81"/>
            <rFont val="Meiryo UI"/>
            <family val="3"/>
            <charset val="128"/>
          </rPr>
          <t>取扱区分から
業種区分へ読み替え</t>
        </r>
      </text>
    </comment>
    <comment ref="AX88" authorId="0">
      <text>
        <r>
          <rPr>
            <b/>
            <sz val="10"/>
            <color indexed="81"/>
            <rFont val="Meiryo UI"/>
            <family val="3"/>
            <charset val="128"/>
          </rPr>
          <t>クレジット用販売形態</t>
        </r>
      </text>
    </comment>
    <comment ref="AY88" authorId="0">
      <text>
        <r>
          <rPr>
            <b/>
            <sz val="10"/>
            <color indexed="81"/>
            <rFont val="Meiryo UI"/>
            <family val="3"/>
            <charset val="128"/>
          </rPr>
          <t>クレジット用販売形態
その他</t>
        </r>
      </text>
    </comment>
    <comment ref="AZ88" authorId="0">
      <text>
        <r>
          <rPr>
            <b/>
            <sz val="10"/>
            <color indexed="81"/>
            <rFont val="Meiryo UI"/>
            <family val="3"/>
            <charset val="128"/>
          </rPr>
          <t>PayPay用販売形態</t>
        </r>
      </text>
    </comment>
  </commentList>
</comments>
</file>

<file path=xl/comments6.xml><?xml version="1.0" encoding="utf-8"?>
<comments xmlns="http://schemas.openxmlformats.org/spreadsheetml/2006/main">
  <authors>
    <author>奥川　直人（SBPS）</author>
    <author>千葉　武士（SBPS）</author>
    <author>伊藤　一裕（SBPS）</author>
  </authors>
  <commentList>
    <comment ref="CT2" authorId="0">
      <text>
        <r>
          <rPr>
            <sz val="9"/>
            <color indexed="81"/>
            <rFont val="ＭＳ Ｐゴシック"/>
            <family val="3"/>
            <charset val="128"/>
          </rPr>
          <t xml:space="preserve">APIの取り込み項目に要追加
</t>
        </r>
      </text>
    </comment>
    <comment ref="DD2" authorId="0">
      <text>
        <r>
          <rPr>
            <sz val="9"/>
            <color indexed="81"/>
            <rFont val="ＭＳ Ｐゴシック"/>
            <family val="3"/>
            <charset val="128"/>
          </rPr>
          <t xml:space="preserve">Null＝API連携対象外
</t>
        </r>
      </text>
    </comment>
    <comment ref="DN2" authorId="0">
      <text>
        <r>
          <rPr>
            <sz val="9"/>
            <color indexed="81"/>
            <rFont val="ＭＳ Ｐゴシック"/>
            <family val="3"/>
            <charset val="128"/>
          </rPr>
          <t xml:space="preserve">Null＝API連携対象外
</t>
        </r>
      </text>
    </comment>
    <comment ref="DU2" authorId="0">
      <text>
        <r>
          <rPr>
            <sz val="9"/>
            <color indexed="81"/>
            <rFont val="ＭＳ Ｐゴシック"/>
            <family val="3"/>
            <charset val="128"/>
          </rPr>
          <t xml:space="preserve">Null＝API連携対象外
</t>
        </r>
      </text>
    </comment>
    <comment ref="AV15" authorId="1">
      <text>
        <r>
          <rPr>
            <b/>
            <sz val="10"/>
            <color indexed="81"/>
            <rFont val="Meiryo UI"/>
            <family val="3"/>
            <charset val="128"/>
          </rPr>
          <t>クレジット有無</t>
        </r>
      </text>
    </comment>
    <comment ref="AV17" authorId="1">
      <text>
        <r>
          <rPr>
            <sz val="10"/>
            <color indexed="81"/>
            <rFont val="Meiryo UI"/>
            <family val="3"/>
            <charset val="128"/>
          </rPr>
          <t>VISA/Master</t>
        </r>
      </text>
    </comment>
    <comment ref="AV18" authorId="1">
      <text>
        <r>
          <rPr>
            <sz val="10"/>
            <color indexed="81"/>
            <rFont val="Meiryo UI"/>
            <family val="3"/>
            <charset val="128"/>
          </rPr>
          <t>JCB</t>
        </r>
      </text>
    </comment>
    <comment ref="CD18" authorId="1">
      <text>
        <r>
          <rPr>
            <b/>
            <sz val="9"/>
            <color indexed="81"/>
            <rFont val="MS P ゴシック"/>
            <family val="3"/>
            <charset val="128"/>
          </rPr>
          <t>千葉　武士（SBPS）:</t>
        </r>
        <r>
          <rPr>
            <sz val="9"/>
            <color indexed="81"/>
            <rFont val="MS P ゴシック"/>
            <family val="3"/>
            <charset val="128"/>
          </rPr>
          <t xml:space="preserve">
6068:Gateシステムズ株式会社</t>
        </r>
      </text>
    </comment>
    <comment ref="AV20" authorId="1">
      <text>
        <r>
          <rPr>
            <sz val="10"/>
            <color indexed="81"/>
            <rFont val="Meiryo UI"/>
            <family val="3"/>
            <charset val="128"/>
          </rPr>
          <t>2回払い</t>
        </r>
      </text>
    </comment>
    <comment ref="AV21" authorId="1">
      <text>
        <r>
          <rPr>
            <sz val="10"/>
            <color indexed="81"/>
            <rFont val="Meiryo UI"/>
            <family val="3"/>
            <charset val="128"/>
          </rPr>
          <t>分割払い</t>
        </r>
      </text>
    </comment>
    <comment ref="AV22" authorId="1">
      <text>
        <r>
          <rPr>
            <sz val="10"/>
            <color indexed="81"/>
            <rFont val="Meiryo UI"/>
            <family val="3"/>
            <charset val="128"/>
          </rPr>
          <t>リボ払い</t>
        </r>
      </text>
    </comment>
    <comment ref="AV23" authorId="1">
      <text>
        <r>
          <rPr>
            <sz val="10"/>
            <color indexed="81"/>
            <rFont val="Meiryo UI"/>
            <family val="3"/>
            <charset val="128"/>
          </rPr>
          <t>ボーナス一括</t>
        </r>
      </text>
    </comment>
    <comment ref="AV25" authorId="1">
      <text>
        <r>
          <rPr>
            <b/>
            <sz val="10"/>
            <color indexed="81"/>
            <rFont val="Meiryo UI"/>
            <family val="3"/>
            <charset val="128"/>
          </rPr>
          <t>Edy用別シート総合判定</t>
        </r>
      </text>
    </comment>
    <comment ref="AW25" authorId="1">
      <text>
        <r>
          <rPr>
            <b/>
            <sz val="10"/>
            <color indexed="81"/>
            <rFont val="Meiryo UI"/>
            <family val="3"/>
            <charset val="128"/>
          </rPr>
          <t>Edy業種ID</t>
        </r>
      </text>
    </comment>
    <comment ref="AX25" authorId="1">
      <text>
        <r>
          <rPr>
            <b/>
            <sz val="10"/>
            <color indexed="81"/>
            <rFont val="Meiryo UI"/>
            <family val="3"/>
            <charset val="128"/>
          </rPr>
          <t>Edyチェックシートの入力</t>
        </r>
      </text>
    </comment>
    <comment ref="AV26" authorId="1">
      <text>
        <r>
          <rPr>
            <b/>
            <sz val="10"/>
            <color indexed="81"/>
            <rFont val="Meiryo UI"/>
            <family val="3"/>
            <charset val="128"/>
          </rPr>
          <t>iD業種</t>
        </r>
      </text>
    </comment>
    <comment ref="AW26" authorId="1">
      <text>
        <r>
          <rPr>
            <b/>
            <sz val="10"/>
            <color indexed="81"/>
            <rFont val="Meiryo UI"/>
            <family val="3"/>
            <charset val="128"/>
          </rPr>
          <t>交通系事業者精算先コード</t>
        </r>
      </text>
    </comment>
    <comment ref="DN27" authorId="1">
      <text>
        <r>
          <rPr>
            <b/>
            <sz val="10"/>
            <color indexed="81"/>
            <rFont val="Meiryo UI"/>
            <family val="3"/>
            <charset val="128"/>
          </rPr>
          <t>店舗住所</t>
        </r>
        <r>
          <rPr>
            <sz val="9"/>
            <color indexed="81"/>
            <rFont val="ＭＳ Ｐゴシック"/>
            <family val="3"/>
            <charset val="128"/>
          </rPr>
          <t xml:space="preserve">
</t>
        </r>
      </text>
    </comment>
    <comment ref="AV28" authorId="1">
      <text>
        <r>
          <rPr>
            <b/>
            <sz val="10"/>
            <color indexed="81"/>
            <rFont val="Meiryo UI"/>
            <family val="3"/>
            <charset val="128"/>
          </rPr>
          <t>電子マネー有無</t>
        </r>
      </text>
    </comment>
    <comment ref="AV46" authorId="1">
      <text>
        <r>
          <rPr>
            <sz val="10"/>
            <color indexed="81"/>
            <rFont val="Meiryo UI"/>
            <family val="3"/>
            <charset val="128"/>
          </rPr>
          <t>WeChatPayビジネスカテゴリ</t>
        </r>
      </text>
    </comment>
    <comment ref="DN48" authorId="1">
      <text>
        <r>
          <rPr>
            <b/>
            <sz val="10"/>
            <color indexed="81"/>
            <rFont val="Meiryo UI"/>
            <family val="3"/>
            <charset val="128"/>
          </rPr>
          <t>店舗住所</t>
        </r>
      </text>
    </comment>
    <comment ref="AY61" authorId="1">
      <text>
        <r>
          <rPr>
            <sz val="10"/>
            <color indexed="81"/>
            <rFont val="Meiryo UI"/>
            <family val="3"/>
            <charset val="128"/>
          </rPr>
          <t>フランチャイズ特約</t>
        </r>
      </text>
    </comment>
    <comment ref="J62" authorId="1">
      <text>
        <r>
          <rPr>
            <sz val="11"/>
            <color indexed="81"/>
            <rFont val="Meiryo UI"/>
            <family val="3"/>
            <charset val="128"/>
          </rPr>
          <t>PayPay Map とは、ユーザー向けアプリ「PayPay」で
PayPayが使えるお店を地図で表示し、
現在位置に近いPayPayが使えるお店を見つけやすくし、
来店誘導と利用促進を図る機能です。</t>
        </r>
      </text>
    </comment>
    <comment ref="BC62" authorId="1">
      <text>
        <r>
          <rPr>
            <sz val="10"/>
            <color indexed="81"/>
            <rFont val="Meiryo UI"/>
            <family val="3"/>
            <charset val="128"/>
          </rPr>
          <t>業種ID</t>
        </r>
      </text>
    </comment>
    <comment ref="AX77" authorId="1">
      <text>
        <r>
          <rPr>
            <sz val="10"/>
            <color indexed="81"/>
            <rFont val="Meiryo UI"/>
            <family val="3"/>
            <charset val="128"/>
          </rPr>
          <t>フランチャイズ展開</t>
        </r>
      </text>
    </comment>
    <comment ref="AY77" authorId="1">
      <text>
        <r>
          <rPr>
            <sz val="10"/>
            <color indexed="81"/>
            <rFont val="Meiryo UI"/>
            <family val="3"/>
            <charset val="128"/>
          </rPr>
          <t>使えるお店表示</t>
        </r>
      </text>
    </comment>
    <comment ref="AZ79" authorId="1">
      <text>
        <r>
          <rPr>
            <sz val="10"/>
            <color indexed="81"/>
            <rFont val="Meiryo UI"/>
            <family val="3"/>
            <charset val="128"/>
          </rPr>
          <t>申込業種</t>
        </r>
      </text>
    </comment>
    <comment ref="BA79" authorId="1">
      <text>
        <r>
          <rPr>
            <sz val="10"/>
            <color indexed="81"/>
            <rFont val="Meiryo UI"/>
            <family val="3"/>
            <charset val="128"/>
          </rPr>
          <t>マップ掲載</t>
        </r>
      </text>
    </comment>
    <comment ref="AV83" authorId="1">
      <text>
        <r>
          <rPr>
            <sz val="10"/>
            <color indexed="81"/>
            <rFont val="Meiryo UI"/>
            <family val="3"/>
            <charset val="128"/>
          </rPr>
          <t>POS用途</t>
        </r>
      </text>
    </comment>
    <comment ref="J85" authorId="1">
      <text>
        <r>
          <rPr>
            <sz val="11"/>
            <color indexed="81"/>
            <rFont val="Meiryo UI"/>
            <family val="3"/>
            <charset val="128"/>
          </rPr>
          <t>固定IPアドレスをご記入ください。（レンジ指定はできません）
プライベートIPの登録はできませんのでグローバルIPをご登録ください。</t>
        </r>
      </text>
    </comment>
    <comment ref="J87" authorId="1">
      <text>
        <r>
          <rPr>
            <sz val="11"/>
            <color indexed="81"/>
            <rFont val="Meiryo UI"/>
            <family val="3"/>
            <charset val="128"/>
          </rPr>
          <t>代表アカウントを発行することにより、
同一法人かつ同一ブランドに限り、複数店舗を1アカウントに集約して参照可能です。</t>
        </r>
        <r>
          <rPr>
            <b/>
            <sz val="9"/>
            <color indexed="81"/>
            <rFont val="MS P ゴシック"/>
            <family val="3"/>
            <charset val="128"/>
          </rPr>
          <t xml:space="preserve">
</t>
        </r>
      </text>
    </comment>
    <comment ref="AX89" authorId="2">
      <text>
        <r>
          <rPr>
            <b/>
            <sz val="9"/>
            <color indexed="81"/>
            <rFont val="ＭＳ Ｐゴシック"/>
            <family val="3"/>
            <charset val="128"/>
          </rPr>
          <t>共通初期費用</t>
        </r>
      </text>
    </comment>
    <comment ref="AY89" authorId="2">
      <text>
        <r>
          <rPr>
            <b/>
            <sz val="9"/>
            <color indexed="81"/>
            <rFont val="ＭＳ Ｐゴシック"/>
            <family val="3"/>
            <charset val="128"/>
          </rPr>
          <t>共通月額固定</t>
        </r>
      </text>
    </comment>
    <comment ref="CH91" authorId="1">
      <text>
        <r>
          <rPr>
            <b/>
            <sz val="9"/>
            <color indexed="81"/>
            <rFont val="ＭＳ Ｐゴシック"/>
            <family val="3"/>
            <charset val="128"/>
          </rPr>
          <t>千葉　武士（SBPS）:</t>
        </r>
        <r>
          <rPr>
            <sz val="9"/>
            <color indexed="81"/>
            <rFont val="ＭＳ Ｐゴシック"/>
            <family val="3"/>
            <charset val="128"/>
          </rPr>
          <t xml:space="preserve">
下記「現在利用無し」から移動</t>
        </r>
      </text>
    </comment>
    <comment ref="AV109" authorId="1">
      <text>
        <r>
          <rPr>
            <b/>
            <sz val="10"/>
            <color indexed="81"/>
            <rFont val="Meiryo UI"/>
            <family val="3"/>
            <charset val="128"/>
          </rPr>
          <t>早期・複数回入金オプション</t>
        </r>
      </text>
    </comment>
    <comment ref="AV110" authorId="1">
      <text>
        <r>
          <rPr>
            <b/>
            <sz val="10"/>
            <color indexed="81"/>
            <rFont val="Meiryo UI"/>
            <family val="3"/>
            <charset val="128"/>
          </rPr>
          <t>POS連動申込</t>
        </r>
      </text>
    </comment>
    <comment ref="AV111" authorId="1">
      <text>
        <r>
          <rPr>
            <b/>
            <sz val="10"/>
            <color indexed="81"/>
            <rFont val="Meiryo UI"/>
            <family val="3"/>
            <charset val="128"/>
          </rPr>
          <t>SIM申込</t>
        </r>
      </text>
    </comment>
  </commentList>
</comments>
</file>

<file path=xl/comments7.xml><?xml version="1.0" encoding="utf-8"?>
<comments xmlns="http://schemas.openxmlformats.org/spreadsheetml/2006/main">
  <authors>
    <author>千葉　武士（SBPS）</author>
  </authors>
  <commentList>
    <comment ref="H5" authorId="0">
      <text>
        <r>
          <rPr>
            <b/>
            <sz val="10"/>
            <color indexed="81"/>
            <rFont val="Meiryo UI"/>
            <family val="3"/>
            <charset val="128"/>
          </rPr>
          <t>千葉　武士（SBPS）:</t>
        </r>
        <r>
          <rPr>
            <sz val="10"/>
            <color indexed="81"/>
            <rFont val="Meiryo UI"/>
            <family val="3"/>
            <charset val="128"/>
          </rPr>
          <t xml:space="preserve">
チェックシート入力
必要：1
不要:0</t>
        </r>
      </text>
    </comment>
  </commentList>
</comments>
</file>

<file path=xl/comments8.xml><?xml version="1.0" encoding="utf-8"?>
<comments xmlns="http://schemas.openxmlformats.org/spreadsheetml/2006/main">
  <authors>
    <author>千葉　武士（SBPS）</author>
  </authors>
  <commentList>
    <comment ref="J2" authorId="0">
      <text>
        <r>
          <rPr>
            <b/>
            <sz val="8"/>
            <color indexed="81"/>
            <rFont val="Meiryo UI"/>
            <family val="3"/>
            <charset val="128"/>
          </rPr>
          <t>千葉　武士（SBPS）:</t>
        </r>
        <r>
          <rPr>
            <sz val="8"/>
            <color indexed="81"/>
            <rFont val="Meiryo UI"/>
            <family val="3"/>
            <charset val="128"/>
          </rPr>
          <t xml:space="preserve">
チェックシート入力
必要：1
不要:0</t>
        </r>
      </text>
    </comment>
  </commentList>
</comments>
</file>

<file path=xl/sharedStrings.xml><?xml version="1.0" encoding="utf-8"?>
<sst xmlns="http://schemas.openxmlformats.org/spreadsheetml/2006/main" count="13005" uniqueCount="5752">
  <si>
    <t>精算分類</t>
    <rPh sb="0" eb="2">
      <t>セイサン</t>
    </rPh>
    <rPh sb="2" eb="4">
      <t>ブンルイ</t>
    </rPh>
    <phoneticPr fontId="4"/>
  </si>
  <si>
    <t>12</t>
  </si>
  <si>
    <t>決済ソリューション</t>
    <rPh sb="0" eb="2">
      <t>ケッサイ</t>
    </rPh>
    <phoneticPr fontId="4"/>
  </si>
  <si>
    <t>決済機関パラメータ</t>
    <rPh sb="0" eb="2">
      <t>ケッサイ</t>
    </rPh>
    <rPh sb="2" eb="4">
      <t>キカン</t>
    </rPh>
    <phoneticPr fontId="4"/>
  </si>
  <si>
    <t>利用開始希望日</t>
    <phoneticPr fontId="4"/>
  </si>
  <si>
    <t>利用有無</t>
  </si>
  <si>
    <t>利用決済手段</t>
    <phoneticPr fontId="4"/>
  </si>
  <si>
    <t>決済手段</t>
    <rPh sb="0" eb="2">
      <t>ケッサイ</t>
    </rPh>
    <rPh sb="2" eb="4">
      <t>シュダン</t>
    </rPh>
    <phoneticPr fontId="4"/>
  </si>
  <si>
    <t>値</t>
    <rPh sb="0" eb="1">
      <t>アタイ</t>
    </rPh>
    <phoneticPr fontId="4"/>
  </si>
  <si>
    <t>決済機関CD</t>
    <rPh sb="0" eb="2">
      <t>ケッサイ</t>
    </rPh>
    <rPh sb="2" eb="4">
      <t>キカン</t>
    </rPh>
    <phoneticPr fontId="4"/>
  </si>
  <si>
    <t>パラメータID</t>
    <phoneticPr fontId="4"/>
  </si>
  <si>
    <t>決済手段名</t>
    <rPh sb="0" eb="2">
      <t>ケッサイ</t>
    </rPh>
    <rPh sb="2" eb="4">
      <t>シュダン</t>
    </rPh>
    <rPh sb="4" eb="5">
      <t>メイ</t>
    </rPh>
    <phoneticPr fontId="4"/>
  </si>
  <si>
    <t>settlementwayid</t>
    <phoneticPr fontId="4"/>
  </si>
  <si>
    <t>usestartrequest_ymd</t>
    <phoneticPr fontId="4"/>
  </si>
  <si>
    <t>settlementcompanyid</t>
    <phoneticPr fontId="4"/>
  </si>
  <si>
    <t>solutioncode</t>
    <phoneticPr fontId="4"/>
  </si>
  <si>
    <t>setupval</t>
    <phoneticPr fontId="4"/>
  </si>
  <si>
    <t>parameterid</t>
    <phoneticPr fontId="4"/>
  </si>
  <si>
    <t>口座振替</t>
  </si>
  <si>
    <t>数値</t>
    <rPh sb="0" eb="2">
      <t>スウチ</t>
    </rPh>
    <phoneticPr fontId="4"/>
  </si>
  <si>
    <t>△</t>
    <phoneticPr fontId="4"/>
  </si>
  <si>
    <t>全半角文字列</t>
    <rPh sb="0" eb="1">
      <t>ゼン</t>
    </rPh>
    <rPh sb="1" eb="3">
      <t>ハンカク</t>
    </rPh>
    <rPh sb="3" eb="6">
      <t>モジレツ</t>
    </rPh>
    <phoneticPr fontId="4"/>
  </si>
  <si>
    <t>半角文字列</t>
    <rPh sb="0" eb="2">
      <t>ハンカク</t>
    </rPh>
    <rPh sb="2" eb="5">
      <t>モジレツ</t>
    </rPh>
    <phoneticPr fontId="4"/>
  </si>
  <si>
    <t>サービス店舗住所</t>
  </si>
  <si>
    <t>サービス店舗郵便番号</t>
  </si>
  <si>
    <t>お客様問合せ先名称</t>
  </si>
  <si>
    <t>テストサイトPW</t>
  </si>
  <si>
    <t>テストサイトID</t>
  </si>
  <si>
    <t>テストサイトURL</t>
  </si>
  <si>
    <t>netshop_transportcompanyname</t>
  </si>
  <si>
    <t>ネットショップ利用運送会社名</t>
  </si>
  <si>
    <t>netshop_usesettlementway</t>
  </si>
  <si>
    <t>ネットショップ現在利用の決済方法</t>
  </si>
  <si>
    <t>netshop_confirmtime</t>
  </si>
  <si>
    <t>netshopsales_customeractual</t>
  </si>
  <si>
    <t>ネットショップ月別売上金額前月、2ヶ月前、3ヶ月前</t>
  </si>
  <si>
    <t>netshopcount_customeractual</t>
  </si>
  <si>
    <t>ネットショップ月別取引件数前月、2ヶ月前、3ヶ月前</t>
  </si>
  <si>
    <t>mobilesite_url</t>
  </si>
  <si>
    <t>モバイルサイトＵＲＬ</t>
  </si>
  <si>
    <t>telephonedirectory_umuflg</t>
  </si>
  <si>
    <t>代表電話番号の電話帳表示有無</t>
  </si>
  <si>
    <t>main_stockholder</t>
  </si>
  <si>
    <t>主要株主</t>
  </si>
  <si>
    <t>reservationsales_umuflg</t>
  </si>
  <si>
    <t>予約販売有無</t>
  </si>
  <si>
    <t>representativehome_telno</t>
  </si>
  <si>
    <t>代表者自宅電話番号</t>
  </si>
  <si>
    <t>connectservicename</t>
  </si>
  <si>
    <t>comment_watchsystem</t>
  </si>
  <si>
    <t>comment_contributionway</t>
  </si>
  <si>
    <t>communication_umuflg</t>
  </si>
  <si>
    <t>giftgetway</t>
  </si>
  <si>
    <t>giftcontents</t>
  </si>
  <si>
    <t>画面カスタマイズHTML</t>
  </si>
  <si>
    <t>gift_umuflg</t>
  </si>
  <si>
    <t>returnpostage</t>
  </si>
  <si>
    <t>返品送料</t>
    <phoneticPr fontId="4"/>
  </si>
  <si>
    <t>returnitemlimit</t>
  </si>
  <si>
    <t>useafter_returnitem</t>
  </si>
  <si>
    <t>usebefore_returnitem</t>
  </si>
  <si>
    <t>inferiorhandling_reason</t>
  </si>
  <si>
    <t>inferiorhandlingkbn</t>
  </si>
  <si>
    <t>数字文字列</t>
    <rPh sb="0" eb="2">
      <t>スウジ</t>
    </rPh>
    <rPh sb="2" eb="5">
      <t>モジレツ</t>
    </rPh>
    <phoneticPr fontId="4"/>
  </si>
  <si>
    <t>nostock_deliverylimit</t>
  </si>
  <si>
    <t>stock_deliverylimit</t>
  </si>
  <si>
    <t>payterm_reason</t>
  </si>
  <si>
    <t>paytermkbn</t>
  </si>
  <si>
    <t>payway</t>
  </si>
  <si>
    <t>elsecost_reason</t>
  </si>
  <si>
    <t>elsecost_umuflg</t>
  </si>
  <si>
    <t>postage_umuflg</t>
  </si>
  <si>
    <t>tax_umuflg</t>
  </si>
  <si>
    <t>applyterm_reason</t>
  </si>
  <si>
    <t>applytermkbn</t>
  </si>
  <si>
    <t>salescnt_reason</t>
  </si>
  <si>
    <t>salescntkbn</t>
  </si>
  <si>
    <t>salestrader_address</t>
  </si>
  <si>
    <t>salestrader_reason</t>
  </si>
  <si>
    <t>salestrader_companyname</t>
  </si>
  <si>
    <t>salestraderkbn</t>
  </si>
  <si>
    <t>carry_emailaddress</t>
  </si>
  <si>
    <t>carry_telno</t>
  </si>
  <si>
    <t>△</t>
    <phoneticPr fontId="4"/>
  </si>
  <si>
    <t>carry_openflg</t>
  </si>
  <si>
    <t>carry_url</t>
  </si>
  <si>
    <t>salesperson_faxno</t>
  </si>
  <si>
    <t>売上報告担当者所在地カナ</t>
  </si>
  <si>
    <t>売上方式</t>
  </si>
  <si>
    <t>salesperson_address</t>
  </si>
  <si>
    <t>◎</t>
    <phoneticPr fontId="4"/>
  </si>
  <si>
    <t>利用課金タイプ</t>
  </si>
  <si>
    <t>salesperson_postno</t>
  </si>
  <si>
    <t>売上報告担当者所在地郵便番号</t>
    <phoneticPr fontId="4"/>
  </si>
  <si>
    <t>salesperson_emailaddress</t>
  </si>
  <si>
    <t>salesperson_telno</t>
  </si>
  <si>
    <t>salesperson_sectionname</t>
  </si>
  <si>
    <t>売上報告担当者会社名カナ</t>
  </si>
  <si>
    <t>売上報告担当者会社名</t>
  </si>
  <si>
    <t>salesperson_namekana</t>
  </si>
  <si>
    <t>salesperson_name</t>
  </si>
  <si>
    <t>売上報告担当者名</t>
    <phoneticPr fontId="4"/>
  </si>
  <si>
    <t>technicalperson_emailaddress</t>
  </si>
  <si>
    <t>technicalperson_faxno</t>
  </si>
  <si>
    <t>技術担当者FAX番号</t>
  </si>
  <si>
    <t>technicalperson_telno</t>
  </si>
  <si>
    <t>technicalperson_sectionname</t>
  </si>
  <si>
    <t>技術担当者部署名</t>
    <phoneticPr fontId="4"/>
  </si>
  <si>
    <t>技術担当者会社名カナ</t>
  </si>
  <si>
    <t>技術担当者会社名</t>
  </si>
  <si>
    <t>technicalperson_namekana</t>
  </si>
  <si>
    <t>技術担当者名カナ</t>
    <phoneticPr fontId="4"/>
  </si>
  <si>
    <t>technicalperson_name</t>
  </si>
  <si>
    <t>operatingperson_emailaddress</t>
  </si>
  <si>
    <t>運用担当者FAX番号</t>
  </si>
  <si>
    <t>operatingperson_telno</t>
  </si>
  <si>
    <t>運用担当者電話番号</t>
    <phoneticPr fontId="4"/>
  </si>
  <si>
    <t>operatingperson_sectionname</t>
  </si>
  <si>
    <t>運用担当者会社名カナ</t>
  </si>
  <si>
    <t>運用担当者会社名</t>
  </si>
  <si>
    <t>operatingperson_namekana</t>
  </si>
  <si>
    <t>運用担当者名カナ</t>
    <phoneticPr fontId="4"/>
  </si>
  <si>
    <t>operatingperson_name</t>
  </si>
  <si>
    <t>払込票</t>
  </si>
  <si>
    <t>運営統括責任者所在地カナ</t>
  </si>
  <si>
    <t>運営統括責任者所在地</t>
  </si>
  <si>
    <t>Password</t>
  </si>
  <si>
    <t>101025</t>
  </si>
  <si>
    <t>運営統括責任者所在地郵便番号</t>
  </si>
  <si>
    <t>ID</t>
  </si>
  <si>
    <t>101024</t>
  </si>
  <si>
    <t>運営統括責任者EMAIL</t>
  </si>
  <si>
    <t>利用パターン</t>
  </si>
  <si>
    <t>101023</t>
  </si>
  <si>
    <t>101022</t>
  </si>
  <si>
    <t>運営統括責任者電話番号</t>
  </si>
  <si>
    <t>請求登録</t>
  </si>
  <si>
    <t>101021</t>
  </si>
  <si>
    <t>運営統括責任者役職名</t>
  </si>
  <si>
    <t>101020</t>
  </si>
  <si>
    <t>運営統括責任者会社名カナ</t>
  </si>
  <si>
    <t>101019</t>
  </si>
  <si>
    <t>運営統括責任者会社名</t>
  </si>
  <si>
    <t>101018</t>
  </si>
  <si>
    <t>運営統括責任者カナ</t>
  </si>
  <si>
    <t>カード情報保管設定</t>
  </si>
  <si>
    <t>画像認証</t>
  </si>
  <si>
    <t>101016</t>
  </si>
  <si>
    <t>accountnamekana</t>
  </si>
  <si>
    <t>口座名義カナ</t>
    <phoneticPr fontId="4"/>
  </si>
  <si>
    <t>101015</t>
  </si>
  <si>
    <t>accountname</t>
  </si>
  <si>
    <t>全角文字列</t>
    <rPh sb="0" eb="1">
      <t>ゼン</t>
    </rPh>
    <rPh sb="2" eb="5">
      <t>モジレツ</t>
    </rPh>
    <phoneticPr fontId="4"/>
  </si>
  <si>
    <t>本人認証（3Dセキュア）</t>
  </si>
  <si>
    <t>accountno</t>
  </si>
  <si>
    <t>口座番号</t>
    <phoneticPr fontId="4"/>
  </si>
  <si>
    <t>101013</t>
  </si>
  <si>
    <t>accountclass</t>
  </si>
  <si>
    <t>口座種別</t>
    <phoneticPr fontId="4"/>
  </si>
  <si>
    <t>101012</t>
  </si>
  <si>
    <t>financebranchclass</t>
  </si>
  <si>
    <t>金融機関支店種別</t>
    <phoneticPr fontId="4"/>
  </si>
  <si>
    <t>売上ファイル送達確認メールアドレス</t>
  </si>
  <si>
    <t>101011</t>
  </si>
  <si>
    <t>financebranchname</t>
  </si>
  <si>
    <t>101010</t>
  </si>
  <si>
    <t>financebranchcode</t>
  </si>
  <si>
    <t>洗替設定（要カード情報保管）</t>
  </si>
  <si>
    <t>101009</t>
  </si>
  <si>
    <t>financeclass</t>
  </si>
  <si>
    <t>海外カードブロック</t>
  </si>
  <si>
    <t>101008</t>
  </si>
  <si>
    <t>financename</t>
  </si>
  <si>
    <t>金融機関名称</t>
    <phoneticPr fontId="4"/>
  </si>
  <si>
    <t>ボーナス一括払い</t>
  </si>
  <si>
    <t>101007</t>
  </si>
  <si>
    <t>financecode</t>
  </si>
  <si>
    <t>金融機関コード</t>
    <phoneticPr fontId="4"/>
  </si>
  <si>
    <t>分割2回払い</t>
  </si>
  <si>
    <t>101006</t>
  </si>
  <si>
    <t>acquirelicense_ymd</t>
  </si>
  <si>
    <t>分割・リボ</t>
  </si>
  <si>
    <t>101005</t>
  </si>
  <si>
    <t>licenseno</t>
  </si>
  <si>
    <t>セキュリティコード（CVV2）</t>
  </si>
  <si>
    <t>101004</t>
  </si>
  <si>
    <t>licensename</t>
  </si>
  <si>
    <t>伝送</t>
  </si>
  <si>
    <t>101003</t>
  </si>
  <si>
    <t>elselicense_umuflg</t>
  </si>
  <si>
    <t>101002</t>
  </si>
  <si>
    <t>travellicense_umuflg</t>
  </si>
  <si>
    <t>101001</t>
  </si>
  <si>
    <t>medicinelicense_umuflg</t>
  </si>
  <si>
    <t>VPN（専用線）</t>
  </si>
  <si>
    <t>001047</t>
  </si>
  <si>
    <t>liquorlicense_umuflg</t>
  </si>
  <si>
    <t>BPO</t>
  </si>
  <si>
    <t>001046</t>
  </si>
  <si>
    <t>001045</t>
  </si>
  <si>
    <t>priceto_amount</t>
  </si>
  <si>
    <t>不正利用防止サービス</t>
  </si>
  <si>
    <t>001044</t>
  </si>
  <si>
    <t>pricefrom_amount</t>
  </si>
  <si>
    <t>決済アダプタ</t>
  </si>
  <si>
    <t>001043</t>
  </si>
  <si>
    <t>001042</t>
  </si>
  <si>
    <t>item</t>
  </si>
  <si>
    <t>JCN直連携</t>
  </si>
  <si>
    <t>001041</t>
  </si>
  <si>
    <t>servicesummary</t>
  </si>
  <si>
    <t>CAFIS直連携</t>
  </si>
  <si>
    <t>001040</t>
  </si>
  <si>
    <t>handlingkbn</t>
  </si>
  <si>
    <t>001039</t>
  </si>
  <si>
    <t>siteopenplan_ymd</t>
  </si>
  <si>
    <t>○</t>
    <phoneticPr fontId="4"/>
  </si>
  <si>
    <t>加盟店API</t>
  </si>
  <si>
    <t>001038</t>
  </si>
  <si>
    <t>site_openflg</t>
  </si>
  <si>
    <t>◎</t>
    <phoneticPr fontId="4"/>
  </si>
  <si>
    <t>001037</t>
  </si>
  <si>
    <t>site_url</t>
  </si>
  <si>
    <t>サイトＵＲＬ</t>
    <phoneticPr fontId="4"/>
  </si>
  <si>
    <t>仮想通貨ASP</t>
  </si>
  <si>
    <t>001036</t>
  </si>
  <si>
    <t>storenamealphabet</t>
  </si>
  <si>
    <t>資金決済法対応</t>
  </si>
  <si>
    <t>001035</t>
  </si>
  <si>
    <t>storenamekana</t>
  </si>
  <si>
    <t>屋号カナ</t>
    <phoneticPr fontId="4"/>
  </si>
  <si>
    <t>資金決済法非対応</t>
  </si>
  <si>
    <t>001034</t>
  </si>
  <si>
    <t>storename</t>
  </si>
  <si>
    <t>001033</t>
  </si>
  <si>
    <t>servicename</t>
  </si>
  <si>
    <t>設定先SID</t>
  </si>
  <si>
    <t>001032</t>
  </si>
  <si>
    <t>companytypicalbirth_ymd</t>
  </si>
  <si>
    <t>設定先MID</t>
  </si>
  <si>
    <t>001031</t>
  </si>
  <si>
    <t>001030</t>
  </si>
  <si>
    <t>代表者役職名</t>
    <phoneticPr fontId="4"/>
  </si>
  <si>
    <t>001029</t>
  </si>
  <si>
    <t>companytypical_namekana</t>
  </si>
  <si>
    <t>会社代表者名カナ</t>
    <phoneticPr fontId="4"/>
  </si>
  <si>
    <t>001028</t>
  </si>
  <si>
    <t>companytypical_name</t>
  </si>
  <si>
    <t>会社代表者名</t>
    <phoneticPr fontId="4"/>
  </si>
  <si>
    <t>001027</t>
  </si>
  <si>
    <t>company_url</t>
  </si>
  <si>
    <t>会社ホームページ</t>
    <phoneticPr fontId="4"/>
  </si>
  <si>
    <t>オフライン及びクレジット簡易継続結果通知先タイプ</t>
  </si>
  <si>
    <t>001026</t>
  </si>
  <si>
    <t>workcontents</t>
  </si>
  <si>
    <t>001025</t>
  </si>
  <si>
    <t>yearlyturnover_amount</t>
  </si>
  <si>
    <t>会社年商</t>
    <phoneticPr fontId="4"/>
  </si>
  <si>
    <t>結果通知先URL</t>
  </si>
  <si>
    <t>001024</t>
  </si>
  <si>
    <t>capital_amount</t>
  </si>
  <si>
    <t>会社資本金</t>
    <phoneticPr fontId="4"/>
  </si>
  <si>
    <t>接続元IPアドレス</t>
  </si>
  <si>
    <t>001023</t>
  </si>
  <si>
    <t>companyfoundation_ymd</t>
  </si>
  <si>
    <t>会社設立年月日</t>
    <phoneticPr fontId="4"/>
  </si>
  <si>
    <t>001022</t>
  </si>
  <si>
    <t>company_faxno</t>
  </si>
  <si>
    <t>ドメイン</t>
  </si>
  <si>
    <t>001021</t>
  </si>
  <si>
    <t>company_telno</t>
  </si>
  <si>
    <t>専用ドメイン</t>
  </si>
  <si>
    <t>001020</t>
  </si>
  <si>
    <t>company_addresskana</t>
  </si>
  <si>
    <t>PC・スマートフォンキャンセル画面省略対応</t>
  </si>
  <si>
    <t>001019</t>
  </si>
  <si>
    <t>company_address</t>
  </si>
  <si>
    <t>PC・スマートフォンエラー画面省略対応</t>
  </si>
  <si>
    <t>001018</t>
  </si>
  <si>
    <t>company_postno</t>
  </si>
  <si>
    <t>会社所在地郵便番号</t>
    <phoneticPr fontId="4"/>
  </si>
  <si>
    <t>PC・スマートフォン完了画面省略対応</t>
  </si>
  <si>
    <t>001017</t>
  </si>
  <si>
    <t>companynamekana</t>
  </si>
  <si>
    <t>会社名称カナ</t>
    <phoneticPr fontId="4"/>
  </si>
  <si>
    <t>PC・スマートフォン確認画面省略対応</t>
  </si>
  <si>
    <t>001016</t>
  </si>
  <si>
    <t>companyname</t>
  </si>
  <si>
    <t>画面カスタマイズ</t>
  </si>
  <si>
    <t>001015</t>
  </si>
  <si>
    <t>アラートメール通知先</t>
  </si>
  <si>
    <t>001014</t>
  </si>
  <si>
    <t>半角英数字</t>
    <rPh sb="0" eb="2">
      <t>ハンカク</t>
    </rPh>
    <rPh sb="2" eb="4">
      <t>エイスウ</t>
    </rPh>
    <rPh sb="4" eb="5">
      <t>ジ</t>
    </rPh>
    <phoneticPr fontId="4"/>
  </si>
  <si>
    <t>スマートフォン画面利用</t>
  </si>
  <si>
    <t>携帯画面利用</t>
  </si>
  <si>
    <t>001012</t>
  </si>
  <si>
    <t>追加理由</t>
  </si>
  <si>
    <t>PC画面利用</t>
  </si>
  <si>
    <t>001011</t>
  </si>
  <si>
    <t>001010</t>
  </si>
  <si>
    <t>申込年月日</t>
    <phoneticPr fontId="4"/>
  </si>
  <si>
    <t>全SID共通アカウント設定（代表アカウント設定）</t>
  </si>
  <si>
    <t>001009</t>
  </si>
  <si>
    <t>agree_umuflg</t>
  </si>
  <si>
    <t>試験環境構築</t>
  </si>
  <si>
    <t>001007</t>
  </si>
  <si>
    <t>employeeid</t>
  </si>
  <si>
    <t>管理画面接続元IPアドレス</t>
  </si>
  <si>
    <t>001006</t>
  </si>
  <si>
    <t>sid</t>
  </si>
  <si>
    <t>001005</t>
  </si>
  <si>
    <t>mid</t>
  </si>
  <si>
    <t>001004</t>
  </si>
  <si>
    <t>払出受付管理番号</t>
  </si>
  <si>
    <t>利用サービス</t>
  </si>
  <si>
    <t>001003</t>
  </si>
  <si>
    <t>channelno</t>
  </si>
  <si>
    <t>案件区分</t>
  </si>
  <si>
    <t>001001</t>
  </si>
  <si>
    <t>備考</t>
    <rPh sb="0" eb="2">
      <t>ビコウ</t>
    </rPh>
    <phoneticPr fontId="4"/>
  </si>
  <si>
    <t>新規</t>
    <rPh sb="0" eb="2">
      <t>シンキ</t>
    </rPh>
    <phoneticPr fontId="4"/>
  </si>
  <si>
    <t>桁数</t>
    <rPh sb="0" eb="2">
      <t>ケタスウ</t>
    </rPh>
    <phoneticPr fontId="4"/>
  </si>
  <si>
    <t>属性</t>
    <rPh sb="0" eb="2">
      <t>ゾクセイ</t>
    </rPh>
    <phoneticPr fontId="4"/>
  </si>
  <si>
    <t>項目名</t>
    <rPh sb="0" eb="2">
      <t>コウモク</t>
    </rPh>
    <rPh sb="2" eb="3">
      <t>メイ</t>
    </rPh>
    <phoneticPr fontId="4"/>
  </si>
  <si>
    <t>●取扱区分</t>
    <phoneticPr fontId="4"/>
  </si>
  <si>
    <t>00：選択して下さい</t>
    <phoneticPr fontId="11"/>
  </si>
  <si>
    <t>コード</t>
    <phoneticPr fontId="4"/>
  </si>
  <si>
    <t>補足</t>
    <phoneticPr fontId="4"/>
  </si>
  <si>
    <t>値</t>
    <phoneticPr fontId="4"/>
  </si>
  <si>
    <t>マーチャントID</t>
    <phoneticPr fontId="4"/>
  </si>
  <si>
    <t>サービスID</t>
    <phoneticPr fontId="4"/>
  </si>
  <si>
    <t>01：物品販売</t>
    <rPh sb="3" eb="5">
      <t>ブッピン</t>
    </rPh>
    <rPh sb="5" eb="7">
      <t>ハンバイ</t>
    </rPh>
    <phoneticPr fontId="11"/>
  </si>
  <si>
    <t>申込区分</t>
    <phoneticPr fontId="4"/>
  </si>
  <si>
    <t>applykbn</t>
    <phoneticPr fontId="4"/>
  </si>
  <si>
    <t>01</t>
    <phoneticPr fontId="4"/>
  </si>
  <si>
    <t>加盟店名</t>
    <rPh sb="0" eb="2">
      <t>カメイ</t>
    </rPh>
    <rPh sb="2" eb="3">
      <t>テン</t>
    </rPh>
    <rPh sb="3" eb="4">
      <t>メイ</t>
    </rPh>
    <phoneticPr fontId="4"/>
  </si>
  <si>
    <t>代理店コード</t>
    <phoneticPr fontId="4"/>
  </si>
  <si>
    <t>02：デジタルコンテンツ</t>
    <phoneticPr fontId="4"/>
  </si>
  <si>
    <t>申込事業区分</t>
    <phoneticPr fontId="4"/>
  </si>
  <si>
    <t>◎</t>
    <phoneticPr fontId="4"/>
  </si>
  <si>
    <t>00：ネット固定</t>
    <phoneticPr fontId="4"/>
  </si>
  <si>
    <t>applyworkkbn</t>
    <phoneticPr fontId="4"/>
  </si>
  <si>
    <t>00</t>
    <phoneticPr fontId="4"/>
  </si>
  <si>
    <t>0</t>
    <phoneticPr fontId="4"/>
  </si>
  <si>
    <t>【SBPS使用欄】</t>
    <rPh sb="5" eb="7">
      <t>シヨウ</t>
    </rPh>
    <rPh sb="7" eb="8">
      <t>ラン</t>
    </rPh>
    <phoneticPr fontId="4"/>
  </si>
  <si>
    <t>03：大規模小売</t>
    <rPh sb="3" eb="6">
      <t>ダイキボ</t>
    </rPh>
    <rPh sb="6" eb="8">
      <t>コウリ</t>
    </rPh>
    <phoneticPr fontId="11"/>
  </si>
  <si>
    <t>チャネルID</t>
    <phoneticPr fontId="4"/>
  </si>
  <si>
    <t>一般は6000で固定</t>
    <phoneticPr fontId="4"/>
  </si>
  <si>
    <t>channelid</t>
    <phoneticPr fontId="4"/>
  </si>
  <si>
    <t>1</t>
    <phoneticPr fontId="4"/>
  </si>
  <si>
    <t>04：宿泊施設</t>
    <rPh sb="3" eb="5">
      <t>シュクハク</t>
    </rPh>
    <rPh sb="5" eb="7">
      <t>シセツ</t>
    </rPh>
    <phoneticPr fontId="11"/>
  </si>
  <si>
    <t>MID</t>
    <phoneticPr fontId="4"/>
  </si>
  <si>
    <t>05：B2B</t>
    <phoneticPr fontId="4"/>
  </si>
  <si>
    <t>SID</t>
    <phoneticPr fontId="4"/>
  </si>
  <si>
    <t>2</t>
    <phoneticPr fontId="4"/>
  </si>
  <si>
    <t>06：チケット</t>
    <phoneticPr fontId="4"/>
  </si>
  <si>
    <t>SBPS担当営業コード</t>
    <phoneticPr fontId="4"/>
  </si>
  <si>
    <t>△</t>
    <phoneticPr fontId="4"/>
  </si>
  <si>
    <t>担当営業社員番号</t>
    <phoneticPr fontId="4"/>
  </si>
  <si>
    <t>null</t>
    <phoneticPr fontId="4"/>
  </si>
  <si>
    <t>07：交通</t>
    <rPh sb="3" eb="5">
      <t>コウツウ</t>
    </rPh>
    <phoneticPr fontId="11"/>
  </si>
  <si>
    <t>チャネル管理番号</t>
    <phoneticPr fontId="4"/>
  </si>
  <si>
    <t>△</t>
    <phoneticPr fontId="4"/>
  </si>
  <si>
    <t>08：タクシー</t>
    <phoneticPr fontId="4"/>
  </si>
  <si>
    <t>kickback_companyname</t>
  </si>
  <si>
    <t>09：旅行</t>
    <rPh sb="3" eb="5">
      <t>リョコウ</t>
    </rPh>
    <phoneticPr fontId="11"/>
  </si>
  <si>
    <t>代理店コード</t>
    <phoneticPr fontId="4"/>
  </si>
  <si>
    <t>パートナーを識別する新しい4桁のコード</t>
    <phoneticPr fontId="4"/>
  </si>
  <si>
    <t>kickbackid</t>
  </si>
  <si>
    <t>10：通信</t>
    <phoneticPr fontId="4"/>
  </si>
  <si>
    <t>注意事項同意フラグ</t>
    <phoneticPr fontId="4"/>
  </si>
  <si>
    <t>11：保険</t>
    <rPh sb="3" eb="5">
      <t>ホケン</t>
    </rPh>
    <phoneticPr fontId="11"/>
  </si>
  <si>
    <t>apply_ymd</t>
  </si>
  <si>
    <t>12：不動産</t>
    <phoneticPr fontId="4"/>
  </si>
  <si>
    <t>13：教育</t>
    <rPh sb="3" eb="5">
      <t>キョウイク</t>
    </rPh>
    <phoneticPr fontId="11"/>
  </si>
  <si>
    <t>99：サービス・その他</t>
    <rPh sb="10" eb="11">
      <t>タ</t>
    </rPh>
    <phoneticPr fontId="11"/>
  </si>
  <si>
    <t>タグエレメント名</t>
    <phoneticPr fontId="4"/>
  </si>
  <si>
    <t>値</t>
    <phoneticPr fontId="4"/>
  </si>
  <si>
    <t>会社名称</t>
    <phoneticPr fontId="4"/>
  </si>
  <si>
    <t>会社所在地カナ</t>
    <phoneticPr fontId="4"/>
  </si>
  <si>
    <t>西暦</t>
    <rPh sb="0" eb="2">
      <t>セイレキ</t>
    </rPh>
    <phoneticPr fontId="4"/>
  </si>
  <si>
    <t>年</t>
    <rPh sb="0" eb="1">
      <t>ネン</t>
    </rPh>
    <phoneticPr fontId="4"/>
  </si>
  <si>
    <t>月</t>
    <rPh sb="0" eb="1">
      <t>ガツ</t>
    </rPh>
    <phoneticPr fontId="4"/>
  </si>
  <si>
    <t>日</t>
    <rPh sb="0" eb="1">
      <t>ニチ</t>
    </rPh>
    <phoneticPr fontId="4"/>
  </si>
  <si>
    <t>会社所在地</t>
    <phoneticPr fontId="4"/>
  </si>
  <si>
    <t>◎</t>
    <phoneticPr fontId="4"/>
  </si>
  <si>
    <t>会社電話番号</t>
    <phoneticPr fontId="4"/>
  </si>
  <si>
    <t>◎</t>
    <phoneticPr fontId="4"/>
  </si>
  <si>
    <t>会社FAX番号</t>
    <phoneticPr fontId="4"/>
  </si>
  <si>
    <t>◎</t>
    <phoneticPr fontId="4"/>
  </si>
  <si>
    <t>フリガナ</t>
    <phoneticPr fontId="4"/>
  </si>
  <si>
    <t>会社事業内容</t>
    <phoneticPr fontId="4"/>
  </si>
  <si>
    <t>◎</t>
    <phoneticPr fontId="4"/>
  </si>
  <si>
    <t>利用する場合初月退会時課金有りがデフォルト</t>
    <phoneticPr fontId="4"/>
  </si>
  <si>
    <t>post</t>
  </si>
  <si>
    <t>代表者性別</t>
    <phoneticPr fontId="4"/>
  </si>
  <si>
    <t>◎</t>
    <phoneticPr fontId="4"/>
  </si>
  <si>
    <t>sex</t>
  </si>
  <si>
    <t>電話番号</t>
    <rPh sb="0" eb="2">
      <t>デンワ</t>
    </rPh>
    <rPh sb="2" eb="4">
      <t>バンゴウ</t>
    </rPh>
    <phoneticPr fontId="4"/>
  </si>
  <si>
    <t>FAX番号</t>
    <rPh sb="3" eb="5">
      <t>バンゴウ</t>
    </rPh>
    <phoneticPr fontId="4"/>
  </si>
  <si>
    <t>代表者生年月日</t>
    <phoneticPr fontId="4"/>
  </si>
  <si>
    <t>設立年月日</t>
    <rPh sb="0" eb="2">
      <t>セツリツ</t>
    </rPh>
    <rPh sb="2" eb="5">
      <t>ネンガッピ</t>
    </rPh>
    <phoneticPr fontId="4"/>
  </si>
  <si>
    <t>資本金</t>
    <rPh sb="0" eb="3">
      <t>シホンキン</t>
    </rPh>
    <phoneticPr fontId="4"/>
  </si>
  <si>
    <t>万円</t>
    <rPh sb="0" eb="2">
      <t>マンエン</t>
    </rPh>
    <phoneticPr fontId="4"/>
  </si>
  <si>
    <t>年商</t>
    <rPh sb="0" eb="2">
      <t>ネンショウ</t>
    </rPh>
    <phoneticPr fontId="4"/>
  </si>
  <si>
    <t>サービス名称</t>
    <phoneticPr fontId="4"/>
  </si>
  <si>
    <t>役職名</t>
    <rPh sb="0" eb="3">
      <t>ヤクショクメイ</t>
    </rPh>
    <phoneticPr fontId="4"/>
  </si>
  <si>
    <t>性別</t>
    <rPh sb="0" eb="2">
      <t>セイベツ</t>
    </rPh>
    <phoneticPr fontId="4"/>
  </si>
  <si>
    <t>男</t>
    <rPh sb="0" eb="1">
      <t>オトコ</t>
    </rPh>
    <phoneticPr fontId="4"/>
  </si>
  <si>
    <t>女</t>
    <rPh sb="0" eb="1">
      <t>オンナ</t>
    </rPh>
    <phoneticPr fontId="4"/>
  </si>
  <si>
    <t>◎</t>
    <phoneticPr fontId="4"/>
  </si>
  <si>
    <t>代表者名</t>
    <rPh sb="0" eb="3">
      <t>ダイヒョウシャ</t>
    </rPh>
    <rPh sb="3" eb="4">
      <t>メイ</t>
    </rPh>
    <phoneticPr fontId="4"/>
  </si>
  <si>
    <t>生年月日</t>
    <rPh sb="0" eb="2">
      <t>セイネン</t>
    </rPh>
    <rPh sb="2" eb="4">
      <t>ガッピ</t>
    </rPh>
    <phoneticPr fontId="4"/>
  </si>
  <si>
    <t>月</t>
    <rPh sb="0" eb="1">
      <t>ツキ</t>
    </rPh>
    <phoneticPr fontId="4"/>
  </si>
  <si>
    <t>日生</t>
    <rPh sb="0" eb="1">
      <t>ヒ</t>
    </rPh>
    <rPh sb="1" eb="2">
      <t>セイ</t>
    </rPh>
    <phoneticPr fontId="4"/>
  </si>
  <si>
    <t>屋号</t>
    <phoneticPr fontId="4"/>
  </si>
  <si>
    <t>屋号アルファベット</t>
    <phoneticPr fontId="4"/>
  </si>
  <si>
    <t>サイト公開フラグ</t>
    <phoneticPr fontId="4"/>
  </si>
  <si>
    <t>公開予定日</t>
    <phoneticPr fontId="4"/>
  </si>
  <si>
    <t>サービス概要</t>
    <phoneticPr fontId="4"/>
  </si>
  <si>
    <t>取扱区分</t>
    <phoneticPr fontId="4"/>
  </si>
  <si>
    <t>取扱商材</t>
    <phoneticPr fontId="4"/>
  </si>
  <si>
    <t>△</t>
    <phoneticPr fontId="4"/>
  </si>
  <si>
    <t>商品価格帯FROM</t>
    <phoneticPr fontId="4"/>
  </si>
  <si>
    <t>△</t>
    <phoneticPr fontId="4"/>
  </si>
  <si>
    <t>商品価格帯TO</t>
    <phoneticPr fontId="4"/>
  </si>
  <si>
    <t>平均購入額</t>
    <phoneticPr fontId="4"/>
  </si>
  <si>
    <t>average_amount</t>
  </si>
  <si>
    <t>単価区分</t>
    <phoneticPr fontId="4"/>
  </si>
  <si>
    <t>0：指定無し　1：通常　2：少額</t>
    <phoneticPr fontId="4"/>
  </si>
  <si>
    <t>pricekbn</t>
  </si>
  <si>
    <t>酒類免許有無</t>
    <phoneticPr fontId="4"/>
  </si>
  <si>
    <t>△</t>
    <phoneticPr fontId="4"/>
  </si>
  <si>
    <t>0：無し　1：有り</t>
    <phoneticPr fontId="4"/>
  </si>
  <si>
    <t>薬類免許有無</t>
    <phoneticPr fontId="4"/>
  </si>
  <si>
    <t>旅行免許有無</t>
    <phoneticPr fontId="4"/>
  </si>
  <si>
    <t>商品価格帯</t>
    <rPh sb="0" eb="2">
      <t>ショウヒン</t>
    </rPh>
    <rPh sb="2" eb="5">
      <t>カカクタイ</t>
    </rPh>
    <phoneticPr fontId="4"/>
  </si>
  <si>
    <t>円</t>
    <rPh sb="0" eb="1">
      <t>エン</t>
    </rPh>
    <phoneticPr fontId="4"/>
  </si>
  <si>
    <t>～</t>
    <phoneticPr fontId="4"/>
  </si>
  <si>
    <t>平均購入額</t>
    <rPh sb="0" eb="2">
      <t>ヘイキン</t>
    </rPh>
    <rPh sb="2" eb="4">
      <t>コウニュウ</t>
    </rPh>
    <rPh sb="4" eb="5">
      <t>ガク</t>
    </rPh>
    <phoneticPr fontId="4"/>
  </si>
  <si>
    <t>その他免許有無</t>
    <phoneticPr fontId="4"/>
  </si>
  <si>
    <t>△</t>
    <phoneticPr fontId="4"/>
  </si>
  <si>
    <t>0：無し　1：有り</t>
    <phoneticPr fontId="4"/>
  </si>
  <si>
    <t>業法に関わる
免許有無</t>
    <rPh sb="0" eb="1">
      <t>ギョウ</t>
    </rPh>
    <rPh sb="1" eb="2">
      <t>ホウ</t>
    </rPh>
    <rPh sb="3" eb="4">
      <t>カカ</t>
    </rPh>
    <rPh sb="7" eb="9">
      <t>メンキョ</t>
    </rPh>
    <rPh sb="9" eb="11">
      <t>ウム</t>
    </rPh>
    <phoneticPr fontId="4"/>
  </si>
  <si>
    <t>その他</t>
    <rPh sb="2" eb="3">
      <t>タ</t>
    </rPh>
    <phoneticPr fontId="4"/>
  </si>
  <si>
    <t>該当免許のスキャンデータのご提出が必要です</t>
    <rPh sb="0" eb="2">
      <t>ガイトウ</t>
    </rPh>
    <rPh sb="2" eb="4">
      <t>メンキョ</t>
    </rPh>
    <rPh sb="14" eb="16">
      <t>テイシュツ</t>
    </rPh>
    <rPh sb="17" eb="19">
      <t>ヒツヨウ</t>
    </rPh>
    <phoneticPr fontId="4"/>
  </si>
  <si>
    <t>免許名称</t>
    <phoneticPr fontId="4"/>
  </si>
  <si>
    <t>免許番号</t>
    <phoneticPr fontId="4"/>
  </si>
  <si>
    <t>取得年月日</t>
    <phoneticPr fontId="4"/>
  </si>
  <si>
    <t>お申込決済手段</t>
    <rPh sb="1" eb="3">
      <t>モウシコミ</t>
    </rPh>
    <phoneticPr fontId="4"/>
  </si>
  <si>
    <t>精算分類（固定）</t>
    <rPh sb="0" eb="2">
      <t>セイサン</t>
    </rPh>
    <rPh sb="2" eb="4">
      <t>ブンルイ</t>
    </rPh>
    <rPh sb="5" eb="7">
      <t>コテイ</t>
    </rPh>
    <phoneticPr fontId="4"/>
  </si>
  <si>
    <t>◎</t>
    <phoneticPr fontId="4"/>
  </si>
  <si>
    <t>運用担当者名</t>
    <phoneticPr fontId="4"/>
  </si>
  <si>
    <t>◆クレジットカード決済◆</t>
    <rPh sb="9" eb="11">
      <t>ケッサイ</t>
    </rPh>
    <phoneticPr fontId="4"/>
  </si>
  <si>
    <t>利用有無</t>
    <rPh sb="0" eb="2">
      <t>リヨウ</t>
    </rPh>
    <rPh sb="2" eb="4">
      <t>ウム</t>
    </rPh>
    <phoneticPr fontId="4"/>
  </si>
  <si>
    <t>精算区分</t>
    <rPh sb="0" eb="2">
      <t>セイサン</t>
    </rPh>
    <rPh sb="2" eb="4">
      <t>クブン</t>
    </rPh>
    <phoneticPr fontId="21"/>
  </si>
  <si>
    <t>決済機関</t>
    <rPh sb="0" eb="2">
      <t>ケッサイ</t>
    </rPh>
    <rPh sb="2" eb="4">
      <t>キカン</t>
    </rPh>
    <phoneticPr fontId="4"/>
  </si>
  <si>
    <t>入金有無</t>
    <rPh sb="0" eb="2">
      <t>ニュウキン</t>
    </rPh>
    <rPh sb="2" eb="4">
      <t>ウム</t>
    </rPh>
    <phoneticPr fontId="4"/>
  </si>
  <si>
    <t>決済手段利用有無</t>
    <rPh sb="0" eb="2">
      <t>ケッサイ</t>
    </rPh>
    <rPh sb="2" eb="4">
      <t>シュダン</t>
    </rPh>
    <rPh sb="4" eb="6">
      <t>リヨウ</t>
    </rPh>
    <rPh sb="6" eb="8">
      <t>ウム</t>
    </rPh>
    <phoneticPr fontId="4"/>
  </si>
  <si>
    <t>決済手数料</t>
    <rPh sb="0" eb="2">
      <t>ケッサイ</t>
    </rPh>
    <rPh sb="2" eb="5">
      <t>テスウリョウ</t>
    </rPh>
    <phoneticPr fontId="4"/>
  </si>
  <si>
    <t>ASP利用料</t>
    <rPh sb="3" eb="6">
      <t>リヨウリョウ</t>
    </rPh>
    <phoneticPr fontId="4"/>
  </si>
  <si>
    <t>ﾄﾗﾝｻﾞｸｼｮﾝ費</t>
    <rPh sb="9" eb="10">
      <t>ヒ</t>
    </rPh>
    <phoneticPr fontId="4"/>
  </si>
  <si>
    <t>運用担当者部署名</t>
    <phoneticPr fontId="4"/>
  </si>
  <si>
    <t>運用担当者EMAIL</t>
    <phoneticPr fontId="4"/>
  </si>
  <si>
    <t>技術担当者名</t>
    <phoneticPr fontId="4"/>
  </si>
  <si>
    <t>技術担当者電話番号</t>
    <phoneticPr fontId="4"/>
  </si>
  <si>
    <t>申込があれば未受領がデフォルト、無ければ不要</t>
    <phoneticPr fontId="4"/>
  </si>
  <si>
    <t>技術担当者EMAIL</t>
    <phoneticPr fontId="4"/>
  </si>
  <si>
    <t>売上報告担当者名カナ</t>
    <phoneticPr fontId="4"/>
  </si>
  <si>
    <t>売上報告担当者部署名</t>
    <phoneticPr fontId="4"/>
  </si>
  <si>
    <t>売上報告担当者電話番号</t>
    <phoneticPr fontId="4"/>
  </si>
  <si>
    <t>売上報告担当者EMAIL</t>
    <phoneticPr fontId="4"/>
  </si>
  <si>
    <t>売上報告担当者FAX番号</t>
    <phoneticPr fontId="4"/>
  </si>
  <si>
    <t>売上報告担当者所在地</t>
    <phoneticPr fontId="4"/>
  </si>
  <si>
    <t>◎</t>
    <phoneticPr fontId="4"/>
  </si>
  <si>
    <t>金融機関種別</t>
    <phoneticPr fontId="4"/>
  </si>
  <si>
    <t>1：銀行　2：信金　3：信組　4：労金　5：農協　6:漁協</t>
    <phoneticPr fontId="4"/>
  </si>
  <si>
    <t>◎</t>
    <phoneticPr fontId="4"/>
  </si>
  <si>
    <t>金融機関支店名称</t>
    <phoneticPr fontId="4"/>
  </si>
  <si>
    <t>1：本店　2：支店　3：支社　4：出張所</t>
    <phoneticPr fontId="4"/>
  </si>
  <si>
    <t>金融機関支店コード</t>
    <phoneticPr fontId="4"/>
  </si>
  <si>
    <t>1：普通　2：当座</t>
    <phoneticPr fontId="4"/>
  </si>
  <si>
    <t>◎</t>
    <phoneticPr fontId="4"/>
  </si>
  <si>
    <t>口座名義</t>
    <phoneticPr fontId="4"/>
  </si>
  <si>
    <t>掲載URL</t>
    <phoneticPr fontId="4"/>
  </si>
  <si>
    <t>掲載URL公開フラグ</t>
    <phoneticPr fontId="4"/>
  </si>
  <si>
    <t>掲載電話番号</t>
    <phoneticPr fontId="4"/>
  </si>
  <si>
    <t>掲載E-MAIL</t>
    <phoneticPr fontId="4"/>
  </si>
  <si>
    <t>販売業者区分</t>
    <phoneticPr fontId="4"/>
  </si>
  <si>
    <t>0：指定無し　1：申込書の会社名と同一　2：申込書の会社名と相違</t>
    <phoneticPr fontId="4"/>
  </si>
  <si>
    <t>販売業者名</t>
    <phoneticPr fontId="4"/>
  </si>
  <si>
    <t>理由</t>
    <phoneticPr fontId="4"/>
  </si>
  <si>
    <t>販売業者所在地</t>
    <phoneticPr fontId="4"/>
  </si>
  <si>
    <t>運営統括責任者</t>
    <phoneticPr fontId="4"/>
  </si>
  <si>
    <t>△</t>
    <phoneticPr fontId="4"/>
  </si>
  <si>
    <t>unifyperson_name</t>
  </si>
  <si>
    <t>販売数量区分</t>
    <phoneticPr fontId="4"/>
  </si>
  <si>
    <t>0：指定無し　1：1個から　2：その他</t>
    <phoneticPr fontId="4"/>
  </si>
  <si>
    <t>販売数量区分その他理由</t>
    <phoneticPr fontId="4"/>
  </si>
  <si>
    <t>申込有効期限区分</t>
    <phoneticPr fontId="4"/>
  </si>
  <si>
    <t>△</t>
    <phoneticPr fontId="4"/>
  </si>
  <si>
    <t>0：指定無し　1：無し　2：その他</t>
    <phoneticPr fontId="4"/>
  </si>
  <si>
    <t>申込有効期限区分その他理由</t>
    <phoneticPr fontId="4"/>
  </si>
  <si>
    <t>商品以外の必要料金（消費税）</t>
    <phoneticPr fontId="4"/>
  </si>
  <si>
    <t>0：無し　1：有り</t>
    <phoneticPr fontId="4"/>
  </si>
  <si>
    <t>商品以外の必要料金（送料）</t>
    <phoneticPr fontId="4"/>
  </si>
  <si>
    <t>商品以外の必要料金（その他）</t>
    <phoneticPr fontId="4"/>
  </si>
  <si>
    <t>△</t>
    <phoneticPr fontId="4"/>
  </si>
  <si>
    <t>0：無し　1：有り</t>
    <phoneticPr fontId="4"/>
  </si>
  <si>
    <t>商品以外の必要料金（その他）理由</t>
    <phoneticPr fontId="4"/>
  </si>
  <si>
    <t>△</t>
    <phoneticPr fontId="4"/>
  </si>
  <si>
    <t>支払方法</t>
    <phoneticPr fontId="4"/>
  </si>
  <si>
    <t>支払期限区分</t>
    <phoneticPr fontId="4"/>
  </si>
  <si>
    <t>0：指定無し　1：代金前払い　2：その他</t>
    <phoneticPr fontId="4"/>
  </si>
  <si>
    <t>支払期限区分その他理由</t>
    <phoneticPr fontId="4"/>
  </si>
  <si>
    <t>引渡時期（在庫有り）</t>
    <phoneticPr fontId="4"/>
  </si>
  <si>
    <t>引渡時期（在庫無し）</t>
    <phoneticPr fontId="4"/>
  </si>
  <si>
    <t>不良品取扱区分</t>
    <phoneticPr fontId="4"/>
  </si>
  <si>
    <t>0：指定無し　1：配送料当社負担にて返送　2：その他</t>
    <phoneticPr fontId="4"/>
  </si>
  <si>
    <t>不良品取扱区分その他理由</t>
    <phoneticPr fontId="4"/>
  </si>
  <si>
    <t>返品（使用前）</t>
    <phoneticPr fontId="4"/>
  </si>
  <si>
    <t>返品（使用後）</t>
  </si>
  <si>
    <t>返品期限</t>
    <phoneticPr fontId="4"/>
  </si>
  <si>
    <t>△</t>
    <phoneticPr fontId="4"/>
  </si>
  <si>
    <t>景品有無</t>
    <phoneticPr fontId="4"/>
  </si>
  <si>
    <t>景品内容</t>
    <phoneticPr fontId="4"/>
  </si>
  <si>
    <t>景品獲得手段</t>
    <phoneticPr fontId="4"/>
  </si>
  <si>
    <t>コミュニケーション機能有無</t>
    <phoneticPr fontId="4"/>
  </si>
  <si>
    <t>コメント投稿手段</t>
    <phoneticPr fontId="4"/>
  </si>
  <si>
    <t>コメント監視体制</t>
    <phoneticPr fontId="4"/>
  </si>
  <si>
    <t>コミュニケーション機能の接続先サービス名</t>
    <phoneticPr fontId="4"/>
  </si>
  <si>
    <t>outacceptanceno</t>
  </si>
  <si>
    <t>add_reason</t>
  </si>
  <si>
    <t>unifyperson_namekana</t>
  </si>
  <si>
    <t>unifyperson_companyname</t>
  </si>
  <si>
    <t>unifyperson_companynamekana</t>
  </si>
  <si>
    <t>unifyperson_post</t>
  </si>
  <si>
    <t>unifyperson_telno</t>
  </si>
  <si>
    <t>unifyperson_faxno</t>
  </si>
  <si>
    <t>unifyperson_postno</t>
  </si>
  <si>
    <t>unifyperson_address</t>
  </si>
  <si>
    <t>unifyperson_addresskana</t>
  </si>
  <si>
    <t>operatingperson_companyname</t>
  </si>
  <si>
    <t>operatingperson_companynamekana</t>
  </si>
  <si>
    <t>operatingperson_faxno</t>
  </si>
  <si>
    <t>technicalperson_companyname</t>
  </si>
  <si>
    <t>technicalperson_companynamekana</t>
  </si>
  <si>
    <t>salesperson_companyname</t>
  </si>
  <si>
    <t>salesperson_companynamekana</t>
  </si>
  <si>
    <t>salesperson_addresskana</t>
  </si>
  <si>
    <t>Z01</t>
    <phoneticPr fontId="4"/>
  </si>
  <si>
    <t>testsite_url</t>
  </si>
  <si>
    <t>test_siteid</t>
  </si>
  <si>
    <t>test_sitepassword</t>
  </si>
  <si>
    <t>reference_name</t>
  </si>
  <si>
    <t>部署名</t>
    <rPh sb="0" eb="2">
      <t>ブショ</t>
    </rPh>
    <rPh sb="2" eb="3">
      <t>メイ</t>
    </rPh>
    <phoneticPr fontId="4"/>
  </si>
  <si>
    <t>serviceshop_postno</t>
  </si>
  <si>
    <t>運用ご担当者名</t>
    <rPh sb="3" eb="6">
      <t>タントウシャ</t>
    </rPh>
    <rPh sb="6" eb="7">
      <t>メイ</t>
    </rPh>
    <phoneticPr fontId="4"/>
  </si>
  <si>
    <t>serviceshop_address</t>
  </si>
  <si>
    <t>serviceshop_addresskana</t>
  </si>
  <si>
    <t>技術ご担当者名</t>
    <rPh sb="3" eb="6">
      <t>タントウシャ</t>
    </rPh>
    <rPh sb="6" eb="7">
      <t>メイ</t>
    </rPh>
    <phoneticPr fontId="4"/>
  </si>
  <si>
    <t>transfer_umuflg</t>
  </si>
  <si>
    <t>売上報告
ご担当者名</t>
    <rPh sb="0" eb="2">
      <t>ウリアゲ</t>
    </rPh>
    <rPh sb="2" eb="4">
      <t>ホウコク</t>
    </rPh>
    <phoneticPr fontId="4"/>
  </si>
  <si>
    <t>金融機関名</t>
    <rPh sb="0" eb="2">
      <t>キンユウ</t>
    </rPh>
    <rPh sb="2" eb="4">
      <t>キカン</t>
    </rPh>
    <rPh sb="4" eb="5">
      <t>メイ</t>
    </rPh>
    <phoneticPr fontId="4"/>
  </si>
  <si>
    <t>銀行</t>
    <rPh sb="0" eb="2">
      <t>ギンコウ</t>
    </rPh>
    <phoneticPr fontId="4"/>
  </si>
  <si>
    <t>信金</t>
    <rPh sb="0" eb="2">
      <t>シンキン</t>
    </rPh>
    <phoneticPr fontId="4"/>
  </si>
  <si>
    <t>信組</t>
    <rPh sb="0" eb="2">
      <t>シンクミ</t>
    </rPh>
    <phoneticPr fontId="4"/>
  </si>
  <si>
    <t>支店名</t>
    <rPh sb="0" eb="2">
      <t>シテン</t>
    </rPh>
    <rPh sb="2" eb="3">
      <t>メイ</t>
    </rPh>
    <phoneticPr fontId="4"/>
  </si>
  <si>
    <t>本店</t>
    <rPh sb="0" eb="2">
      <t>ホンテン</t>
    </rPh>
    <phoneticPr fontId="4"/>
  </si>
  <si>
    <t>支店</t>
    <rPh sb="0" eb="2">
      <t>シテン</t>
    </rPh>
    <phoneticPr fontId="4"/>
  </si>
  <si>
    <t>労金</t>
    <rPh sb="0" eb="2">
      <t>ロウキン</t>
    </rPh>
    <phoneticPr fontId="4"/>
  </si>
  <si>
    <t>農協</t>
    <rPh sb="0" eb="2">
      <t>ノウキョウ</t>
    </rPh>
    <phoneticPr fontId="4"/>
  </si>
  <si>
    <t>漁協</t>
    <rPh sb="0" eb="2">
      <t>ギョキョウ</t>
    </rPh>
    <phoneticPr fontId="4"/>
  </si>
  <si>
    <t>支社</t>
    <rPh sb="0" eb="2">
      <t>シシャ</t>
    </rPh>
    <phoneticPr fontId="4"/>
  </si>
  <si>
    <t>出張所</t>
    <rPh sb="0" eb="2">
      <t>シュッチョウ</t>
    </rPh>
    <rPh sb="2" eb="3">
      <t>ジョ</t>
    </rPh>
    <phoneticPr fontId="4"/>
  </si>
  <si>
    <t>該当 がない場合は、支店種別を「本店」とし↑
支店名欄に種別までご記入下さい。</t>
    <rPh sb="0" eb="2">
      <t>ガイトウ</t>
    </rPh>
    <rPh sb="6" eb="8">
      <t>バアイ</t>
    </rPh>
    <rPh sb="10" eb="12">
      <t>シテン</t>
    </rPh>
    <rPh sb="12" eb="14">
      <t>シュベツ</t>
    </rPh>
    <rPh sb="16" eb="18">
      <t>ホンテン</t>
    </rPh>
    <rPh sb="23" eb="26">
      <t>シテンメイ</t>
    </rPh>
    <rPh sb="26" eb="27">
      <t>ラン</t>
    </rPh>
    <rPh sb="28" eb="30">
      <t>シュベツ</t>
    </rPh>
    <rPh sb="33" eb="35">
      <t>キニュウ</t>
    </rPh>
    <rPh sb="35" eb="36">
      <t>クダ</t>
    </rPh>
    <phoneticPr fontId="4"/>
  </si>
  <si>
    <t>口座種別</t>
    <rPh sb="0" eb="2">
      <t>コウザ</t>
    </rPh>
    <rPh sb="2" eb="4">
      <t>シュベツ</t>
    </rPh>
    <phoneticPr fontId="4"/>
  </si>
  <si>
    <t>普通</t>
    <rPh sb="0" eb="2">
      <t>フツウ</t>
    </rPh>
    <phoneticPr fontId="4"/>
  </si>
  <si>
    <t>当座</t>
    <rPh sb="0" eb="2">
      <t>トウザ</t>
    </rPh>
    <phoneticPr fontId="4"/>
  </si>
  <si>
    <t>口座名義カナ</t>
    <rPh sb="2" eb="4">
      <t>メイギ</t>
    </rPh>
    <phoneticPr fontId="4"/>
  </si>
  <si>
    <t>記入年月日</t>
    <rPh sb="0" eb="2">
      <t>キニュウ</t>
    </rPh>
    <rPh sb="2" eb="5">
      <t>ネンガッピ</t>
    </rPh>
    <phoneticPr fontId="4"/>
  </si>
  <si>
    <t>usestartrequest_ymd</t>
  </si>
  <si>
    <t>Key</t>
    <phoneticPr fontId="4"/>
  </si>
  <si>
    <t>End</t>
    <phoneticPr fontId="3"/>
  </si>
  <si>
    <t>入力確認</t>
    <phoneticPr fontId="3"/>
  </si>
  <si>
    <t>区</t>
    <phoneticPr fontId="3"/>
  </si>
  <si>
    <t>入力制限</t>
    <phoneticPr fontId="4"/>
  </si>
  <si>
    <t>決済追加</t>
    <phoneticPr fontId="4"/>
  </si>
  <si>
    <t>入力すれば指定も可能</t>
    <phoneticPr fontId="3"/>
  </si>
  <si>
    <t>0：無し　1：有り</t>
    <phoneticPr fontId="4"/>
  </si>
  <si>
    <t>00：ネット　01：リアル　02：ACQ包括</t>
    <phoneticPr fontId="4"/>
  </si>
  <si>
    <t>サービスID追加必須</t>
    <phoneticPr fontId="4"/>
  </si>
  <si>
    <t>サービスID追加も新規申込　MIDの記入があると結果的にサービスID追加になる</t>
    <phoneticPr fontId="3"/>
  </si>
  <si>
    <t>0：不明　1：男　2：女</t>
    <phoneticPr fontId="4"/>
  </si>
  <si>
    <t>0：公開中　1：未公開</t>
    <phoneticPr fontId="4"/>
  </si>
  <si>
    <t>00:指定なし　01:物品販売　02:デジタルコンテンツ　03:大規模小売 04:宿泊施設　05:B2B　06:チケット　07:交通　08:タクシー　09:旅行　10:通信 11:保険　12:不動産　13:教育　99：サービス・その他</t>
    <phoneticPr fontId="3"/>
  </si>
  <si>
    <t>表に欄は無く、上記平均単価が1000円未満の時2：少額</t>
    <phoneticPr fontId="4"/>
  </si>
  <si>
    <t>■１．企業情報</t>
    <phoneticPr fontId="3"/>
  </si>
  <si>
    <t>■２．サービス情報</t>
    <phoneticPr fontId="3"/>
  </si>
  <si>
    <t>■４．ご連絡先情報</t>
    <phoneticPr fontId="3"/>
  </si>
  <si>
    <t>無いときは00-0000-0000と入れてもらう</t>
    <phoneticPr fontId="3"/>
  </si>
  <si>
    <t>設立初年度などの時は0と入れてもらう</t>
    <phoneticPr fontId="3"/>
  </si>
  <si>
    <t>未選択だと無し</t>
    <phoneticPr fontId="3"/>
  </si>
  <si>
    <t>免許ある場合のみ必須</t>
    <phoneticPr fontId="3"/>
  </si>
  <si>
    <t>○</t>
    <phoneticPr fontId="4"/>
  </si>
  <si>
    <t>○</t>
    <phoneticPr fontId="4"/>
  </si>
  <si>
    <t>決済機関に申請する名称</t>
    <phoneticPr fontId="3"/>
  </si>
  <si>
    <t>100（登録25文字まで）</t>
    <phoneticPr fontId="3"/>
  </si>
  <si>
    <t>■３．お振込先口座</t>
    <phoneticPr fontId="3"/>
  </si>
  <si>
    <t>○</t>
    <phoneticPr fontId="4"/>
  </si>
  <si>
    <t>公開前の場合必須</t>
    <rPh sb="0" eb="2">
      <t>コウカイ</t>
    </rPh>
    <rPh sb="2" eb="3">
      <t>マエ</t>
    </rPh>
    <rPh sb="4" eb="6">
      <t>バアイ</t>
    </rPh>
    <rPh sb="6" eb="8">
      <t>ヒッス</t>
    </rPh>
    <phoneticPr fontId="3"/>
  </si>
  <si>
    <t>上記申込書の会社名と相違の場合必須</t>
    <rPh sb="0" eb="2">
      <t>ジョウキ</t>
    </rPh>
    <rPh sb="2" eb="5">
      <t>モウシコミショ</t>
    </rPh>
    <rPh sb="6" eb="8">
      <t>カイシャ</t>
    </rPh>
    <rPh sb="8" eb="9">
      <t>メイ</t>
    </rPh>
    <rPh sb="10" eb="12">
      <t>ソウイ</t>
    </rPh>
    <rPh sb="13" eb="15">
      <t>バアイ</t>
    </rPh>
    <rPh sb="15" eb="17">
      <t>ヒッス</t>
    </rPh>
    <phoneticPr fontId="3"/>
  </si>
  <si>
    <t>公開前の場合必須（担当者運用統括責任者項目使用）</t>
    <rPh sb="0" eb="2">
      <t>コウカイ</t>
    </rPh>
    <rPh sb="2" eb="3">
      <t>マエ</t>
    </rPh>
    <rPh sb="4" eb="6">
      <t>バアイ</t>
    </rPh>
    <rPh sb="6" eb="8">
      <t>ヒッス</t>
    </rPh>
    <rPh sb="9" eb="12">
      <t>タントウシャ</t>
    </rPh>
    <rPh sb="12" eb="14">
      <t>ウンヨウ</t>
    </rPh>
    <rPh sb="14" eb="16">
      <t>トウカツ</t>
    </rPh>
    <rPh sb="16" eb="19">
      <t>セキニンシャ</t>
    </rPh>
    <rPh sb="19" eb="21">
      <t>コウモク</t>
    </rPh>
    <rPh sb="21" eb="23">
      <t>シヨウ</t>
    </rPh>
    <phoneticPr fontId="3"/>
  </si>
  <si>
    <t>上記その他の場合必須</t>
    <rPh sb="0" eb="2">
      <t>ジョウキ</t>
    </rPh>
    <rPh sb="4" eb="5">
      <t>タ</t>
    </rPh>
    <rPh sb="6" eb="8">
      <t>バアイ</t>
    </rPh>
    <rPh sb="8" eb="10">
      <t>ヒッス</t>
    </rPh>
    <phoneticPr fontId="3"/>
  </si>
  <si>
    <t>au有りの場合必須</t>
    <rPh sb="2" eb="3">
      <t>ア</t>
    </rPh>
    <rPh sb="5" eb="7">
      <t>バアイ</t>
    </rPh>
    <rPh sb="7" eb="9">
      <t>ヒッス</t>
    </rPh>
    <phoneticPr fontId="3"/>
  </si>
  <si>
    <t>上記景品有りの場合必須</t>
    <rPh sb="0" eb="2">
      <t>ジョウキ</t>
    </rPh>
    <rPh sb="2" eb="4">
      <t>ケイヒン</t>
    </rPh>
    <rPh sb="4" eb="5">
      <t>ア</t>
    </rPh>
    <rPh sb="7" eb="9">
      <t>バアイ</t>
    </rPh>
    <rPh sb="9" eb="11">
      <t>ヒッス</t>
    </rPh>
    <phoneticPr fontId="3"/>
  </si>
  <si>
    <t>au、bitcash有りの場合必須</t>
    <rPh sb="10" eb="11">
      <t>ア</t>
    </rPh>
    <rPh sb="13" eb="15">
      <t>バアイ</t>
    </rPh>
    <rPh sb="15" eb="17">
      <t>ヒッス</t>
    </rPh>
    <phoneticPr fontId="3"/>
  </si>
  <si>
    <t>上記機能有りの場合必須</t>
    <rPh sb="0" eb="2">
      <t>ジョウキ</t>
    </rPh>
    <rPh sb="2" eb="4">
      <t>キノウ</t>
    </rPh>
    <rPh sb="4" eb="5">
      <t>ア</t>
    </rPh>
    <rPh sb="7" eb="9">
      <t>バアイ</t>
    </rPh>
    <rPh sb="9" eb="11">
      <t>ヒッス</t>
    </rPh>
    <phoneticPr fontId="3"/>
  </si>
  <si>
    <t>決済手段ID</t>
    <rPh sb="0" eb="2">
      <t>ケッサイ</t>
    </rPh>
    <rPh sb="2" eb="4">
      <t>シュダン</t>
    </rPh>
    <phoneticPr fontId="4"/>
  </si>
  <si>
    <t>0：利用しない　1：利用する</t>
    <rPh sb="2" eb="4">
      <t>リヨウ</t>
    </rPh>
    <rPh sb="10" eb="12">
      <t>リヨウ</t>
    </rPh>
    <phoneticPr fontId="4"/>
  </si>
  <si>
    <t>コード</t>
    <phoneticPr fontId="4"/>
  </si>
  <si>
    <t>デフォルト</t>
    <phoneticPr fontId="4"/>
  </si>
  <si>
    <t>補足</t>
    <rPh sb="0" eb="2">
      <t>ホソク</t>
    </rPh>
    <phoneticPr fontId="4"/>
  </si>
  <si>
    <t>ソリューションコード</t>
    <phoneticPr fontId="4"/>
  </si>
  <si>
    <t>0：利用しない　1：利用する</t>
    <phoneticPr fontId="3"/>
  </si>
  <si>
    <t>null</t>
    <phoneticPr fontId="3"/>
  </si>
  <si>
    <t>記入シート1サービス情報から</t>
    <rPh sb="0" eb="2">
      <t>キニュウ</t>
    </rPh>
    <phoneticPr fontId="4"/>
  </si>
  <si>
    <t>記入シート2オプション申込から</t>
    <rPh sb="0" eb="2">
      <t>キニュウ</t>
    </rPh>
    <phoneticPr fontId="4"/>
  </si>
  <si>
    <t>必ずhttpから記載　例：http://www.domain.co.jp/sample/</t>
    <rPh sb="0" eb="1">
      <t>カナラ</t>
    </rPh>
    <rPh sb="8" eb="10">
      <t>キサイ</t>
    </rPh>
    <rPh sb="11" eb="12">
      <t>レイ</t>
    </rPh>
    <phoneticPr fontId="3"/>
  </si>
  <si>
    <t>○◇</t>
    <phoneticPr fontId="3"/>
  </si>
  <si>
    <t>月2回は特殊</t>
    <rPh sb="0" eb="1">
      <t>ツキ</t>
    </rPh>
    <rPh sb="2" eb="3">
      <t>カイ</t>
    </rPh>
    <rPh sb="4" eb="6">
      <t>トクシュ</t>
    </rPh>
    <phoneticPr fontId="3"/>
  </si>
  <si>
    <t>setupval</t>
  </si>
  <si>
    <t>決済手段</t>
    <phoneticPr fontId="4"/>
  </si>
  <si>
    <t>項目名</t>
    <phoneticPr fontId="4"/>
  </si>
  <si>
    <t>加盟店基本情報</t>
    <phoneticPr fontId="3"/>
  </si>
  <si>
    <t>unifyperson_emailaddress</t>
  </si>
  <si>
    <t>enter_ymd</t>
  </si>
  <si>
    <t>■６．特商法・その他</t>
    <phoneticPr fontId="3"/>
  </si>
  <si>
    <t>現在利用無し</t>
    <phoneticPr fontId="3"/>
  </si>
  <si>
    <t>運営統括責任者FAX番号</t>
  </si>
  <si>
    <t>ネットショップ注文確認までの時間24時間以内、1日から2日、その他何日かかるか記入</t>
  </si>
  <si>
    <t>事業譲渡フラグ</t>
  </si>
  <si>
    <t>SBPS経由</t>
  </si>
  <si>
    <t>Z06</t>
    <phoneticPr fontId="3"/>
  </si>
  <si>
    <t>担当者名</t>
    <phoneticPr fontId="4"/>
  </si>
  <si>
    <t>社員ID</t>
    <rPh sb="0" eb="2">
      <t>シャイン</t>
    </rPh>
    <phoneticPr fontId="27"/>
  </si>
  <si>
    <t>社員名称</t>
    <rPh sb="0" eb="2">
      <t>シャイン</t>
    </rPh>
    <rPh sb="2" eb="4">
      <t>メイショウ</t>
    </rPh>
    <phoneticPr fontId="27"/>
  </si>
  <si>
    <t>有本圭一</t>
  </si>
  <si>
    <t>山浦政彦</t>
  </si>
  <si>
    <t>中村公行</t>
  </si>
  <si>
    <t>波田野則和</t>
  </si>
  <si>
    <t>杉谷淳</t>
  </si>
  <si>
    <t>柳沢秀明</t>
  </si>
  <si>
    <t>磨見武</t>
  </si>
  <si>
    <t>佐々木浩樹</t>
  </si>
  <si>
    <t>本脇章雄</t>
  </si>
  <si>
    <t>久保剛</t>
  </si>
  <si>
    <t>中尾和生</t>
  </si>
  <si>
    <t>安立秀和</t>
  </si>
  <si>
    <t>中里純規</t>
  </si>
  <si>
    <t>井上篤</t>
  </si>
  <si>
    <t>藤本利久</t>
  </si>
  <si>
    <t>佐々木信治</t>
  </si>
  <si>
    <t>澤中寿千</t>
  </si>
  <si>
    <t>宇野隆之</t>
  </si>
  <si>
    <t>林亮</t>
  </si>
  <si>
    <t>竹内健一</t>
  </si>
  <si>
    <t>川野敦</t>
  </si>
  <si>
    <t>長塚雅彦</t>
  </si>
  <si>
    <t>浦田靖規</t>
  </si>
  <si>
    <t>中村鷹優</t>
  </si>
  <si>
    <t>小原澤映樹</t>
  </si>
  <si>
    <t>甲田綾子</t>
  </si>
  <si>
    <t>二河めぐみ</t>
  </si>
  <si>
    <t>吉村礼子</t>
  </si>
  <si>
    <t>野極徹</t>
  </si>
  <si>
    <t>佐井篤史</t>
  </si>
  <si>
    <t>佐野和彦</t>
  </si>
  <si>
    <t>斉藤克典</t>
  </si>
  <si>
    <t>岡田清登</t>
  </si>
  <si>
    <t>中村元</t>
  </si>
  <si>
    <t>白木瑛子</t>
  </si>
  <si>
    <t>一安真由美</t>
  </si>
  <si>
    <t>廣瀬清香</t>
  </si>
  <si>
    <t>徳本益明</t>
  </si>
  <si>
    <t>渡邊之光</t>
  </si>
  <si>
    <t>髙田卓</t>
  </si>
  <si>
    <t>小野寺常</t>
  </si>
  <si>
    <t>Pコード</t>
    <phoneticPr fontId="27"/>
  </si>
  <si>
    <t>代理店名称</t>
    <phoneticPr fontId="27"/>
  </si>
  <si>
    <t>代理店コード</t>
    <phoneticPr fontId="27"/>
  </si>
  <si>
    <t>パートナーコード</t>
    <phoneticPr fontId="4"/>
  </si>
  <si>
    <t>管理番号</t>
    <phoneticPr fontId="4"/>
  </si>
  <si>
    <t>サービス開始希望日</t>
    <phoneticPr fontId="4"/>
  </si>
  <si>
    <t>申込年月日</t>
    <phoneticPr fontId="4"/>
  </si>
  <si>
    <t>ドコモ、au有りの場合必須</t>
    <rPh sb="6" eb="7">
      <t>ア</t>
    </rPh>
    <rPh sb="9" eb="11">
      <t>バアイ</t>
    </rPh>
    <rPh sb="11" eb="13">
      <t>ヒッス</t>
    </rPh>
    <phoneticPr fontId="3"/>
  </si>
  <si>
    <t>ドコモ、au、PayPal有りの場合必須</t>
    <rPh sb="13" eb="14">
      <t>ア</t>
    </rPh>
    <rPh sb="16" eb="18">
      <t>バアイ</t>
    </rPh>
    <rPh sb="18" eb="20">
      <t>ヒッス</t>
    </rPh>
    <phoneticPr fontId="3"/>
  </si>
  <si>
    <t>↓入力</t>
    <rPh sb="1" eb="3">
      <t>ニュウリョク</t>
    </rPh>
    <phoneticPr fontId="3"/>
  </si>
  <si>
    <t>◆</t>
    <phoneticPr fontId="3"/>
  </si>
  <si>
    <t>ファイル与信利用有無</t>
  </si>
  <si>
    <t>与信ファイル送信先MID</t>
  </si>
  <si>
    <t>与信ファイル送信先SID</t>
  </si>
  <si>
    <t>101026</t>
  </si>
  <si>
    <t>101027</t>
  </si>
  <si>
    <t>101028</t>
  </si>
  <si>
    <t>◎エントリーシート　○エントリーシート設定依頼書　◇設定依頼書　◆特殊</t>
    <rPh sb="19" eb="21">
      <t>セッテイ</t>
    </rPh>
    <rPh sb="26" eb="28">
      <t>セッテイ</t>
    </rPh>
    <rPh sb="28" eb="31">
      <t>イライショ</t>
    </rPh>
    <rPh sb="33" eb="35">
      <t>トクシュ</t>
    </rPh>
    <phoneticPr fontId="4"/>
  </si>
  <si>
    <t>○◇</t>
    <phoneticPr fontId="3"/>
  </si>
  <si>
    <t>複数時｢,｣で区切る　例：111.111.111.111,222.222.222.222</t>
    <rPh sb="0" eb="2">
      <t>フクスウ</t>
    </rPh>
    <rPh sb="2" eb="3">
      <t>ジ</t>
    </rPh>
    <rPh sb="7" eb="9">
      <t>クギ</t>
    </rPh>
    <rPh sb="11" eb="12">
      <t>レイ</t>
    </rPh>
    <phoneticPr fontId="4"/>
  </si>
  <si>
    <t>○◇</t>
    <phoneticPr fontId="3"/>
  </si>
  <si>
    <t>◎○◇</t>
    <phoneticPr fontId="4"/>
  </si>
  <si>
    <t>◎◆</t>
    <phoneticPr fontId="4"/>
  </si>
  <si>
    <t>ファイル洗替は設定依頼書からのみ</t>
    <rPh sb="7" eb="9">
      <t>セッテイ</t>
    </rPh>
    <rPh sb="9" eb="12">
      <t>イライショ</t>
    </rPh>
    <phoneticPr fontId="3"/>
  </si>
  <si>
    <t>◆</t>
    <phoneticPr fontId="3"/>
  </si>
  <si>
    <t>利用するがデフォルト</t>
    <phoneticPr fontId="3"/>
  </si>
  <si>
    <t>◎○◇</t>
    <phoneticPr fontId="4"/>
  </si>
  <si>
    <t>■基本設定</t>
  </si>
  <si>
    <t>■管理画面</t>
  </si>
  <si>
    <t>■リンク型設定</t>
  </si>
  <si>
    <t>■API型設定</t>
  </si>
  <si>
    <t>■リンク型＋API型利用時設定</t>
  </si>
  <si>
    <t>■簡易継続課金</t>
  </si>
  <si>
    <t>■カード情報共有設定（MID,SID跨ぎ）</t>
  </si>
  <si>
    <t>■特殊設定：仮想通貨ソリューション</t>
  </si>
  <si>
    <t>■特殊設定：大量系ソリューション</t>
  </si>
  <si>
    <t>■特殊設定：カードシステム直連携</t>
  </si>
  <si>
    <t>■特殊設定：決済ASP</t>
  </si>
  <si>
    <t>■特殊設定：その他</t>
  </si>
  <si>
    <t>■クレジット基本設定</t>
  </si>
  <si>
    <t>■クレジットリンク型設定</t>
  </si>
  <si>
    <t>3Dセキュア利用の場合の携帯クレジット(3Dなし)決済</t>
  </si>
  <si>
    <t>カード情報登録画面</t>
  </si>
  <si>
    <t>■クレジット管理画面</t>
  </si>
  <si>
    <t>■クレジットSBPS決済管理ツール（梅ツール）</t>
  </si>
  <si>
    <t>0：構築しない　1：構築する</t>
    <rPh sb="2" eb="4">
      <t>コウチク</t>
    </rPh>
    <rPh sb="10" eb="12">
      <t>コウチク</t>
    </rPh>
    <phoneticPr fontId="4"/>
  </si>
  <si>
    <t>1：リンク型のみ 　2：リンク型+API型 　3：API型のみ 　4：SBPS決済管理ツール（梅）</t>
  </si>
  <si>
    <t>0：利用しない　1：利用する（接続元IP制限あり）　2：利用する（接続元IP制限なし）</t>
  </si>
  <si>
    <t>0：利用しない　1：利用する</t>
  </si>
  <si>
    <t>1：リンク型　2：API型</t>
  </si>
  <si>
    <t>0：利用しない　1：利用する（初月退会時課金有り）　2：利用する（初月退会時課金無し）</t>
  </si>
  <si>
    <t>0：利用しない　1：利用する（MID跨ぎ）　2：利用する（SID跨ぎ）</t>
  </si>
  <si>
    <t>1：日次　2：月次　3：月2回</t>
    <rPh sb="2" eb="4">
      <t>ニチジ</t>
    </rPh>
    <rPh sb="7" eb="9">
      <t>ゲツジ</t>
    </rPh>
    <rPh sb="12" eb="13">
      <t>ツキ</t>
    </rPh>
    <rPh sb="14" eb="15">
      <t>カイ</t>
    </rPh>
    <phoneticPr fontId="4"/>
  </si>
  <si>
    <t>0：利用しない　1：利用する(必須) 　2：利用する(任意)</t>
    <rPh sb="10" eb="12">
      <t>リヨウ</t>
    </rPh>
    <rPh sb="15" eb="17">
      <t>ヒッス</t>
    </rPh>
    <rPh sb="22" eb="24">
      <t>リヨウ</t>
    </rPh>
    <rPh sb="27" eb="29">
      <t>ニンイ</t>
    </rPh>
    <phoneticPr fontId="4"/>
  </si>
  <si>
    <t>0：利用しない　1：自動洗替　2：ファイル洗替</t>
  </si>
  <si>
    <t>1：自動売上　2：指定売上　3：ファイル売上</t>
    <rPh sb="9" eb="11">
      <t>シテイ</t>
    </rPh>
    <rPh sb="11" eb="13">
      <t>ウリアゲ</t>
    </rPh>
    <rPh sb="20" eb="22">
      <t>ウリアゲ</t>
    </rPh>
    <phoneticPr fontId="4"/>
  </si>
  <si>
    <t>0：利用しない　1：利用する（完全）　2：利用する（バイパス有）</t>
  </si>
  <si>
    <t>0：利用しない　1：利用する(必須)　2：利用する(任意)</t>
  </si>
  <si>
    <t>0：不要　1：未受領　2：受領済み</t>
  </si>
  <si>
    <t>00：利用しない　01：パターン1　02：パターン2　03：パターン3　04：パターン4　05：パターン5　06：パターン6　07：パターン7　08：パターン8</t>
    <rPh sb="3" eb="5">
      <t>リヨウ</t>
    </rPh>
    <phoneticPr fontId="4"/>
  </si>
  <si>
    <t>001002</t>
    <phoneticPr fontId="3"/>
  </si>
  <si>
    <t>現状固定</t>
    <phoneticPr fontId="3"/>
  </si>
  <si>
    <t>現状固定</t>
    <phoneticPr fontId="3"/>
  </si>
  <si>
    <t>001013</t>
    <phoneticPr fontId="3"/>
  </si>
  <si>
    <t>記入例：domain.co.jp</t>
    <phoneticPr fontId="3"/>
  </si>
  <si>
    <t>◎○</t>
    <phoneticPr fontId="4"/>
  </si>
  <si>
    <t>利用する（任意）は特殊。通常は利用する（必須）を選択で固定。利用する場合デフォルトを必須としておくと、TBX有りの場合はFEP：任意+画面制御（≒必須）、TBX：任意で構築されるため。</t>
    <phoneticPr fontId="4"/>
  </si>
  <si>
    <t>クレジット継続課金（簡易）が有る場合は、必須　無い場合は任意がデフォルト</t>
    <rPh sb="23" eb="24">
      <t>ナ</t>
    </rPh>
    <rPh sb="25" eb="27">
      <t>バアイ</t>
    </rPh>
    <rPh sb="28" eb="30">
      <t>ニンイ</t>
    </rPh>
    <phoneticPr fontId="4"/>
  </si>
  <si>
    <t>SBTから発行されたID/PWを入れると完了通知にURLと共に案内される</t>
    <phoneticPr fontId="3"/>
  </si>
  <si>
    <t>2</t>
    <phoneticPr fontId="4"/>
  </si>
  <si>
    <t>固定</t>
    <phoneticPr fontId="3"/>
  </si>
  <si>
    <t>1：都度のみ　2：都度+継続（簡易）　3：継続（簡易）のみ</t>
    <phoneticPr fontId="3"/>
  </si>
  <si>
    <t>14：寄付</t>
    <phoneticPr fontId="11"/>
  </si>
  <si>
    <t>フリガナ</t>
    <phoneticPr fontId="4"/>
  </si>
  <si>
    <t>免許名称</t>
    <phoneticPr fontId="4"/>
  </si>
  <si>
    <t>免許番号</t>
    <phoneticPr fontId="4"/>
  </si>
  <si>
    <t>取得年月日</t>
    <phoneticPr fontId="4"/>
  </si>
  <si>
    <t>年</t>
    <phoneticPr fontId="4"/>
  </si>
  <si>
    <t>月</t>
    <phoneticPr fontId="4"/>
  </si>
  <si>
    <t>日</t>
    <phoneticPr fontId="4"/>
  </si>
  <si>
    <t>金融機関コード</t>
    <phoneticPr fontId="4"/>
  </si>
  <si>
    <t>支店コード</t>
    <phoneticPr fontId="4"/>
  </si>
  <si>
    <t>口座番号</t>
    <phoneticPr fontId="4"/>
  </si>
  <si>
    <t>口座名義</t>
    <phoneticPr fontId="4"/>
  </si>
  <si>
    <t>フリガナ</t>
    <phoneticPr fontId="4"/>
  </si>
  <si>
    <t>E-mailアドレス</t>
    <phoneticPr fontId="4"/>
  </si>
  <si>
    <t>〶</t>
    <phoneticPr fontId="4"/>
  </si>
  <si>
    <t>-</t>
    <phoneticPr fontId="4"/>
  </si>
  <si>
    <t>個人情報の
取り扱いについて</t>
    <phoneticPr fontId="4"/>
  </si>
  <si>
    <t>00：選択して下さい</t>
  </si>
  <si>
    <t>01：新規申込　02：決済追加</t>
    <phoneticPr fontId="4"/>
  </si>
  <si>
    <t>チャネルNo</t>
    <phoneticPr fontId="3"/>
  </si>
  <si>
    <t>取扱区分（SBPS記載欄）</t>
    <rPh sb="9" eb="11">
      <t>キサイ</t>
    </rPh>
    <rPh sb="11" eb="12">
      <t>ラン</t>
    </rPh>
    <phoneticPr fontId="4"/>
  </si>
  <si>
    <t>案件管理番号</t>
    <phoneticPr fontId="4"/>
  </si>
  <si>
    <t>担当者CD</t>
    <phoneticPr fontId="4"/>
  </si>
  <si>
    <t>案件担当</t>
    <rPh sb="0" eb="2">
      <t>アンケン</t>
    </rPh>
    <phoneticPr fontId="4"/>
  </si>
  <si>
    <t>業務担当者名</t>
    <rPh sb="0" eb="2">
      <t>ギョウム</t>
    </rPh>
    <rPh sb="2" eb="5">
      <t>タントウシャ</t>
    </rPh>
    <rPh sb="5" eb="6">
      <t>メイ</t>
    </rPh>
    <phoneticPr fontId="4"/>
  </si>
  <si>
    <t>案件担当</t>
    <rPh sb="0" eb="2">
      <t>アンケン</t>
    </rPh>
    <rPh sb="2" eb="4">
      <t>タントウ</t>
    </rPh>
    <phoneticPr fontId="4"/>
  </si>
  <si>
    <t>●営業時間</t>
    <rPh sb="1" eb="3">
      <t>エイギョウ</t>
    </rPh>
    <rPh sb="3" eb="5">
      <t>ジカン</t>
    </rPh>
    <phoneticPr fontId="3"/>
  </si>
  <si>
    <t>●販売形態</t>
    <rPh sb="1" eb="3">
      <t>ハンバイ</t>
    </rPh>
    <rPh sb="3" eb="5">
      <t>ケイタイ</t>
    </rPh>
    <phoneticPr fontId="3"/>
  </si>
  <si>
    <t>00</t>
  </si>
  <si>
    <t>01</t>
  </si>
  <si>
    <t>10</t>
  </si>
  <si>
    <t>02</t>
  </si>
  <si>
    <t>20</t>
  </si>
  <si>
    <t>03</t>
  </si>
  <si>
    <t>30</t>
  </si>
  <si>
    <t>04</t>
  </si>
  <si>
    <t>40</t>
  </si>
  <si>
    <t>05</t>
  </si>
  <si>
    <t>50</t>
  </si>
  <si>
    <t>06</t>
  </si>
  <si>
    <t>07</t>
  </si>
  <si>
    <t>08</t>
  </si>
  <si>
    <t>09</t>
  </si>
  <si>
    <t>11</t>
  </si>
  <si>
    <t>13</t>
  </si>
  <si>
    <t>14</t>
  </si>
  <si>
    <t>15</t>
  </si>
  <si>
    <t>16</t>
  </si>
  <si>
    <t>17</t>
  </si>
  <si>
    <t>18</t>
  </si>
  <si>
    <t>19</t>
  </si>
  <si>
    <t>21</t>
  </si>
  <si>
    <t>22</t>
  </si>
  <si>
    <t>23</t>
  </si>
  <si>
    <t>店</t>
    <rPh sb="0" eb="1">
      <t>テン</t>
    </rPh>
    <phoneticPr fontId="3"/>
  </si>
  <si>
    <t>従業員数</t>
    <rPh sb="0" eb="3">
      <t>ジュウギョウイン</t>
    </rPh>
    <rPh sb="3" eb="4">
      <t>スウ</t>
    </rPh>
    <phoneticPr fontId="4"/>
  </si>
  <si>
    <t>名</t>
    <rPh sb="0" eb="1">
      <t>メイ</t>
    </rPh>
    <phoneticPr fontId="3"/>
  </si>
  <si>
    <r>
      <t xml:space="preserve">事業内容
</t>
    </r>
    <r>
      <rPr>
        <sz val="10"/>
        <rFont val="Meiryo UI"/>
        <family val="3"/>
        <charset val="128"/>
      </rPr>
      <t>（200文字まで）</t>
    </r>
    <rPh sb="0" eb="2">
      <t>ジギョウ</t>
    </rPh>
    <rPh sb="2" eb="4">
      <t>ナイヨウ</t>
    </rPh>
    <phoneticPr fontId="4"/>
  </si>
  <si>
    <t>　会社所在地と同じ</t>
    <rPh sb="1" eb="3">
      <t>カイシャ</t>
    </rPh>
    <rPh sb="3" eb="6">
      <t>ショザイチ</t>
    </rPh>
    <rPh sb="7" eb="8">
      <t>オナ</t>
    </rPh>
    <phoneticPr fontId="3"/>
  </si>
  <si>
    <t>所在地</t>
  </si>
  <si>
    <t>店舗 電話番号</t>
    <rPh sb="0" eb="2">
      <t>テンポ</t>
    </rPh>
    <rPh sb="3" eb="5">
      <t>デンワ</t>
    </rPh>
    <rPh sb="5" eb="7">
      <t>バンゴウ</t>
    </rPh>
    <phoneticPr fontId="4"/>
  </si>
  <si>
    <t>ホームページ</t>
    <phoneticPr fontId="4"/>
  </si>
  <si>
    <t>営業時間</t>
    <rPh sb="0" eb="2">
      <t>エイギョウ</t>
    </rPh>
    <rPh sb="2" eb="4">
      <t>ジカン</t>
    </rPh>
    <phoneticPr fontId="3"/>
  </si>
  <si>
    <t>：</t>
    <phoneticPr fontId="3"/>
  </si>
  <si>
    <t>～</t>
    <phoneticPr fontId="3"/>
  </si>
  <si>
    <t>休業日</t>
    <rPh sb="0" eb="3">
      <t>キュウギョウビ</t>
    </rPh>
    <phoneticPr fontId="3"/>
  </si>
  <si>
    <t>月</t>
    <rPh sb="0" eb="1">
      <t>ゲツ</t>
    </rPh>
    <phoneticPr fontId="3"/>
  </si>
  <si>
    <t>火</t>
  </si>
  <si>
    <t>水</t>
  </si>
  <si>
    <t>木</t>
  </si>
  <si>
    <t>金</t>
  </si>
  <si>
    <t>土</t>
  </si>
  <si>
    <t>日</t>
  </si>
  <si>
    <t>祝</t>
    <rPh sb="0" eb="1">
      <t>シュク</t>
    </rPh>
    <phoneticPr fontId="3"/>
  </si>
  <si>
    <t>その他</t>
    <rPh sb="2" eb="3">
      <t>タ</t>
    </rPh>
    <phoneticPr fontId="3"/>
  </si>
  <si>
    <r>
      <t xml:space="preserve">業種
</t>
    </r>
    <r>
      <rPr>
        <sz val="10"/>
        <rFont val="Meiryo UI"/>
        <family val="3"/>
        <charset val="128"/>
      </rPr>
      <t>(200文字まで）</t>
    </r>
    <phoneticPr fontId="4"/>
  </si>
  <si>
    <t>販売形態</t>
    <rPh sb="0" eb="2">
      <t>ハンバイ</t>
    </rPh>
    <rPh sb="2" eb="4">
      <t>ケイタイ</t>
    </rPh>
    <phoneticPr fontId="3"/>
  </si>
  <si>
    <t>円</t>
    <rPh sb="0" eb="1">
      <t>エン</t>
    </rPh>
    <phoneticPr fontId="3"/>
  </si>
  <si>
    <t>日中連絡先電話番号</t>
    <rPh sb="0" eb="2">
      <t>ニッチュウ</t>
    </rPh>
    <rPh sb="2" eb="5">
      <t>レンラクサキ</t>
    </rPh>
    <rPh sb="5" eb="7">
      <t>デンワ</t>
    </rPh>
    <rPh sb="7" eb="9">
      <t>バンゴウ</t>
    </rPh>
    <phoneticPr fontId="4"/>
  </si>
  <si>
    <t>請求書
送付先住所</t>
    <phoneticPr fontId="4"/>
  </si>
  <si>
    <t>請求書送付先住所</t>
    <phoneticPr fontId="3"/>
  </si>
  <si>
    <t>店舗所在地</t>
    <rPh sb="0" eb="2">
      <t>テンポ</t>
    </rPh>
    <rPh sb="2" eb="5">
      <t>ショザイチ</t>
    </rPh>
    <phoneticPr fontId="3"/>
  </si>
  <si>
    <t>01</t>
    <phoneticPr fontId="4"/>
  </si>
  <si>
    <t>収納明細に表示される名称　25文字まで</t>
    <phoneticPr fontId="3"/>
  </si>
  <si>
    <t>お申し込みいただく「カードブランド」「支払方法」等の決済手段についてご記入ください。
【注意事項】ご希望の「支払方法」も含めて、加盟店審査を行います。お取扱いをご希望になる「支払方法」をご選択ください。</t>
    <phoneticPr fontId="3"/>
  </si>
  <si>
    <t>申込</t>
    <phoneticPr fontId="4"/>
  </si>
  <si>
    <t>入金経路</t>
    <phoneticPr fontId="4"/>
  </si>
  <si>
    <t>希望数</t>
    <rPh sb="0" eb="2">
      <t>キボウ</t>
    </rPh>
    <rPh sb="2" eb="3">
      <t>スウ</t>
    </rPh>
    <phoneticPr fontId="3"/>
  </si>
  <si>
    <t>台</t>
    <rPh sb="0" eb="1">
      <t>ダイ</t>
    </rPh>
    <phoneticPr fontId="3"/>
  </si>
  <si>
    <t>箱</t>
    <rPh sb="0" eb="1">
      <t>ハコ</t>
    </rPh>
    <phoneticPr fontId="3"/>
  </si>
  <si>
    <t>SBPS使用欄</t>
    <rPh sb="4" eb="6">
      <t>シヨウ</t>
    </rPh>
    <rPh sb="6" eb="7">
      <t>ラン</t>
    </rPh>
    <phoneticPr fontId="3"/>
  </si>
  <si>
    <t>◆端末情報◆</t>
    <rPh sb="1" eb="3">
      <t>タンマツ</t>
    </rPh>
    <rPh sb="3" eb="5">
      <t>ジョウホウ</t>
    </rPh>
    <phoneticPr fontId="3"/>
  </si>
  <si>
    <t>■返送先</t>
    <rPh sb="1" eb="3">
      <t>ヘンソウ</t>
    </rPh>
    <rPh sb="3" eb="4">
      <t>サキ</t>
    </rPh>
    <phoneticPr fontId="3"/>
  </si>
  <si>
    <t>2 回 払 い</t>
    <phoneticPr fontId="3"/>
  </si>
  <si>
    <t>分 割 払 い</t>
    <phoneticPr fontId="3"/>
  </si>
  <si>
    <t>リボルビング払い</t>
    <phoneticPr fontId="3"/>
  </si>
  <si>
    <t>ボーナス一括払い</t>
    <phoneticPr fontId="3"/>
  </si>
  <si>
    <t>分割回数：3・5・6・10・12・15・18・20・24回</t>
    <phoneticPr fontId="3"/>
  </si>
  <si>
    <r>
      <t xml:space="preserve">ツール＆端末等 送付先
</t>
    </r>
    <r>
      <rPr>
        <sz val="10"/>
        <color rgb="FFFF6600"/>
        <rFont val="Meiryo UI"/>
        <family val="3"/>
        <charset val="128"/>
      </rPr>
      <t>※お申し込みの端末の
送付先住所を1ヵ所ご選択ください。</t>
    </r>
    <rPh sb="6" eb="7">
      <t>ナド</t>
    </rPh>
    <rPh sb="14" eb="15">
      <t>モウ</t>
    </rPh>
    <rPh sb="16" eb="17">
      <t>コ</t>
    </rPh>
    <rPh sb="19" eb="21">
      <t>タンマツ</t>
    </rPh>
    <rPh sb="23" eb="25">
      <t>ソウフ</t>
    </rPh>
    <rPh sb="25" eb="26">
      <t>サキ</t>
    </rPh>
    <rPh sb="26" eb="28">
      <t>ジュウショ</t>
    </rPh>
    <rPh sb="31" eb="32">
      <t>ショ</t>
    </rPh>
    <rPh sb="33" eb="35">
      <t>センタク</t>
    </rPh>
    <phoneticPr fontId="3"/>
  </si>
  <si>
    <t>代表者居住地</t>
    <rPh sb="0" eb="3">
      <t>ダイヒョウシャ</t>
    </rPh>
    <rPh sb="3" eb="6">
      <t>キョジュウチ</t>
    </rPh>
    <phoneticPr fontId="4"/>
  </si>
  <si>
    <t>店舗 所在地</t>
    <phoneticPr fontId="3"/>
  </si>
  <si>
    <r>
      <t xml:space="preserve">店舗所在地
</t>
    </r>
    <r>
      <rPr>
        <sz val="10"/>
        <color rgb="FFFF6600"/>
        <rFont val="Meiryo UI"/>
        <family val="3"/>
        <charset val="128"/>
      </rPr>
      <t>※「3.お取扱い商品・サービス」の「店舗所在地」に
まとめて送付します。</t>
    </r>
    <rPh sb="2" eb="5">
      <t>ショザイチ</t>
    </rPh>
    <rPh sb="36" eb="38">
      <t>ソウフ</t>
    </rPh>
    <phoneticPr fontId="3"/>
  </si>
  <si>
    <t>ご精算について</t>
    <rPh sb="1" eb="3">
      <t>セイサン</t>
    </rPh>
    <phoneticPr fontId="3"/>
  </si>
  <si>
    <t>事業展開店舗数</t>
    <rPh sb="0" eb="2">
      <t>ジギョウ</t>
    </rPh>
    <rPh sb="2" eb="4">
      <t>テンカイ</t>
    </rPh>
    <rPh sb="4" eb="7">
      <t>テンポスウ</t>
    </rPh>
    <phoneticPr fontId="4"/>
  </si>
  <si>
    <r>
      <t xml:space="preserve">月間カード取扱金額
</t>
    </r>
    <r>
      <rPr>
        <sz val="10"/>
        <rFont val="Meiryo UI"/>
        <family val="3"/>
        <charset val="128"/>
      </rPr>
      <t>（目安）</t>
    </r>
    <rPh sb="0" eb="2">
      <t>ゲッカン</t>
    </rPh>
    <phoneticPr fontId="3"/>
  </si>
  <si>
    <t>ホームページ</t>
    <phoneticPr fontId="4"/>
  </si>
  <si>
    <t>その他</t>
    <rPh sb="2" eb="3">
      <t>タ</t>
    </rPh>
    <phoneticPr fontId="3"/>
  </si>
  <si>
    <t>旅行</t>
    <rPh sb="0" eb="2">
      <t>リョコウ</t>
    </rPh>
    <phoneticPr fontId="3"/>
  </si>
  <si>
    <t>薬類</t>
    <rPh sb="0" eb="1">
      <t>クスリ</t>
    </rPh>
    <rPh sb="1" eb="2">
      <t>ルイ</t>
    </rPh>
    <phoneticPr fontId="3"/>
  </si>
  <si>
    <t>酒類</t>
    <rPh sb="0" eb="1">
      <t>サカ</t>
    </rPh>
    <rPh sb="1" eb="2">
      <t>ルイ</t>
    </rPh>
    <phoneticPr fontId="3"/>
  </si>
  <si>
    <t>酒類販売</t>
    <rPh sb="0" eb="2">
      <t>シュルイ</t>
    </rPh>
    <rPh sb="2" eb="4">
      <t>ハンバイ</t>
    </rPh>
    <phoneticPr fontId="4"/>
  </si>
  <si>
    <t>飲食業</t>
    <rPh sb="0" eb="3">
      <t>インショクギョウ</t>
    </rPh>
    <phoneticPr fontId="3"/>
  </si>
  <si>
    <t>古物商</t>
    <rPh sb="0" eb="2">
      <t>コブツ</t>
    </rPh>
    <rPh sb="2" eb="3">
      <t>ショウ</t>
    </rPh>
    <phoneticPr fontId="3"/>
  </si>
  <si>
    <t>理容美容</t>
    <rPh sb="0" eb="2">
      <t>リヨウ</t>
    </rPh>
    <rPh sb="2" eb="4">
      <t>ビヨウ</t>
    </rPh>
    <phoneticPr fontId="3"/>
  </si>
  <si>
    <t>飲食業</t>
    <rPh sb="0" eb="2">
      <t>インショク</t>
    </rPh>
    <rPh sb="2" eb="3">
      <t>ギョウ</t>
    </rPh>
    <phoneticPr fontId="3"/>
  </si>
  <si>
    <t>※1回払いのみとなります。</t>
    <rPh sb="2" eb="3">
      <t>カイ</t>
    </rPh>
    <rPh sb="3" eb="4">
      <t>ハラ</t>
    </rPh>
    <phoneticPr fontId="3"/>
  </si>
  <si>
    <t>旅客運送業</t>
    <rPh sb="0" eb="2">
      <t>リョキャク</t>
    </rPh>
    <rPh sb="2" eb="4">
      <t>ウンソウ</t>
    </rPh>
    <rPh sb="4" eb="5">
      <t>ギョウ</t>
    </rPh>
    <phoneticPr fontId="4"/>
  </si>
  <si>
    <t>10601</t>
    <phoneticPr fontId="3"/>
  </si>
  <si>
    <t>旅客運送業</t>
    <phoneticPr fontId="3"/>
  </si>
  <si>
    <t>リアルクレジット</t>
    <phoneticPr fontId="4"/>
  </si>
  <si>
    <t>10602</t>
    <phoneticPr fontId="3"/>
  </si>
  <si>
    <t>会社従業員数</t>
    <phoneticPr fontId="3"/>
  </si>
  <si>
    <t>companyemployees</t>
    <phoneticPr fontId="3"/>
  </si>
  <si>
    <t>代表者所在地</t>
    <phoneticPr fontId="4"/>
  </si>
  <si>
    <t>companytypical_address</t>
    <phoneticPr fontId="3"/>
  </si>
  <si>
    <t>サービス店舗住所カナ</t>
    <rPh sb="4" eb="6">
      <t>テンポ</t>
    </rPh>
    <rPh sb="6" eb="8">
      <t>ジュウショ</t>
    </rPh>
    <phoneticPr fontId="3"/>
  </si>
  <si>
    <t>問合せ受付時間</t>
    <phoneticPr fontId="3"/>
  </si>
  <si>
    <t>reference_time</t>
    <phoneticPr fontId="3"/>
  </si>
  <si>
    <t>業種</t>
    <phoneticPr fontId="3"/>
  </si>
  <si>
    <t>month_handlingamount</t>
    <phoneticPr fontId="3"/>
  </si>
  <si>
    <t>月次取扱高見込</t>
    <phoneticPr fontId="3"/>
  </si>
  <si>
    <t>リアルクレジット</t>
    <phoneticPr fontId="3"/>
  </si>
  <si>
    <t>事業展開店舗数</t>
    <rPh sb="0" eb="2">
      <t>ジギョウ</t>
    </rPh>
    <rPh sb="2" eb="4">
      <t>テンカイ</t>
    </rPh>
    <rPh sb="4" eb="7">
      <t>テンポスウ</t>
    </rPh>
    <phoneticPr fontId="2"/>
  </si>
  <si>
    <t>代表者FAX</t>
    <rPh sb="0" eb="2">
      <t>ダイヒョウ</t>
    </rPh>
    <rPh sb="2" eb="3">
      <t>シャ</t>
    </rPh>
    <phoneticPr fontId="2"/>
  </si>
  <si>
    <t>個人法人区分</t>
    <rPh sb="0" eb="2">
      <t>コジン</t>
    </rPh>
    <rPh sb="2" eb="4">
      <t>ホウジン</t>
    </rPh>
    <rPh sb="4" eb="6">
      <t>クブン</t>
    </rPh>
    <phoneticPr fontId="2"/>
  </si>
  <si>
    <t>販売形態</t>
    <rPh sb="0" eb="2">
      <t>ハンバイ</t>
    </rPh>
    <rPh sb="2" eb="4">
      <t>ケイタイ</t>
    </rPh>
    <phoneticPr fontId="2"/>
  </si>
  <si>
    <t>販売形態（その他）</t>
    <rPh sb="0" eb="2">
      <t>ハンバイ</t>
    </rPh>
    <rPh sb="2" eb="4">
      <t>ケイタイ</t>
    </rPh>
    <rPh sb="7" eb="8">
      <t>タ</t>
    </rPh>
    <phoneticPr fontId="2"/>
  </si>
  <si>
    <t>2 回 払 い</t>
  </si>
  <si>
    <t>分 割 払 い</t>
  </si>
  <si>
    <t>リボルビング払い</t>
  </si>
  <si>
    <t>JCB取次希望</t>
  </si>
  <si>
    <t>【箱数】ロール紙（10巻/箱）</t>
    <rPh sb="1" eb="2">
      <t>ハコ</t>
    </rPh>
    <rPh sb="2" eb="3">
      <t>スウ</t>
    </rPh>
    <rPh sb="7" eb="8">
      <t>シ</t>
    </rPh>
    <rPh sb="11" eb="12">
      <t>マキ</t>
    </rPh>
    <rPh sb="13" eb="14">
      <t>ハコ</t>
    </rPh>
    <phoneticPr fontId="3"/>
  </si>
  <si>
    <t>端末代金　小計</t>
    <rPh sb="0" eb="2">
      <t>タンマツ</t>
    </rPh>
    <rPh sb="2" eb="4">
      <t>ダイキン</t>
    </rPh>
    <rPh sb="5" eb="7">
      <t>ショウケイ</t>
    </rPh>
    <phoneticPr fontId="2"/>
  </si>
  <si>
    <t>ツール＆端末送付先</t>
  </si>
  <si>
    <t>0：希望しない　1：希望する</t>
    <rPh sb="2" eb="4">
      <t>キボウ</t>
    </rPh>
    <rPh sb="10" eb="12">
      <t>キボウ</t>
    </rPh>
    <phoneticPr fontId="3"/>
  </si>
  <si>
    <t>1：会社所在地　2：店舗所在地</t>
    <rPh sb="2" eb="4">
      <t>カイシャ</t>
    </rPh>
    <rPh sb="4" eb="7">
      <t>ショザイチ</t>
    </rPh>
    <rPh sb="10" eb="12">
      <t>テンポ</t>
    </rPh>
    <rPh sb="12" eb="15">
      <t>ショザイチ</t>
    </rPh>
    <phoneticPr fontId="3"/>
  </si>
  <si>
    <t>10603</t>
  </si>
  <si>
    <t>10604</t>
  </si>
  <si>
    <t>支払回数</t>
    <rPh sb="0" eb="2">
      <t>シハライ</t>
    </rPh>
    <rPh sb="2" eb="4">
      <t>カイスウ</t>
    </rPh>
    <phoneticPr fontId="3"/>
  </si>
  <si>
    <t>14</t>
    <phoneticPr fontId="3"/>
  </si>
  <si>
    <t>10605</t>
    <phoneticPr fontId="3"/>
  </si>
  <si>
    <t>銀聯</t>
    <phoneticPr fontId="3"/>
  </si>
  <si>
    <t>2Y5</t>
  </si>
  <si>
    <t>2Y6</t>
  </si>
  <si>
    <t>2Y7</t>
  </si>
  <si>
    <t>2Y8</t>
  </si>
  <si>
    <t>2Y9</t>
  </si>
  <si>
    <t>2YA</t>
  </si>
  <si>
    <t>2YB</t>
  </si>
  <si>
    <t>2YC</t>
  </si>
  <si>
    <t>2YD</t>
  </si>
  <si>
    <t>2YE</t>
  </si>
  <si>
    <t>2YF</t>
  </si>
  <si>
    <t>2YG</t>
  </si>
  <si>
    <t>2YH</t>
  </si>
  <si>
    <t>2YI</t>
  </si>
  <si>
    <t>2YJ</t>
  </si>
  <si>
    <t>2YK</t>
  </si>
  <si>
    <t>00：未設定　01：店頭販売　02：催事販売　03：訪問販売　04：移動販売（タクシー含む）　05：その他</t>
    <rPh sb="3" eb="6">
      <t>ミセッテイ</t>
    </rPh>
    <rPh sb="10" eb="12">
      <t>テントウ</t>
    </rPh>
    <rPh sb="12" eb="14">
      <t>ハンバイ</t>
    </rPh>
    <rPh sb="18" eb="20">
      <t>サイジ</t>
    </rPh>
    <rPh sb="20" eb="22">
      <t>ハンバイ</t>
    </rPh>
    <rPh sb="26" eb="28">
      <t>ホウモン</t>
    </rPh>
    <rPh sb="28" eb="30">
      <t>ハンバイ</t>
    </rPh>
    <rPh sb="34" eb="36">
      <t>イドウ</t>
    </rPh>
    <rPh sb="36" eb="38">
      <t>ハンバイ</t>
    </rPh>
    <rPh sb="43" eb="44">
      <t>フク</t>
    </rPh>
    <rPh sb="52" eb="53">
      <t>タ</t>
    </rPh>
    <phoneticPr fontId="3"/>
  </si>
  <si>
    <t>1：法人　2：個人・個人事業主</t>
    <rPh sb="2" eb="4">
      <t>ホウジン</t>
    </rPh>
    <rPh sb="7" eb="9">
      <t>コジン</t>
    </rPh>
    <rPh sb="10" eb="12">
      <t>コジン</t>
    </rPh>
    <rPh sb="12" eb="15">
      <t>ジギョウヌシ</t>
    </rPh>
    <phoneticPr fontId="3"/>
  </si>
  <si>
    <t>106001</t>
    <phoneticPr fontId="3"/>
  </si>
  <si>
    <t>0：通常案件　1：自動構築前案件　2：特殊案件　
3：SE案件（通常）　4：SE案件（特殊）</t>
    <phoneticPr fontId="3"/>
  </si>
  <si>
    <t>「端末決済サービス」を利用して信用販売（支払い受付）を行う、主な商品・サービスについてご記入ください。</t>
    <rPh sb="15" eb="17">
      <t>シンヨウ</t>
    </rPh>
    <rPh sb="17" eb="19">
      <t>ハンバイ</t>
    </rPh>
    <rPh sb="20" eb="22">
      <t>シハラ</t>
    </rPh>
    <rPh sb="23" eb="25">
      <t>ウケツケ</t>
    </rPh>
    <phoneticPr fontId="3"/>
  </si>
  <si>
    <t>2YL</t>
  </si>
  <si>
    <t>2YM</t>
  </si>
  <si>
    <t>2Y1</t>
  </si>
  <si>
    <t>2Y2</t>
  </si>
  <si>
    <t>VISA/MASTER</t>
  </si>
  <si>
    <t>銀聯</t>
  </si>
  <si>
    <t>2YN</t>
  </si>
  <si>
    <t>店舗電話番号</t>
    <rPh sb="0" eb="2">
      <t>テンポ</t>
    </rPh>
    <rPh sb="2" eb="4">
      <t>デンワ</t>
    </rPh>
    <rPh sb="4" eb="6">
      <t>バンゴウ</t>
    </rPh>
    <phoneticPr fontId="3"/>
  </si>
  <si>
    <t>利用開始希望日</t>
    <phoneticPr fontId="4"/>
  </si>
  <si>
    <t>宛先メールアドレス</t>
    <rPh sb="0" eb="2">
      <t>アテサキ</t>
    </rPh>
    <phoneticPr fontId="3"/>
  </si>
  <si>
    <t>送付書類</t>
    <rPh sb="0" eb="2">
      <t>ソウフ</t>
    </rPh>
    <rPh sb="2" eb="4">
      <t>ショルイ</t>
    </rPh>
    <phoneticPr fontId="3"/>
  </si>
  <si>
    <t>夏：12月1日～6月30日 ⇒ 7月末振込　　　冬：7月1日～11月30日 ⇒ 12月末振込</t>
    <phoneticPr fontId="3"/>
  </si>
  <si>
    <t>お申し込みいただく「法人」についてご記入ください。「個人事業主」のお客さまは、個人についてご記入ください。</t>
    <rPh sb="39" eb="41">
      <t>コジン</t>
    </rPh>
    <phoneticPr fontId="3"/>
  </si>
  <si>
    <t>法人所在地
（個人事業主の
場合は自宅住所）</t>
    <rPh sb="0" eb="2">
      <t>ホウジン</t>
    </rPh>
    <rPh sb="2" eb="5">
      <t>ショザイチ</t>
    </rPh>
    <rPh sb="7" eb="9">
      <t>コジン</t>
    </rPh>
    <rPh sb="9" eb="12">
      <t>ジギョウヌシ</t>
    </rPh>
    <rPh sb="14" eb="16">
      <t>バアイ</t>
    </rPh>
    <rPh sb="17" eb="19">
      <t>ジタク</t>
    </rPh>
    <rPh sb="19" eb="21">
      <t>ジュウショ</t>
    </rPh>
    <phoneticPr fontId="4"/>
  </si>
  <si>
    <t>主に、サービスのご利用に関するご確認・ご連絡をさせていただく「ご担当者様」についてご記入ください。</t>
    <rPh sb="35" eb="36">
      <t>サマ</t>
    </rPh>
    <phoneticPr fontId="3"/>
  </si>
  <si>
    <t>決済手数料等を差し引いた売上金額を受け取る金融機関口座情報をご記入ください。
【重要】金融機関口座名義が「1.申込者情報」の「法人名（個人名）」と同一である必要があります。</t>
    <rPh sb="7" eb="8">
      <t>サ</t>
    </rPh>
    <rPh sb="9" eb="10">
      <t>ヒ</t>
    </rPh>
    <rPh sb="55" eb="57">
      <t>モウシコミ</t>
    </rPh>
    <rPh sb="57" eb="58">
      <t>シャ</t>
    </rPh>
    <rPh sb="58" eb="60">
      <t>ジョウホウ</t>
    </rPh>
    <rPh sb="63" eb="65">
      <t>ホウジン</t>
    </rPh>
    <rPh sb="65" eb="66">
      <t>メイ</t>
    </rPh>
    <rPh sb="67" eb="69">
      <t>コジン</t>
    </rPh>
    <phoneticPr fontId="3"/>
  </si>
  <si>
    <t>お申し込みいただく「法人」または「個人事業主」の代表者様についてご記入ください。</t>
    <rPh sb="27" eb="28">
      <t>サマ</t>
    </rPh>
    <phoneticPr fontId="3"/>
  </si>
  <si>
    <t>※「本人確認書類」や「資格確認書類」のご提出がない場合、お申し込みのお手続きができません。必ずご送付ください。</t>
    <phoneticPr fontId="3"/>
  </si>
  <si>
    <t>月額固定費（税抜）</t>
    <rPh sb="0" eb="2">
      <t>ゲツガク</t>
    </rPh>
    <rPh sb="2" eb="5">
      <t>コテイヒ</t>
    </rPh>
    <rPh sb="6" eb="7">
      <t>ゼイ</t>
    </rPh>
    <rPh sb="7" eb="8">
      <t>ヌ</t>
    </rPh>
    <phoneticPr fontId="3"/>
  </si>
  <si>
    <t>1608562</t>
  </si>
  <si>
    <t>1608563</t>
  </si>
  <si>
    <t>1608564</t>
  </si>
  <si>
    <t>1608565</t>
  </si>
  <si>
    <t>1608566</t>
  </si>
  <si>
    <t>1608567</t>
  </si>
  <si>
    <t>市原美の里</t>
  </si>
  <si>
    <t>鎌田里那</t>
  </si>
  <si>
    <t>北川朝美</t>
  </si>
  <si>
    <t>馬場未来</t>
  </si>
  <si>
    <t>深澤翼</t>
  </si>
  <si>
    <t>横田賢</t>
  </si>
  <si>
    <t>我妻奈緒美</t>
  </si>
  <si>
    <t>61：特定継続的役務</t>
    <rPh sb="3" eb="5">
      <t>トクテイ</t>
    </rPh>
    <rPh sb="5" eb="8">
      <t>ケイゾクテキ</t>
    </rPh>
    <rPh sb="8" eb="10">
      <t>エキム</t>
    </rPh>
    <phoneticPr fontId="11"/>
  </si>
  <si>
    <t>9999992</t>
  </si>
  <si>
    <t>チャネル営業部</t>
    <rPh sb="4" eb="6">
      <t>エイギョウ</t>
    </rPh>
    <rPh sb="6" eb="7">
      <t>ブ</t>
    </rPh>
    <phoneticPr fontId="3"/>
  </si>
  <si>
    <t>SBPS経由</t>
    <phoneticPr fontId="3"/>
  </si>
  <si>
    <t>加盟店サポート</t>
    <rPh sb="0" eb="2">
      <t>カメイ</t>
    </rPh>
    <rPh sb="2" eb="3">
      <t>テン</t>
    </rPh>
    <phoneticPr fontId="3"/>
  </si>
  <si>
    <t>10606</t>
  </si>
  <si>
    <t>10607</t>
  </si>
  <si>
    <t>申込</t>
    <rPh sb="0" eb="2">
      <t>モウシコ</t>
    </rPh>
    <phoneticPr fontId="3"/>
  </si>
  <si>
    <t>初期費用</t>
    <rPh sb="0" eb="2">
      <t>ショキ</t>
    </rPh>
    <rPh sb="2" eb="4">
      <t>ヒヨウ</t>
    </rPh>
    <phoneticPr fontId="4"/>
  </si>
  <si>
    <t>月額固定</t>
    <rPh sb="0" eb="2">
      <t>ゲツガク</t>
    </rPh>
    <rPh sb="2" eb="4">
      <t>コテイ</t>
    </rPh>
    <phoneticPr fontId="4"/>
  </si>
  <si>
    <t>トリガー行</t>
    <rPh sb="4" eb="5">
      <t>ギョウ</t>
    </rPh>
    <phoneticPr fontId="3"/>
  </si>
  <si>
    <t>◆端末登録機能◆</t>
    <rPh sb="1" eb="3">
      <t>タンマツ</t>
    </rPh>
    <rPh sb="3" eb="5">
      <t>トウロク</t>
    </rPh>
    <rPh sb="5" eb="7">
      <t>キノウ</t>
    </rPh>
    <phoneticPr fontId="4"/>
  </si>
  <si>
    <t>クレジットカード</t>
    <phoneticPr fontId="3"/>
  </si>
  <si>
    <t>サービス名称</t>
    <rPh sb="4" eb="6">
      <t>メイショウ</t>
    </rPh>
    <phoneticPr fontId="3"/>
  </si>
  <si>
    <t>端末1台あたり</t>
    <rPh sb="0" eb="2">
      <t>タンマツ</t>
    </rPh>
    <rPh sb="3" eb="4">
      <t>ダイ</t>
    </rPh>
    <phoneticPr fontId="3"/>
  </si>
  <si>
    <t>初期費用
（税抜）</t>
    <rPh sb="0" eb="2">
      <t>ショキ</t>
    </rPh>
    <rPh sb="2" eb="4">
      <t>ヒヨウ</t>
    </rPh>
    <rPh sb="6" eb="7">
      <t>ゼイ</t>
    </rPh>
    <rPh sb="7" eb="8">
      <t>ヌ</t>
    </rPh>
    <phoneticPr fontId="3"/>
  </si>
  <si>
    <t>法人名称</t>
    <rPh sb="0" eb="2">
      <t>ホウジン</t>
    </rPh>
    <rPh sb="2" eb="4">
      <t>メイショウ</t>
    </rPh>
    <phoneticPr fontId="3"/>
  </si>
  <si>
    <t>端末登録機能における事前確認事項</t>
    <rPh sb="0" eb="2">
      <t>タンマツ</t>
    </rPh>
    <rPh sb="2" eb="4">
      <t>トウロク</t>
    </rPh>
    <rPh sb="4" eb="6">
      <t>キノウ</t>
    </rPh>
    <rPh sb="10" eb="12">
      <t>ジゼン</t>
    </rPh>
    <rPh sb="12" eb="14">
      <t>カクニン</t>
    </rPh>
    <rPh sb="14" eb="16">
      <t>ジコウ</t>
    </rPh>
    <phoneticPr fontId="3"/>
  </si>
  <si>
    <t>登録トランザクション費（税抜）</t>
    <rPh sb="0" eb="2">
      <t>トウロク</t>
    </rPh>
    <rPh sb="10" eb="11">
      <t>ヒ</t>
    </rPh>
    <rPh sb="12" eb="14">
      <t>ゼイヌキ</t>
    </rPh>
    <phoneticPr fontId="3"/>
  </si>
  <si>
    <t>合計</t>
    <rPh sb="0" eb="2">
      <t>ゴウケイ</t>
    </rPh>
    <phoneticPr fontId="3"/>
  </si>
  <si>
    <t>登録正常完了</t>
    <rPh sb="0" eb="2">
      <t>トウロク</t>
    </rPh>
    <rPh sb="2" eb="4">
      <t>セイジョウ</t>
    </rPh>
    <rPh sb="4" eb="6">
      <t>カンリョウ</t>
    </rPh>
    <phoneticPr fontId="3"/>
  </si>
  <si>
    <t>登録未完了</t>
    <rPh sb="0" eb="2">
      <t>トウロク</t>
    </rPh>
    <rPh sb="2" eb="5">
      <t>ミカンリョウ</t>
    </rPh>
    <phoneticPr fontId="3"/>
  </si>
  <si>
    <t>口座振替サービス</t>
    <rPh sb="0" eb="2">
      <t>コウザ</t>
    </rPh>
    <rPh sb="2" eb="4">
      <t>フリカエ</t>
    </rPh>
    <phoneticPr fontId="3"/>
  </si>
  <si>
    <t>登録先
加盟店情報</t>
    <rPh sb="0" eb="2">
      <t>トウロク</t>
    </rPh>
    <rPh sb="2" eb="3">
      <t>サキ</t>
    </rPh>
    <rPh sb="4" eb="6">
      <t>カメイ</t>
    </rPh>
    <rPh sb="6" eb="7">
      <t>テン</t>
    </rPh>
    <rPh sb="7" eb="9">
      <t>ジョウホウ</t>
    </rPh>
    <phoneticPr fontId="3"/>
  </si>
  <si>
    <t>口座振替サービス</t>
    <rPh sb="0" eb="2">
      <t>コウザ</t>
    </rPh>
    <rPh sb="2" eb="3">
      <t>シン</t>
    </rPh>
    <rPh sb="3" eb="4">
      <t>タイ</t>
    </rPh>
    <phoneticPr fontId="3"/>
  </si>
  <si>
    <t>端末登録機能の登録先として、左記の登録先加盟店へ
事前に同意を得ました</t>
    <phoneticPr fontId="3"/>
  </si>
  <si>
    <t>-</t>
  </si>
  <si>
    <t>70701</t>
    <phoneticPr fontId="3"/>
  </si>
  <si>
    <t>70702</t>
  </si>
  <si>
    <t>70703</t>
  </si>
  <si>
    <t>00</t>
    <phoneticPr fontId="3"/>
  </si>
  <si>
    <t>法人所在地</t>
    <rPh sb="0" eb="2">
      <t>ホウジン</t>
    </rPh>
    <rPh sb="2" eb="5">
      <t>ショザイチ</t>
    </rPh>
    <phoneticPr fontId="3"/>
  </si>
  <si>
    <t>特記</t>
    <rPh sb="0" eb="2">
      <t>トッキ</t>
    </rPh>
    <phoneticPr fontId="3"/>
  </si>
  <si>
    <t>マーチャントID</t>
    <phoneticPr fontId="3"/>
  </si>
  <si>
    <t>サービスID</t>
    <phoneticPr fontId="3"/>
  </si>
  <si>
    <t>/件</t>
    <rPh sb="1" eb="2">
      <t>ケン</t>
    </rPh>
    <phoneticPr fontId="3"/>
  </si>
  <si>
    <r>
      <t xml:space="preserve">法人所在地
</t>
    </r>
    <r>
      <rPr>
        <sz val="10"/>
        <color rgb="FFFF6600"/>
        <rFont val="Meiryo UI"/>
        <family val="3"/>
        <charset val="128"/>
      </rPr>
      <t>※「1.法人・店舗情報」の「会社所在地」に
まとめて送付します。</t>
    </r>
    <rPh sb="0" eb="2">
      <t>ホウジン</t>
    </rPh>
    <rPh sb="2" eb="5">
      <t>ショザイチ</t>
    </rPh>
    <rPh sb="20" eb="22">
      <t>カイシャ</t>
    </rPh>
    <rPh sb="22" eb="25">
      <t>ショザイチ</t>
    </rPh>
    <rPh sb="32" eb="34">
      <t>ソウフ</t>
    </rPh>
    <phoneticPr fontId="3"/>
  </si>
  <si>
    <t>登録先MSID（オンラインクレジット）</t>
    <phoneticPr fontId="3"/>
  </si>
  <si>
    <t>登録先MSID（口座振替）</t>
    <phoneticPr fontId="3"/>
  </si>
  <si>
    <t>2YP</t>
    <phoneticPr fontId="3"/>
  </si>
  <si>
    <t>2YQ</t>
    <phoneticPr fontId="3"/>
  </si>
  <si>
    <t>※クレジットカード決済でJCB取次をご希望にならない場合
端末登録機能においてもJCB/AMEX/DINERSはご利用になれません</t>
    <rPh sb="9" eb="11">
      <t>ケッサイ</t>
    </rPh>
    <rPh sb="15" eb="17">
      <t>トリツギ</t>
    </rPh>
    <rPh sb="19" eb="21">
      <t>キボウ</t>
    </rPh>
    <rPh sb="26" eb="28">
      <t>バアイ</t>
    </rPh>
    <rPh sb="29" eb="31">
      <t>タンマツ</t>
    </rPh>
    <rPh sb="31" eb="33">
      <t>トウロク</t>
    </rPh>
    <rPh sb="33" eb="35">
      <t>キノウ</t>
    </rPh>
    <rPh sb="57" eb="59">
      <t>リヨウ</t>
    </rPh>
    <phoneticPr fontId="3"/>
  </si>
  <si>
    <t>口座振替サービス（端末登録）</t>
    <rPh sb="0" eb="2">
      <t>コウザ</t>
    </rPh>
    <rPh sb="2" eb="4">
      <t>フリカエ</t>
    </rPh>
    <rPh sb="9" eb="11">
      <t>タンマツ</t>
    </rPh>
    <rPh sb="11" eb="13">
      <t>トウロク</t>
    </rPh>
    <phoneticPr fontId="3"/>
  </si>
  <si>
    <t>707001</t>
    <phoneticPr fontId="3"/>
  </si>
  <si>
    <t>１</t>
    <phoneticPr fontId="3"/>
  </si>
  <si>
    <t>口座振替サービス（端末登録）</t>
    <rPh sb="0" eb="2">
      <t>コウザ</t>
    </rPh>
    <rPh sb="2" eb="4">
      <t>フリカエ</t>
    </rPh>
    <rPh sb="9" eb="11">
      <t>タンマツ</t>
    </rPh>
    <rPh sb="11" eb="13">
      <t>トウロク</t>
    </rPh>
    <phoneticPr fontId="3"/>
  </si>
  <si>
    <t>0：利用しない　1：利用する</t>
    <phoneticPr fontId="3"/>
  </si>
  <si>
    <t>１．本人確認書類</t>
    <rPh sb="2" eb="4">
      <t>ホンニン</t>
    </rPh>
    <rPh sb="4" eb="6">
      <t>カクニン</t>
    </rPh>
    <rPh sb="6" eb="8">
      <t>ショルイ</t>
    </rPh>
    <phoneticPr fontId="3"/>
  </si>
  <si>
    <t>下記いずれかの書類について、PDFもしくは画像ﾌｧｲﾙ（jpg、gif、png形式)でのご提出をお願いいたします。</t>
    <rPh sb="0" eb="2">
      <t>カキ</t>
    </rPh>
    <rPh sb="7" eb="9">
      <t>ショルイ</t>
    </rPh>
    <rPh sb="45" eb="47">
      <t>テイシュツ</t>
    </rPh>
    <rPh sb="49" eb="50">
      <t>ネガ</t>
    </rPh>
    <phoneticPr fontId="3"/>
  </si>
  <si>
    <t>法人</t>
    <rPh sb="0" eb="2">
      <t>ホウジン</t>
    </rPh>
    <phoneticPr fontId="3"/>
  </si>
  <si>
    <t>個人・個人事業主</t>
    <rPh sb="0" eb="2">
      <t>コジン</t>
    </rPh>
    <rPh sb="3" eb="5">
      <t>コジン</t>
    </rPh>
    <rPh sb="5" eb="8">
      <t>ジギョウヌシ</t>
    </rPh>
    <phoneticPr fontId="3"/>
  </si>
  <si>
    <t>書類名</t>
    <rPh sb="0" eb="2">
      <t>ショルイ</t>
    </rPh>
    <rPh sb="2" eb="3">
      <t>メイ</t>
    </rPh>
    <phoneticPr fontId="3"/>
  </si>
  <si>
    <t>・登記簿謄（抄）本</t>
    <phoneticPr fontId="3"/>
  </si>
  <si>
    <t>・運転免許証</t>
    <phoneticPr fontId="3"/>
  </si>
  <si>
    <t>・現在（履歴）事項証明書</t>
    <phoneticPr fontId="3"/>
  </si>
  <si>
    <t>※交付日から３カ月以内のもの</t>
    <rPh sb="8" eb="9">
      <t>ゲツ</t>
    </rPh>
    <phoneticPr fontId="3"/>
  </si>
  <si>
    <t>※いずれも氏名・住居・生年月日の記載あるもの</t>
    <phoneticPr fontId="3"/>
  </si>
  <si>
    <t>※有効期限内または交付日から6ヵ月以内のもの</t>
    <rPh sb="16" eb="17">
      <t>ゲツ</t>
    </rPh>
    <phoneticPr fontId="3"/>
  </si>
  <si>
    <t>※ﾏｲﾅﾝﾊﾞｰ通知ｶｰﾄﾞおよび個人番号ｶｰﾄﾞは本人確認書類といたしません。</t>
    <phoneticPr fontId="3"/>
  </si>
  <si>
    <t>※ﾏｲﾅﾝﾊﾞｰが記載された書類ﾃﾞｰﾀをご送付いただいた場合、</t>
    <phoneticPr fontId="3"/>
  </si>
  <si>
    <t>　 弊社はﾃﾞｰﾀを破棄し、その旨のご連絡をいたします。</t>
    <phoneticPr fontId="3"/>
  </si>
  <si>
    <t>２．資格確認書類</t>
    <rPh sb="2" eb="4">
      <t>シカク</t>
    </rPh>
    <rPh sb="4" eb="6">
      <t>カクニン</t>
    </rPh>
    <rPh sb="6" eb="8">
      <t>ショルイ</t>
    </rPh>
    <phoneticPr fontId="3"/>
  </si>
  <si>
    <t>下記の業種いずれかに該当する場合は、PDFもしくは画像ファイル（jpg、gif、png形式)でのご提出をお願いいたします。</t>
    <rPh sb="0" eb="2">
      <t>カキ</t>
    </rPh>
    <rPh sb="3" eb="5">
      <t>ギョウシュ</t>
    </rPh>
    <rPh sb="10" eb="12">
      <t>ガイトウ</t>
    </rPh>
    <rPh sb="14" eb="16">
      <t>バアイ</t>
    </rPh>
    <rPh sb="49" eb="51">
      <t>テイシュツ</t>
    </rPh>
    <rPh sb="53" eb="54">
      <t>ネガ</t>
    </rPh>
    <phoneticPr fontId="3"/>
  </si>
  <si>
    <t>業種</t>
    <rPh sb="0" eb="2">
      <t>ギョウシュ</t>
    </rPh>
    <phoneticPr fontId="3"/>
  </si>
  <si>
    <t>具体例</t>
    <rPh sb="0" eb="2">
      <t>グタイ</t>
    </rPh>
    <rPh sb="2" eb="3">
      <t>レイ</t>
    </rPh>
    <phoneticPr fontId="3"/>
  </si>
  <si>
    <t>確認書類</t>
    <rPh sb="0" eb="2">
      <t>カクニン</t>
    </rPh>
    <rPh sb="2" eb="4">
      <t>ショルイ</t>
    </rPh>
    <phoneticPr fontId="3"/>
  </si>
  <si>
    <t>ﾚｽﾄﾗﾝ、食堂、居酒屋
喫茶店、すし屋　等</t>
    <rPh sb="6" eb="8">
      <t>ショクドウ</t>
    </rPh>
    <rPh sb="9" eb="12">
      <t>イザカヤ</t>
    </rPh>
    <rPh sb="13" eb="16">
      <t>キッサテン</t>
    </rPh>
    <rPh sb="19" eb="20">
      <t>ヤ</t>
    </rPh>
    <rPh sb="21" eb="22">
      <t>トウ</t>
    </rPh>
    <phoneticPr fontId="3"/>
  </si>
  <si>
    <t>飲食店営業許可証　等</t>
    <rPh sb="0" eb="2">
      <t>インショク</t>
    </rPh>
    <rPh sb="2" eb="3">
      <t>テン</t>
    </rPh>
    <rPh sb="3" eb="5">
      <t>エイギョウ</t>
    </rPh>
    <rPh sb="5" eb="7">
      <t>キョカ</t>
    </rPh>
    <rPh sb="7" eb="8">
      <t>ショウ</t>
    </rPh>
    <rPh sb="9" eb="10">
      <t>トウ</t>
    </rPh>
    <phoneticPr fontId="3"/>
  </si>
  <si>
    <t>古物商</t>
    <rPh sb="0" eb="3">
      <t>コブツショウ</t>
    </rPh>
    <phoneticPr fontId="3"/>
  </si>
  <si>
    <t>ﾘｻｲｸﾙｼｮｯﾌﾟ、古書店
中古車販売店、中古ＣＤｼｮｯﾌﾟ　等</t>
    <rPh sb="11" eb="14">
      <t>コショテン</t>
    </rPh>
    <rPh sb="15" eb="18">
      <t>チュウコシャ</t>
    </rPh>
    <rPh sb="18" eb="20">
      <t>ハンバイ</t>
    </rPh>
    <rPh sb="20" eb="21">
      <t>テン</t>
    </rPh>
    <rPh sb="22" eb="24">
      <t>チュウコ</t>
    </rPh>
    <rPh sb="32" eb="33">
      <t>トウ</t>
    </rPh>
    <phoneticPr fontId="3"/>
  </si>
  <si>
    <t>古物商許可証</t>
    <rPh sb="0" eb="3">
      <t>コブツショウ</t>
    </rPh>
    <rPh sb="3" eb="6">
      <t>キョカショウ</t>
    </rPh>
    <phoneticPr fontId="3"/>
  </si>
  <si>
    <t>理美容室</t>
    <rPh sb="0" eb="1">
      <t>リ</t>
    </rPh>
    <rPh sb="1" eb="4">
      <t>ビヨウシツ</t>
    </rPh>
    <phoneticPr fontId="3"/>
  </si>
  <si>
    <t>理容室、美容室、まつげｴｸｽﾃ　等</t>
    <rPh sb="0" eb="3">
      <t>リヨウシツ</t>
    </rPh>
    <rPh sb="4" eb="7">
      <t>ビヨウシツ</t>
    </rPh>
    <rPh sb="16" eb="17">
      <t>トウ</t>
    </rPh>
    <phoneticPr fontId="3"/>
  </si>
  <si>
    <t>理容師免許or美容師免許</t>
    <rPh sb="0" eb="3">
      <t>リヨウシ</t>
    </rPh>
    <rPh sb="3" eb="5">
      <t>メンキョ</t>
    </rPh>
    <rPh sb="7" eb="10">
      <t>ビヨウシ</t>
    </rPh>
    <rPh sb="10" eb="12">
      <t>メンキョ</t>
    </rPh>
    <phoneticPr fontId="3"/>
  </si>
  <si>
    <t>酒類販売業</t>
    <rPh sb="0" eb="2">
      <t>シュルイ</t>
    </rPh>
    <rPh sb="2" eb="4">
      <t>ハンバイ</t>
    </rPh>
    <rPh sb="4" eb="5">
      <t>ギョウ</t>
    </rPh>
    <phoneticPr fontId="3"/>
  </si>
  <si>
    <t>酒屋、ｽｰﾊﾟｰﾏｰｹｯﾄ、ｺﾝﾋﾞﾆ　等</t>
    <rPh sb="0" eb="2">
      <t>サカヤ</t>
    </rPh>
    <rPh sb="20" eb="21">
      <t>トウ</t>
    </rPh>
    <phoneticPr fontId="3"/>
  </si>
  <si>
    <t>酒類販売業免許証</t>
    <rPh sb="7" eb="8">
      <t>ショウ</t>
    </rPh>
    <phoneticPr fontId="3"/>
  </si>
  <si>
    <t>旅客運送業</t>
    <rPh sb="0" eb="2">
      <t>リョカク</t>
    </rPh>
    <rPh sb="2" eb="5">
      <t>ウンソウギョウ</t>
    </rPh>
    <phoneticPr fontId="3"/>
  </si>
  <si>
    <t>ﾀｸｼｰ、ﾊﾞｽ、運転代行業　等</t>
    <rPh sb="9" eb="11">
      <t>ウンテン</t>
    </rPh>
    <rPh sb="11" eb="13">
      <t>ダイコウ</t>
    </rPh>
    <rPh sb="13" eb="14">
      <t>ギョウ</t>
    </rPh>
    <rPh sb="15" eb="16">
      <t>トウ</t>
    </rPh>
    <phoneticPr fontId="3"/>
  </si>
  <si>
    <t>一般乗用旅客自動車運送業許可証</t>
    <rPh sb="0" eb="2">
      <t>イッパン</t>
    </rPh>
    <rPh sb="14" eb="15">
      <t>ショウ</t>
    </rPh>
    <phoneticPr fontId="3"/>
  </si>
  <si>
    <t>旅行業、旅行代理業</t>
    <rPh sb="0" eb="2">
      <t>リョコウ</t>
    </rPh>
    <rPh sb="2" eb="3">
      <t>ギョウ</t>
    </rPh>
    <rPh sb="4" eb="6">
      <t>リョコウ</t>
    </rPh>
    <rPh sb="6" eb="8">
      <t>ダイリ</t>
    </rPh>
    <rPh sb="8" eb="9">
      <t>ギョウ</t>
    </rPh>
    <phoneticPr fontId="3"/>
  </si>
  <si>
    <t>旅行代理店　等　</t>
    <rPh sb="0" eb="2">
      <t>リョコウ</t>
    </rPh>
    <rPh sb="2" eb="4">
      <t>ダイリ</t>
    </rPh>
    <rPh sb="4" eb="5">
      <t>テン</t>
    </rPh>
    <rPh sb="6" eb="7">
      <t>トウ</t>
    </rPh>
    <phoneticPr fontId="3"/>
  </si>
  <si>
    <t>旅行業登録票（１種～３種）
旅行業者代理業登録票</t>
    <rPh sb="0" eb="3">
      <t>リョコウギョウ</t>
    </rPh>
    <rPh sb="3" eb="5">
      <t>トウロク</t>
    </rPh>
    <rPh sb="5" eb="6">
      <t>ヒョウ</t>
    </rPh>
    <rPh sb="8" eb="9">
      <t>シュ</t>
    </rPh>
    <rPh sb="11" eb="12">
      <t>シュ</t>
    </rPh>
    <rPh sb="14" eb="16">
      <t>リョコウ</t>
    </rPh>
    <rPh sb="16" eb="18">
      <t>ギョウシャ</t>
    </rPh>
    <rPh sb="18" eb="20">
      <t>ダイリ</t>
    </rPh>
    <rPh sb="20" eb="21">
      <t>ギョウ</t>
    </rPh>
    <rPh sb="21" eb="23">
      <t>トウロク</t>
    </rPh>
    <rPh sb="23" eb="24">
      <t>ヒョウ</t>
    </rPh>
    <phoneticPr fontId="3"/>
  </si>
  <si>
    <t>医療</t>
    <rPh sb="0" eb="2">
      <t>イリョウ</t>
    </rPh>
    <phoneticPr fontId="3"/>
  </si>
  <si>
    <t>病院、個人開業医、美容整形　等</t>
    <rPh sb="0" eb="2">
      <t>ビョウイン</t>
    </rPh>
    <rPh sb="3" eb="5">
      <t>コジン</t>
    </rPh>
    <rPh sb="5" eb="7">
      <t>カイギョウ</t>
    </rPh>
    <rPh sb="7" eb="8">
      <t>イ</t>
    </rPh>
    <rPh sb="9" eb="11">
      <t>ビヨウ</t>
    </rPh>
    <rPh sb="11" eb="13">
      <t>セイケイ</t>
    </rPh>
    <rPh sb="14" eb="15">
      <t>トウ</t>
    </rPh>
    <phoneticPr fontId="3"/>
  </si>
  <si>
    <t>医師免許証</t>
    <rPh sb="0" eb="2">
      <t>イシ</t>
    </rPh>
    <rPh sb="2" eb="5">
      <t>メンキョショウ</t>
    </rPh>
    <phoneticPr fontId="3"/>
  </si>
  <si>
    <t>※上記に当てはまらない業種についても、加盟審査において個別にご提出を求める場合がございます。</t>
    <rPh sb="1" eb="3">
      <t>ジョウキ</t>
    </rPh>
    <rPh sb="4" eb="5">
      <t>ア</t>
    </rPh>
    <rPh sb="11" eb="13">
      <t>ギョウシュ</t>
    </rPh>
    <rPh sb="27" eb="29">
      <t>コベツ</t>
    </rPh>
    <rPh sb="31" eb="33">
      <t>テイシュツ</t>
    </rPh>
    <rPh sb="34" eb="35">
      <t>モト</t>
    </rPh>
    <rPh sb="37" eb="39">
      <t>バアイ</t>
    </rPh>
    <phoneticPr fontId="3"/>
  </si>
  <si>
    <t>01：店頭販売</t>
  </si>
  <si>
    <r>
      <t>お申込者様が個人事業主の場合は上記書類のデータを　</t>
    </r>
    <r>
      <rPr>
        <u/>
        <sz val="11"/>
        <color rgb="FF0000FF"/>
        <rFont val="Meiryo UI"/>
        <family val="3"/>
        <charset val="128"/>
      </rPr>
      <t>sbps-dp-attachments@poc-operation.com</t>
    </r>
    <r>
      <rPr>
        <sz val="11"/>
        <color theme="1"/>
        <rFont val="Meiryo UI"/>
        <family val="3"/>
        <charset val="128"/>
      </rPr>
      <t>　へメール添付の上、送信をお願いいたします。</t>
    </r>
    <rPh sb="1" eb="3">
      <t>モウシコミ</t>
    </rPh>
    <rPh sb="3" eb="4">
      <t>シャ</t>
    </rPh>
    <rPh sb="4" eb="5">
      <t>サマ</t>
    </rPh>
    <rPh sb="6" eb="8">
      <t>コジン</t>
    </rPh>
    <rPh sb="8" eb="10">
      <t>ジギョウ</t>
    </rPh>
    <rPh sb="10" eb="11">
      <t>ヌシ</t>
    </rPh>
    <rPh sb="12" eb="14">
      <t>バアイ</t>
    </rPh>
    <rPh sb="15" eb="17">
      <t>ジョウキ</t>
    </rPh>
    <rPh sb="17" eb="19">
      <t>ショルイ</t>
    </rPh>
    <phoneticPr fontId="3"/>
  </si>
  <si>
    <t>TID採番区分</t>
    <rPh sb="3" eb="5">
      <t>サイバン</t>
    </rPh>
    <rPh sb="5" eb="7">
      <t>クブン</t>
    </rPh>
    <phoneticPr fontId="3"/>
  </si>
  <si>
    <t>TID採番区分：</t>
    <rPh sb="3" eb="5">
      <t>サイバン</t>
    </rPh>
    <rPh sb="5" eb="7">
      <t>クブン</t>
    </rPh>
    <phoneticPr fontId="3"/>
  </si>
  <si>
    <t>2YR</t>
    <phoneticPr fontId="3"/>
  </si>
  <si>
    <t>初期</t>
    <rPh sb="0" eb="2">
      <t>ショキ</t>
    </rPh>
    <phoneticPr fontId="3"/>
  </si>
  <si>
    <t>月額</t>
    <rPh sb="0" eb="2">
      <t>ゲツガク</t>
    </rPh>
    <phoneticPr fontId="3"/>
  </si>
  <si>
    <t>入金
回数</t>
    <rPh sb="0" eb="2">
      <t>ニュウキン</t>
    </rPh>
    <rPh sb="3" eb="5">
      <t>カイスウ</t>
    </rPh>
    <phoneticPr fontId="4"/>
  </si>
  <si>
    <t>◆お申込オプション◆</t>
    <rPh sb="2" eb="4">
      <t>モウシコミ</t>
    </rPh>
    <phoneticPr fontId="4"/>
  </si>
  <si>
    <t>共通費用</t>
    <rPh sb="0" eb="2">
      <t>キョウツウ</t>
    </rPh>
    <rPh sb="2" eb="4">
      <t>ヒヨウ</t>
    </rPh>
    <phoneticPr fontId="3"/>
  </si>
  <si>
    <t>ZA6</t>
    <phoneticPr fontId="3"/>
  </si>
  <si>
    <t>費目コード</t>
    <rPh sb="0" eb="2">
      <t>ヒモク</t>
    </rPh>
    <phoneticPr fontId="3"/>
  </si>
  <si>
    <t>　</t>
    <phoneticPr fontId="3"/>
  </si>
  <si>
    <t>1621421</t>
  </si>
  <si>
    <t>1621420</t>
  </si>
  <si>
    <t>1621422</t>
  </si>
  <si>
    <t>1621424</t>
  </si>
  <si>
    <t>1621423</t>
  </si>
  <si>
    <t>0107746</t>
  </si>
  <si>
    <t>2回入金</t>
  </si>
  <si>
    <t>特商法
消費者契約法</t>
    <phoneticPr fontId="3"/>
  </si>
  <si>
    <t>非表示</t>
    <rPh sb="0" eb="3">
      <t>ヒヒョウジ</t>
    </rPh>
    <phoneticPr fontId="3"/>
  </si>
  <si>
    <t>　当方は直近５年間に特定商取引法による行政処分、または消費者契約法違反を理由とする敗訴判決を受けていません。</t>
    <phoneticPr fontId="3"/>
  </si>
  <si>
    <t>法人番号</t>
    <rPh sb="0" eb="2">
      <t>ホウジン</t>
    </rPh>
    <rPh sb="2" eb="4">
      <t>バンゴウ</t>
    </rPh>
    <phoneticPr fontId="4"/>
  </si>
  <si>
    <t>※法人番号は申込区分が「法人」の場合に必須となります。13桁で入力をお願いいたします。</t>
    <phoneticPr fontId="3"/>
  </si>
  <si>
    <t>訪問販売有無</t>
    <phoneticPr fontId="3"/>
  </si>
  <si>
    <t>電話勧誘販売有無</t>
    <phoneticPr fontId="3"/>
  </si>
  <si>
    <t>連鎖販売取引有無</t>
    <phoneticPr fontId="3"/>
  </si>
  <si>
    <t>業務提供誘引販売
有無</t>
    <phoneticPr fontId="3"/>
  </si>
  <si>
    <t>特定継続的役務
提供有無</t>
    <phoneticPr fontId="3"/>
  </si>
  <si>
    <t>訪問</t>
    <rPh sb="0" eb="2">
      <t>ホウモン</t>
    </rPh>
    <phoneticPr fontId="3"/>
  </si>
  <si>
    <t>電話</t>
    <rPh sb="0" eb="2">
      <t>デンワ</t>
    </rPh>
    <phoneticPr fontId="3"/>
  </si>
  <si>
    <t>連鎖</t>
    <rPh sb="0" eb="2">
      <t>レンサ</t>
    </rPh>
    <phoneticPr fontId="3"/>
  </si>
  <si>
    <t>業務</t>
    <rPh sb="0" eb="2">
      <t>ギョウム</t>
    </rPh>
    <phoneticPr fontId="3"/>
  </si>
  <si>
    <t>特定</t>
    <rPh sb="0" eb="2">
      <t>トクテイ</t>
    </rPh>
    <phoneticPr fontId="3"/>
  </si>
  <si>
    <t>取扱商品</t>
    <rPh sb="0" eb="2">
      <t>トリアツカイ</t>
    </rPh>
    <rPh sb="2" eb="4">
      <t>ショウヒン</t>
    </rPh>
    <phoneticPr fontId="3"/>
  </si>
  <si>
    <t>日</t>
    <rPh sb="0" eb="1">
      <t>ニチ</t>
    </rPh>
    <phoneticPr fontId="3"/>
  </si>
  <si>
    <t>月</t>
    <rPh sb="0" eb="1">
      <t>ツキ</t>
    </rPh>
    <phoneticPr fontId="3"/>
  </si>
  <si>
    <t>年</t>
    <rPh sb="0" eb="1">
      <t>ネン</t>
    </rPh>
    <phoneticPr fontId="3"/>
  </si>
  <si>
    <t>西暦</t>
    <rPh sb="0" eb="2">
      <t>セイレキ</t>
    </rPh>
    <phoneticPr fontId="3"/>
  </si>
  <si>
    <t>店舗オープン日</t>
    <rPh sb="0" eb="2">
      <t>テンポ</t>
    </rPh>
    <rPh sb="6" eb="7">
      <t>ビ</t>
    </rPh>
    <phoneticPr fontId="4"/>
  </si>
  <si>
    <t>無</t>
    <rPh sb="0" eb="1">
      <t>ナシ</t>
    </rPh>
    <phoneticPr fontId="3"/>
  </si>
  <si>
    <t>有</t>
    <rPh sb="0" eb="1">
      <t>アリ</t>
    </rPh>
    <phoneticPr fontId="3"/>
  </si>
  <si>
    <t>有</t>
    <rPh sb="0" eb="1">
      <t>ア</t>
    </rPh>
    <phoneticPr fontId="3"/>
  </si>
  <si>
    <t>はい</t>
    <phoneticPr fontId="3"/>
  </si>
  <si>
    <t>カード情報保持状況</t>
    <phoneticPr fontId="3"/>
  </si>
  <si>
    <t>非保持化予定年月</t>
    <phoneticPr fontId="3"/>
  </si>
  <si>
    <t>●カード情報保持状況</t>
  </si>
  <si>
    <t>●PCIDSS準拠状況</t>
  </si>
  <si>
    <t>00：選択して下さい</t>
    <phoneticPr fontId="3"/>
  </si>
  <si>
    <t>01：保持している［保持］</t>
    <phoneticPr fontId="3"/>
  </si>
  <si>
    <t>02：保持していない［非保持］</t>
    <phoneticPr fontId="3"/>
  </si>
  <si>
    <t>03：【非保持化】予定あり</t>
    <phoneticPr fontId="3"/>
  </si>
  <si>
    <t>00：選択して下さい</t>
    <phoneticPr fontId="3"/>
  </si>
  <si>
    <t>01：準拠している</t>
    <phoneticPr fontId="3"/>
  </si>
  <si>
    <t>02：準拠予定あり</t>
    <phoneticPr fontId="3"/>
  </si>
  <si>
    <t>03：準拠予定なし</t>
    <phoneticPr fontId="3"/>
  </si>
  <si>
    <t>02：保持していない［非保持］</t>
  </si>
  <si>
    <t>038</t>
  </si>
  <si>
    <t>041</t>
  </si>
  <si>
    <t>1</t>
  </si>
  <si>
    <t>セキュリティ関連パラメータ情報</t>
    <rPh sb="6" eb="8">
      <t>カンレン</t>
    </rPh>
    <rPh sb="13" eb="15">
      <t>ジョウホウ</t>
    </rPh>
    <phoneticPr fontId="3"/>
  </si>
  <si>
    <t>カード情報保持状況</t>
  </si>
  <si>
    <t>017</t>
  </si>
  <si>
    <t>非保持化予定年月</t>
  </si>
  <si>
    <t>PCIDSS準拠状況</t>
  </si>
  <si>
    <t>019</t>
  </si>
  <si>
    <t>PCIDSS準拠予定年月</t>
  </si>
  <si>
    <t>カード情報保護　予備①</t>
    <rPh sb="3" eb="5">
      <t>ジョウホウ</t>
    </rPh>
    <rPh sb="5" eb="7">
      <t>ホゴ</t>
    </rPh>
    <phoneticPr fontId="2"/>
  </si>
  <si>
    <t>カード情報保護　予備②</t>
    <rPh sb="3" eb="5">
      <t>ジョウホウ</t>
    </rPh>
    <rPh sb="5" eb="7">
      <t>ホゴ</t>
    </rPh>
    <phoneticPr fontId="2"/>
  </si>
  <si>
    <t>カード情報保護　予備③</t>
    <rPh sb="3" eb="5">
      <t>ジョウホウ</t>
    </rPh>
    <rPh sb="5" eb="7">
      <t>ホゴ</t>
    </rPh>
    <phoneticPr fontId="2"/>
  </si>
  <si>
    <t>カード情報保護　予備④</t>
    <rPh sb="3" eb="5">
      <t>ジョウホウ</t>
    </rPh>
    <rPh sb="5" eb="7">
      <t>ホゴ</t>
    </rPh>
    <phoneticPr fontId="2"/>
  </si>
  <si>
    <t>訪問販売有無</t>
  </si>
  <si>
    <t>025</t>
  </si>
  <si>
    <t>電話勧誘販売有無</t>
  </si>
  <si>
    <t>026</t>
  </si>
  <si>
    <t>連鎖販売取引有無</t>
  </si>
  <si>
    <t>027</t>
  </si>
  <si>
    <t>業務提供誘引販売有無</t>
  </si>
  <si>
    <t>028</t>
  </si>
  <si>
    <t>特定継続的役務提供有無</t>
  </si>
  <si>
    <t>029</t>
  </si>
  <si>
    <t>前払い商材有無</t>
  </si>
  <si>
    <t>030</t>
  </si>
  <si>
    <t>苦情の危険性程度</t>
  </si>
  <si>
    <t>販売形態　予備①</t>
    <rPh sb="0" eb="2">
      <t>ハンバイ</t>
    </rPh>
    <rPh sb="2" eb="4">
      <t>ケイタイ</t>
    </rPh>
    <phoneticPr fontId="2"/>
  </si>
  <si>
    <t>販売形態　予備②</t>
    <rPh sb="0" eb="2">
      <t>ハンバイ</t>
    </rPh>
    <rPh sb="2" eb="4">
      <t>ケイタイ</t>
    </rPh>
    <phoneticPr fontId="2"/>
  </si>
  <si>
    <t>不正リスク判定</t>
  </si>
  <si>
    <t>オーソリ　実施状況</t>
  </si>
  <si>
    <t>035</t>
  </si>
  <si>
    <t>オーソリ　コメント</t>
  </si>
  <si>
    <t>本人認証サービス　実施状況</t>
  </si>
  <si>
    <t>本人認証サービス　実施予定年月</t>
  </si>
  <si>
    <t>セキュリティコード　　実施状況</t>
  </si>
  <si>
    <t>セキュリティコード　　実施予定年月</t>
  </si>
  <si>
    <t>不正配送先情報　活用状況</t>
  </si>
  <si>
    <t>不正配送先情報　活用実施予定年月</t>
  </si>
  <si>
    <t>属性・行動分析 　実施状況</t>
  </si>
  <si>
    <t>属性・行動分析 　実施予定年月</t>
  </si>
  <si>
    <t>その他独自対策</t>
  </si>
  <si>
    <t>その他独自対策 　実施予定年月</t>
  </si>
  <si>
    <t>その他独自対策　 コメント</t>
  </si>
  <si>
    <t>決済端末IC化　 実施状況</t>
  </si>
  <si>
    <t>048</t>
  </si>
  <si>
    <t>決済端末IC化　 実施予定年月</t>
  </si>
  <si>
    <t>決済端末IC化　 コメント</t>
  </si>
  <si>
    <t>不正対策　予備①</t>
    <rPh sb="0" eb="2">
      <t>フセイ</t>
    </rPh>
    <rPh sb="2" eb="4">
      <t>タイサク</t>
    </rPh>
    <phoneticPr fontId="2"/>
  </si>
  <si>
    <t>不正対策　予備②</t>
    <rPh sb="0" eb="2">
      <t>フセイ</t>
    </rPh>
    <rPh sb="2" eb="4">
      <t>タイサク</t>
    </rPh>
    <phoneticPr fontId="2"/>
  </si>
  <si>
    <t>不正対策　予備③</t>
    <rPh sb="0" eb="2">
      <t>フセイ</t>
    </rPh>
    <rPh sb="2" eb="4">
      <t>タイサク</t>
    </rPh>
    <phoneticPr fontId="2"/>
  </si>
  <si>
    <t>不正対策　予備④</t>
    <rPh sb="0" eb="2">
      <t>フセイ</t>
    </rPh>
    <rPh sb="2" eb="4">
      <t>タイサク</t>
    </rPh>
    <phoneticPr fontId="2"/>
  </si>
  <si>
    <t>セキュリティ対策①　情報管理</t>
  </si>
  <si>
    <t>セキュリティ対策①　登録年月日</t>
  </si>
  <si>
    <t>セキュリティ対策②　不正利用防止</t>
  </si>
  <si>
    <t>105</t>
  </si>
  <si>
    <t>セキュリティ対策②　登録年月日</t>
  </si>
  <si>
    <t>106</t>
  </si>
  <si>
    <t>セキュリティ対策　　コメント</t>
  </si>
  <si>
    <t>サービス店舗電話番号</t>
  </si>
  <si>
    <t>特商法・消費者契約法</t>
  </si>
  <si>
    <t>個人・法人区分</t>
  </si>
  <si>
    <t>法人番号</t>
  </si>
  <si>
    <t>数値</t>
    <rPh sb="0" eb="2">
      <t>スウチ</t>
    </rPh>
    <phoneticPr fontId="72"/>
  </si>
  <si>
    <t>代表者電話番号</t>
  </si>
  <si>
    <t>⇒</t>
    <phoneticPr fontId="3"/>
  </si>
  <si>
    <t>いいえ</t>
    <phoneticPr fontId="3"/>
  </si>
  <si>
    <t>前払い商材有無</t>
    <phoneticPr fontId="3"/>
  </si>
  <si>
    <t>前払</t>
    <rPh sb="0" eb="1">
      <t>マエ</t>
    </rPh>
    <rPh sb="1" eb="2">
      <t>ハラ</t>
    </rPh>
    <phoneticPr fontId="3"/>
  </si>
  <si>
    <t>PCI DSS準拠状況</t>
    <phoneticPr fontId="3"/>
  </si>
  <si>
    <t>PCI DSS準拠予定年月</t>
    <phoneticPr fontId="3"/>
  </si>
  <si>
    <t>　　　　上記内容を承諾し、代表者が申し込みいたします。</t>
    <phoneticPr fontId="3"/>
  </si>
  <si>
    <t>―</t>
    <phoneticPr fontId="3"/>
  </si>
  <si>
    <t>●都道府県</t>
    <rPh sb="1" eb="5">
      <t>トドウフケン</t>
    </rPh>
    <phoneticPr fontId="3"/>
  </si>
  <si>
    <t>01：北海道</t>
  </si>
  <si>
    <t>02：青森県</t>
  </si>
  <si>
    <t>03：岩手県</t>
  </si>
  <si>
    <t>04：宮城県</t>
  </si>
  <si>
    <t>05：秋田県</t>
  </si>
  <si>
    <t>06：山形県</t>
  </si>
  <si>
    <t>07：福島県</t>
  </si>
  <si>
    <t>08：茨城県</t>
  </si>
  <si>
    <t>09：栃木県</t>
  </si>
  <si>
    <t>10：群馬県</t>
  </si>
  <si>
    <t>11：埼玉県</t>
  </si>
  <si>
    <t>12：千葉県</t>
  </si>
  <si>
    <t>13：東京都</t>
  </si>
  <si>
    <t>14：神奈川県</t>
  </si>
  <si>
    <t>15：新潟県</t>
  </si>
  <si>
    <t>16：富山県</t>
  </si>
  <si>
    <t>17：石川県</t>
  </si>
  <si>
    <t>18：福井県</t>
  </si>
  <si>
    <t>19：山梨県</t>
  </si>
  <si>
    <t>20：長野県</t>
  </si>
  <si>
    <t>21：岐阜県</t>
  </si>
  <si>
    <t>22：静岡県</t>
  </si>
  <si>
    <t>23：愛知県</t>
  </si>
  <si>
    <t>24：三重県</t>
  </si>
  <si>
    <t>25：滋賀県</t>
  </si>
  <si>
    <t>26：京都府</t>
  </si>
  <si>
    <t>27：大阪府</t>
  </si>
  <si>
    <t>28：兵庫県</t>
  </si>
  <si>
    <t>29：奈良県</t>
  </si>
  <si>
    <t>30：和歌山県</t>
  </si>
  <si>
    <t>31：鳥取県</t>
  </si>
  <si>
    <t>32：島根県</t>
  </si>
  <si>
    <t>33：岡山県</t>
  </si>
  <si>
    <t>34：広島県</t>
  </si>
  <si>
    <t>35：山口県</t>
  </si>
  <si>
    <t>36：徳島県</t>
  </si>
  <si>
    <t>37：香川県</t>
  </si>
  <si>
    <t>38：愛媛県</t>
  </si>
  <si>
    <t>39：高知県</t>
  </si>
  <si>
    <t>40：福岡県</t>
  </si>
  <si>
    <t>41：佐賀県</t>
  </si>
  <si>
    <t>42：長崎県</t>
  </si>
  <si>
    <t>43：熊本県</t>
  </si>
  <si>
    <t>44：大分県</t>
  </si>
  <si>
    <t>45：宮崎県</t>
  </si>
  <si>
    <t>46：鹿児島県</t>
  </si>
  <si>
    <t>47：沖縄県</t>
  </si>
  <si>
    <t>―</t>
    <phoneticPr fontId="3"/>
  </si>
  <si>
    <t>―</t>
    <phoneticPr fontId="3"/>
  </si>
  <si>
    <t>←右詰めで7桁すべてご記入下さい。
（7桁未満の場合は０をご入力下さい。）</t>
    <phoneticPr fontId="4"/>
  </si>
  <si>
    <t>非</t>
    <rPh sb="0" eb="1">
      <t>ヒ</t>
    </rPh>
    <phoneticPr fontId="3"/>
  </si>
  <si>
    <t>代表者（郵便番号）</t>
  </si>
  <si>
    <t>company3_reserve</t>
    <phoneticPr fontId="3"/>
  </si>
  <si>
    <t>代表者住所（カナ）</t>
  </si>
  <si>
    <t>company4_reserve</t>
    <phoneticPr fontId="3"/>
  </si>
  <si>
    <t>company5_reserve</t>
    <phoneticPr fontId="3"/>
  </si>
  <si>
    <t>service2_reserve</t>
    <phoneticPr fontId="3"/>
  </si>
  <si>
    <t>法人：01、個人：02</t>
    <phoneticPr fontId="3"/>
  </si>
  <si>
    <t>company1_reserve</t>
    <phoneticPr fontId="3"/>
  </si>
  <si>
    <t>company2_reserve</t>
    <phoneticPr fontId="3"/>
  </si>
  <si>
    <t>半角文字列</t>
    <rPh sb="0" eb="2">
      <t>ハンカク</t>
    </rPh>
    <rPh sb="2" eb="5">
      <t>モジレツ</t>
    </rPh>
    <phoneticPr fontId="3"/>
  </si>
  <si>
    <t>service1_reserve</t>
    <phoneticPr fontId="3"/>
  </si>
  <si>
    <t>パラメータID</t>
  </si>
  <si>
    <t>大項目</t>
    <rPh sb="0" eb="3">
      <t>ダイコウモク</t>
    </rPh>
    <phoneticPr fontId="2"/>
  </si>
  <si>
    <t>桁数</t>
    <rPh sb="0" eb="2">
      <t>ケタスウ</t>
    </rPh>
    <phoneticPr fontId="3"/>
  </si>
  <si>
    <t>コード</t>
    <phoneticPr fontId="3"/>
  </si>
  <si>
    <t>カード情報保護</t>
  </si>
  <si>
    <t>半角　1.保持している［保持］　2.保持していない［非保持/非保持化相当］　3.【非保持化】予定あり</t>
  </si>
  <si>
    <t>6</t>
  </si>
  <si>
    <t>半角、ｙｙｙｙｍｍ、【非保持化】予定ありを選択時のみ入力。その他の時はブランク。</t>
  </si>
  <si>
    <t>018</t>
  </si>
  <si>
    <t>半角　1.準拠している　2.準拠予定あり　3.準拠予定なし</t>
  </si>
  <si>
    <t>半角、ｙｙｙｙｍｍ、準拠予定ありを選択時のみ入力。その他の時はブランク。</t>
  </si>
  <si>
    <t>020</t>
  </si>
  <si>
    <t>60</t>
  </si>
  <si>
    <t>021</t>
  </si>
  <si>
    <t>022</t>
  </si>
  <si>
    <t>023</t>
  </si>
  <si>
    <t>024</t>
  </si>
  <si>
    <t>苦情危険度</t>
  </si>
  <si>
    <t>半角　0：無　、1：有</t>
    <phoneticPr fontId="3"/>
  </si>
  <si>
    <t>半角　1.低リスク　2.高リスク（呉服）　3.高リスク（ペット）　4.高リスク（コンサル）　5.高リスク（エステ）　6.高リスク(結婚紹介)　7.高リスク(スポーツ施設) 8.高リスク(カルチャースクール)　9.高リスク(美容医療等) 10.高リスク(デジコン) 11.高リスク(情報商材) 12.高リスク(占い) 13.高リスク(出会い系) 14.高リスク(健康食品) 15.高リスク(美容品) 16.高リスク(旅行業)</t>
  </si>
  <si>
    <t>031</t>
  </si>
  <si>
    <t>032</t>
  </si>
  <si>
    <t>033</t>
  </si>
  <si>
    <t>不正対策</t>
  </si>
  <si>
    <t>半角　1.低リスク　2.高リスク（家電）　3．高リスク（チケット）　4．高リスク（電子マネー）　5．高リスク（デジコン）</t>
  </si>
  <si>
    <t>034</t>
  </si>
  <si>
    <t>半角　1.実施　2.オーソリ相当実施　3.未実施</t>
  </si>
  <si>
    <t>200</t>
  </si>
  <si>
    <t>全角・半角、具体的な対策内容を入力</t>
  </si>
  <si>
    <t>036</t>
  </si>
  <si>
    <t>半角　1.導入済　2.導入予定　3.導入予定なし</t>
  </si>
  <si>
    <t>037</t>
  </si>
  <si>
    <t>半角、ｙｙｙｙｍｍ、導入予定を選択時のみ入力。その他の時はブランク。</t>
  </si>
  <si>
    <t>039</t>
  </si>
  <si>
    <t>040</t>
  </si>
  <si>
    <t>042</t>
  </si>
  <si>
    <t>043</t>
  </si>
  <si>
    <t>044</t>
  </si>
  <si>
    <t>045</t>
  </si>
  <si>
    <t>046</t>
  </si>
  <si>
    <t>全角・半角、具体的な対策内容を入力
「1.導入済」「2.導入予定」を選択時のみ入力。その他の時はブランク。</t>
  </si>
  <si>
    <t>047</t>
  </si>
  <si>
    <t>049</t>
  </si>
  <si>
    <t>050</t>
  </si>
  <si>
    <t>051</t>
  </si>
  <si>
    <t>052</t>
  </si>
  <si>
    <t>053</t>
  </si>
  <si>
    <t>054</t>
  </si>
  <si>
    <t>セキュリティ状況</t>
  </si>
  <si>
    <t>半角　1.準拠　2.未準拠</t>
  </si>
  <si>
    <t>103</t>
  </si>
  <si>
    <t>8</t>
  </si>
  <si>
    <t>半角、YYYYMMDD</t>
  </si>
  <si>
    <t>104</t>
  </si>
  <si>
    <t>全角・半角、具体的な対策内容等を入力</t>
  </si>
  <si>
    <t>107</t>
  </si>
  <si>
    <t>0030302</t>
  </si>
  <si>
    <t>0430106</t>
  </si>
  <si>
    <t>0430268</t>
  </si>
  <si>
    <t>0435209</t>
  </si>
  <si>
    <t>0441261</t>
  </si>
  <si>
    <t>0441467</t>
  </si>
  <si>
    <t>0446579</t>
  </si>
  <si>
    <t>0510538</t>
  </si>
  <si>
    <t>0518669</t>
  </si>
  <si>
    <t>0524934</t>
  </si>
  <si>
    <t>0525735</t>
  </si>
  <si>
    <t>1202892</t>
  </si>
  <si>
    <t>1203405</t>
  </si>
  <si>
    <t>1203748</t>
  </si>
  <si>
    <t>1204164</t>
  </si>
  <si>
    <t>1205880</t>
  </si>
  <si>
    <t>1206228</t>
  </si>
  <si>
    <t>1206333</t>
  </si>
  <si>
    <t>1206897</t>
  </si>
  <si>
    <t>1207428</t>
  </si>
  <si>
    <t>1208622</t>
  </si>
  <si>
    <t>1209993</t>
  </si>
  <si>
    <t>1210249</t>
  </si>
  <si>
    <t>1602484</t>
  </si>
  <si>
    <t>1604187</t>
  </si>
  <si>
    <t>1605143</t>
  </si>
  <si>
    <t>1607288</t>
  </si>
  <si>
    <t>1607805</t>
  </si>
  <si>
    <t>1608568</t>
  </si>
  <si>
    <t>9999999</t>
  </si>
  <si>
    <t>1610862</t>
  </si>
  <si>
    <t>1610861</t>
  </si>
  <si>
    <t>1611513</t>
  </si>
  <si>
    <t>1611514</t>
  </si>
  <si>
    <t>1611515</t>
  </si>
  <si>
    <t>1611516</t>
  </si>
  <si>
    <t>1611517</t>
  </si>
  <si>
    <t>1611518</t>
  </si>
  <si>
    <t>1611519</t>
  </si>
  <si>
    <t>1611520</t>
  </si>
  <si>
    <t>1611521</t>
  </si>
  <si>
    <t>1612020</t>
  </si>
  <si>
    <t>1612406</t>
  </si>
  <si>
    <t>1613162</t>
  </si>
  <si>
    <t>0518614</t>
  </si>
  <si>
    <t>0518623</t>
  </si>
  <si>
    <t>0522770</t>
  </si>
  <si>
    <t>0524381</t>
  </si>
  <si>
    <t>1202895</t>
  </si>
  <si>
    <t>1203376</t>
  </si>
  <si>
    <t>1203713</t>
  </si>
  <si>
    <t>1203747</t>
  </si>
  <si>
    <t>1203976</t>
  </si>
  <si>
    <t>1205979</t>
  </si>
  <si>
    <t>1205998</t>
  </si>
  <si>
    <t>1206989</t>
  </si>
  <si>
    <t>1207224</t>
  </si>
  <si>
    <t>1207256</t>
  </si>
  <si>
    <t>1208450</t>
  </si>
  <si>
    <t>1208623</t>
  </si>
  <si>
    <t>1209994</t>
  </si>
  <si>
    <t>1210473</t>
  </si>
  <si>
    <t>1600945</t>
  </si>
  <si>
    <t>1601605</t>
  </si>
  <si>
    <t>1601607</t>
  </si>
  <si>
    <t>1605144</t>
  </si>
  <si>
    <t>髙野真介</t>
  </si>
  <si>
    <t>辻﨑晴予</t>
  </si>
  <si>
    <t>二神聡司</t>
  </si>
  <si>
    <t>小林哲人</t>
  </si>
  <si>
    <t>松浦悦史</t>
  </si>
  <si>
    <t>米泉武</t>
  </si>
  <si>
    <t>鈴木聖基</t>
  </si>
  <si>
    <t>友廣喬也</t>
  </si>
  <si>
    <t>髙澤佑太</t>
  </si>
  <si>
    <t>鈴木晴奈</t>
  </si>
  <si>
    <t>原辰郎</t>
  </si>
  <si>
    <t>都築 美風</t>
  </si>
  <si>
    <t>伊藤麻也</t>
  </si>
  <si>
    <t>加地良多</t>
  </si>
  <si>
    <t>萩野 恭実</t>
  </si>
  <si>
    <t>嶋田 彩香</t>
  </si>
  <si>
    <t>中野 美玖</t>
  </si>
  <si>
    <t>柴田 真由</t>
  </si>
  <si>
    <t>神谷 彩夏</t>
  </si>
  <si>
    <t>武田 桃太郎</t>
  </si>
  <si>
    <t>西田 むつき</t>
  </si>
  <si>
    <t>富田 彩香</t>
  </si>
  <si>
    <t>野口 裕大</t>
  </si>
  <si>
    <t>野中 真之介</t>
  </si>
  <si>
    <t>平野　亜弥</t>
  </si>
  <si>
    <t>塩原 和秀</t>
  </si>
  <si>
    <t>飯吉大輝</t>
  </si>
  <si>
    <t>小竹一義</t>
  </si>
  <si>
    <t>梶くらら</t>
  </si>
  <si>
    <t>笹瀬弘企</t>
  </si>
  <si>
    <t>久間銀之介</t>
  </si>
  <si>
    <t>鈴木和香子</t>
  </si>
  <si>
    <t>◆電子マネー決済◆</t>
    <rPh sb="6" eb="8">
      <t>ケッサイ</t>
    </rPh>
    <phoneticPr fontId="3"/>
  </si>
  <si>
    <t>楽天Edy</t>
    <phoneticPr fontId="3"/>
  </si>
  <si>
    <t>非</t>
    <rPh sb="0" eb="1">
      <t>ヒ</t>
    </rPh>
    <phoneticPr fontId="3"/>
  </si>
  <si>
    <t>楽天Edy</t>
    <rPh sb="0" eb="2">
      <t>ラクテン</t>
    </rPh>
    <phoneticPr fontId="3"/>
  </si>
  <si>
    <r>
      <t xml:space="preserve">毎月15日、末日締め、締め後７営業日迄に収納明細書を売上報告ご担当様宛にメールいたします。立替払金につきましては、当月末日（土日祝日の場合は前営業日）、翌月15日（土日祝日の場合は翌営業日）に手数料を差引いた金額をご指定の金融機関口座にお振込みさせていただきます。
</t>
    </r>
    <r>
      <rPr>
        <sz val="11"/>
        <color theme="0"/>
        <rFont val="Meiryo UI"/>
        <family val="3"/>
        <charset val="128"/>
      </rPr>
      <t>※早期・複数回入金オプションをご利用の場合は異なります。</t>
    </r>
    <rPh sb="22" eb="24">
      <t>メイサイ</t>
    </rPh>
    <rPh sb="24" eb="25">
      <t>ショ</t>
    </rPh>
    <rPh sb="26" eb="28">
      <t>ウリアゲ</t>
    </rPh>
    <rPh sb="28" eb="30">
      <t>ホウコク</t>
    </rPh>
    <rPh sb="45" eb="47">
      <t>タテカエ</t>
    </rPh>
    <rPh sb="47" eb="48">
      <t>ハラ</t>
    </rPh>
    <rPh sb="100" eb="102">
      <t>サシヒ</t>
    </rPh>
    <rPh sb="104" eb="106">
      <t>キンガク</t>
    </rPh>
    <rPh sb="111" eb="113">
      <t>キンユウ</t>
    </rPh>
    <rPh sb="113" eb="115">
      <t>キカン</t>
    </rPh>
    <rPh sb="115" eb="117">
      <t>コウザ</t>
    </rPh>
    <rPh sb="119" eb="121">
      <t>フリコ</t>
    </rPh>
    <phoneticPr fontId="3"/>
  </si>
  <si>
    <t>ロール紙（10巻/箱）</t>
    <phoneticPr fontId="3"/>
  </si>
  <si>
    <t xml:space="preserve">VEGA3000専用　シガーアダプター（DC） </t>
    <rPh sb="8" eb="10">
      <t>センヨウ</t>
    </rPh>
    <phoneticPr fontId="3"/>
  </si>
  <si>
    <t>VEGA3000専用　POS連動ケーブル（1m）</t>
    <rPh sb="8" eb="10">
      <t>センヨウ</t>
    </rPh>
    <phoneticPr fontId="3"/>
  </si>
  <si>
    <t>個</t>
    <rPh sb="0" eb="1">
      <t>コ</t>
    </rPh>
    <phoneticPr fontId="3"/>
  </si>
  <si>
    <t>本</t>
    <rPh sb="0" eb="1">
      <t>ホン</t>
    </rPh>
    <phoneticPr fontId="3"/>
  </si>
  <si>
    <t>ホッカイドウ</t>
  </si>
  <si>
    <t>アオモリケン</t>
  </si>
  <si>
    <t>イワテケン</t>
  </si>
  <si>
    <t>ミヤギケン</t>
  </si>
  <si>
    <t>アキタケン</t>
  </si>
  <si>
    <t>ヤマガタケン</t>
  </si>
  <si>
    <t>フクシマケン</t>
  </si>
  <si>
    <t>イバラキケン</t>
  </si>
  <si>
    <t>トチギケン</t>
  </si>
  <si>
    <t>グンマケン</t>
  </si>
  <si>
    <t>サイタマケン</t>
  </si>
  <si>
    <t>チバケン</t>
  </si>
  <si>
    <t>トウキョウト</t>
  </si>
  <si>
    <t>カナガワケン</t>
  </si>
  <si>
    <t>ニイガタケン</t>
  </si>
  <si>
    <t>トヤマケン</t>
  </si>
  <si>
    <t>イシカワケン</t>
  </si>
  <si>
    <t>フクイケン</t>
  </si>
  <si>
    <t>ヤマナシケン</t>
  </si>
  <si>
    <t>ナガノケン</t>
  </si>
  <si>
    <t>ギフケン</t>
  </si>
  <si>
    <t>シズオカケン</t>
  </si>
  <si>
    <t>アイチケン</t>
  </si>
  <si>
    <t>ミエケン</t>
  </si>
  <si>
    <t>シガケン</t>
  </si>
  <si>
    <t>キョウトフ</t>
  </si>
  <si>
    <t>オオサカフ</t>
  </si>
  <si>
    <t>ヒョウゴケン</t>
  </si>
  <si>
    <t>ナラケン</t>
  </si>
  <si>
    <t>ワカヤマケン</t>
  </si>
  <si>
    <t>トットリケン</t>
  </si>
  <si>
    <t>シマネケン</t>
  </si>
  <si>
    <t>オカヤマケン</t>
  </si>
  <si>
    <t>ヒロシマケン</t>
  </si>
  <si>
    <t>ヤマグチケン</t>
  </si>
  <si>
    <t>トクシマケン</t>
  </si>
  <si>
    <t>カガワケン</t>
  </si>
  <si>
    <t>エヒメケン</t>
  </si>
  <si>
    <t>コウチケン</t>
  </si>
  <si>
    <t>フクオカケン</t>
  </si>
  <si>
    <t>サガケン</t>
  </si>
  <si>
    <t>ナガサキケン</t>
  </si>
  <si>
    <t>クマモトケン</t>
  </si>
  <si>
    <t>オオイタケン</t>
  </si>
  <si>
    <t>ミヤザキケン</t>
  </si>
  <si>
    <t>カゴシマケン</t>
  </si>
  <si>
    <t>オキナワケン</t>
  </si>
  <si>
    <t>（自動表示）</t>
    <rPh sb="1" eb="3">
      <t>ジドウ</t>
    </rPh>
    <rPh sb="3" eb="5">
      <t>ヒョウジ</t>
    </rPh>
    <phoneticPr fontId="3"/>
  </si>
  <si>
    <t>HP掲載</t>
    <rPh sb="2" eb="4">
      <t>ケイサイ</t>
    </rPh>
    <phoneticPr fontId="4"/>
  </si>
  <si>
    <t>業種ID</t>
  </si>
  <si>
    <t>含まれる店舗種別</t>
  </si>
  <si>
    <t>例</t>
  </si>
  <si>
    <t>○</t>
  </si>
  <si>
    <t>00000005</t>
    <phoneticPr fontId="4"/>
  </si>
  <si>
    <t/>
  </si>
  <si>
    <t>飲食業　日本料理　 一般食堂・和風居酒屋ダイニング</t>
    <rPh sb="10" eb="12">
      <t>イッパン</t>
    </rPh>
    <rPh sb="12" eb="14">
      <t>ショクドウ</t>
    </rPh>
    <rPh sb="15" eb="17">
      <t>ワフウ</t>
    </rPh>
    <rPh sb="17" eb="20">
      <t>イザカヤ</t>
    </rPh>
    <phoneticPr fontId="4"/>
  </si>
  <si>
    <t>和食全般</t>
    <rPh sb="0" eb="2">
      <t>ワショク</t>
    </rPh>
    <rPh sb="2" eb="4">
      <t>ゼンパン</t>
    </rPh>
    <phoneticPr fontId="4"/>
  </si>
  <si>
    <t>00000007</t>
    <phoneticPr fontId="4"/>
  </si>
  <si>
    <t>飲食業　洋食　洋風居酒屋　ビアホール　洋風ダイニング</t>
    <rPh sb="7" eb="9">
      <t>ヨウフウ</t>
    </rPh>
    <rPh sb="9" eb="12">
      <t>イザカヤ</t>
    </rPh>
    <rPh sb="19" eb="21">
      <t>ヨウフウ</t>
    </rPh>
    <phoneticPr fontId="4"/>
  </si>
  <si>
    <t>イタリアン・フレンチ・ロシア・メキシコ・アメリカン・バーベキュー</t>
    <phoneticPr fontId="4"/>
  </si>
  <si>
    <t xml:space="preserve"> </t>
  </si>
  <si>
    <t>00000009</t>
    <phoneticPr fontId="4"/>
  </si>
  <si>
    <t>飲食業　中華料理　エスニック・アジア風居酒屋・ダイニングバー・焼肉</t>
    <rPh sb="18" eb="19">
      <t>フウ</t>
    </rPh>
    <rPh sb="19" eb="22">
      <t>イザカヤ</t>
    </rPh>
    <rPh sb="31" eb="33">
      <t>ヤキニク</t>
    </rPh>
    <phoneticPr fontId="4"/>
  </si>
  <si>
    <t>中華料理・台湾料理・餃子店　</t>
    <phoneticPr fontId="4"/>
  </si>
  <si>
    <t>一般中華料理・バーミヤン・餃子の王将など</t>
  </si>
  <si>
    <t>00000012</t>
  </si>
  <si>
    <t>飲食業　ラーメン店</t>
  </si>
  <si>
    <t>ラーメン店</t>
  </si>
  <si>
    <t>00000013</t>
  </si>
  <si>
    <t>飲食業　そば・うどん</t>
  </si>
  <si>
    <t>そば・うどん</t>
  </si>
  <si>
    <t>00000014</t>
  </si>
  <si>
    <t>飲食業　喫茶・カフェ・軽食</t>
    <phoneticPr fontId="4"/>
  </si>
  <si>
    <t>コーヒーショップ・フルーツパーラー・スタンド式喫茶・甘味処</t>
    <phoneticPr fontId="4"/>
  </si>
  <si>
    <t>スターバックス、ドトール</t>
    <phoneticPr fontId="4"/>
  </si>
  <si>
    <t>00000015</t>
    <phoneticPr fontId="4"/>
  </si>
  <si>
    <t>必要</t>
  </si>
  <si>
    <t>飲食業 スナック　ｸﾗﾌﾞ　ｷｬﾊﾞﾚー</t>
    <phoneticPr fontId="4"/>
  </si>
  <si>
    <t>水商売</t>
    <rPh sb="0" eb="3">
      <t>ミズショウバイ</t>
    </rPh>
    <phoneticPr fontId="4"/>
  </si>
  <si>
    <t>00000016</t>
  </si>
  <si>
    <t>飲食業　バー　その他</t>
    <rPh sb="9" eb="10">
      <t>タ</t>
    </rPh>
    <phoneticPr fontId="4"/>
  </si>
  <si>
    <t>バー</t>
    <phoneticPr fontId="4"/>
  </si>
  <si>
    <t>空港・ホテル内のラウンジなど</t>
    <rPh sb="0" eb="2">
      <t>クウコウ</t>
    </rPh>
    <rPh sb="6" eb="7">
      <t>ナイ</t>
    </rPh>
    <phoneticPr fontId="4"/>
  </si>
  <si>
    <t>飲食業　ファミリーレストラン</t>
  </si>
  <si>
    <t>ファミリーレストラン（各種料理のファミレス）</t>
  </si>
  <si>
    <t>飲食業　ファーストフード（和食・丼モノ・カレー）</t>
    <phoneticPr fontId="4"/>
  </si>
  <si>
    <t>牛丼屋・天丼屋・カレー</t>
    <phoneticPr fontId="4"/>
  </si>
  <si>
    <t>吉野家・松屋・なか卯・天屋　CoCo壱番屋・バルチックカレー
駅中のカレーショップ</t>
    <rPh sb="18" eb="19">
      <t>イチ</t>
    </rPh>
    <rPh sb="19" eb="20">
      <t>バン</t>
    </rPh>
    <rPh sb="20" eb="21">
      <t>ヤ</t>
    </rPh>
    <rPh sb="31" eb="32">
      <t>エキ</t>
    </rPh>
    <rPh sb="32" eb="33">
      <t>ナカ</t>
    </rPh>
    <phoneticPr fontId="4"/>
  </si>
  <si>
    <t>00000020</t>
  </si>
  <si>
    <t>飲食業　ファーストフード</t>
  </si>
  <si>
    <t>ハンバーガー・今川焼き・たこ焼き・屋台</t>
    <phoneticPr fontId="4"/>
  </si>
  <si>
    <t>00000021</t>
  </si>
  <si>
    <t>小売業　百貨店・デパート・複合型ショッピングストア</t>
  </si>
  <si>
    <t>百貨店・デパート・総合ショッピングストア・アウトレット</t>
    <phoneticPr fontId="4"/>
  </si>
  <si>
    <t>ジャスコ・オリンピックなどはここに分類</t>
  </si>
  <si>
    <t>00000022</t>
  </si>
  <si>
    <t>小売業　スーパー</t>
    <phoneticPr fontId="4"/>
  </si>
  <si>
    <t>スーパー</t>
  </si>
  <si>
    <t>00000023</t>
  </si>
  <si>
    <t>小売業　コンビニ</t>
  </si>
  <si>
    <t>コンビニエンスストア</t>
  </si>
  <si>
    <t>am/pm、サンクス、ローソン</t>
  </si>
  <si>
    <t>00000025</t>
    <phoneticPr fontId="4"/>
  </si>
  <si>
    <t>小売業　酒屋</t>
    <rPh sb="4" eb="6">
      <t>サカヤ</t>
    </rPh>
    <phoneticPr fontId="4"/>
  </si>
  <si>
    <t>酒</t>
    <rPh sb="0" eb="1">
      <t>サケ</t>
    </rPh>
    <phoneticPr fontId="4"/>
  </si>
  <si>
    <t>やまや</t>
    <phoneticPr fontId="4"/>
  </si>
  <si>
    <t>00000026</t>
    <phoneticPr fontId="4"/>
  </si>
  <si>
    <t>食料品店　その他</t>
    <rPh sb="7" eb="8">
      <t>タ</t>
    </rPh>
    <phoneticPr fontId="4"/>
  </si>
  <si>
    <t>生鮮食品　米屋　豆腐屋　乾物屋　</t>
    <rPh sb="0" eb="2">
      <t>セイセン</t>
    </rPh>
    <rPh sb="2" eb="4">
      <t>ショクヒン</t>
    </rPh>
    <rPh sb="5" eb="6">
      <t>コメ</t>
    </rPh>
    <rPh sb="6" eb="7">
      <t>ヤ</t>
    </rPh>
    <rPh sb="8" eb="10">
      <t>トウフ</t>
    </rPh>
    <rPh sb="10" eb="11">
      <t>ヤ</t>
    </rPh>
    <rPh sb="12" eb="13">
      <t>カワ</t>
    </rPh>
    <rPh sb="13" eb="14">
      <t>モノ</t>
    </rPh>
    <rPh sb="14" eb="15">
      <t>ヤ</t>
    </rPh>
    <phoneticPr fontId="4"/>
  </si>
  <si>
    <t xml:space="preserve"> 伊藤くだもの店 ・ 佐藤食品 生鮮品店 新千歳空港店</t>
    <phoneticPr fontId="4"/>
  </si>
  <si>
    <t>00000031</t>
  </si>
  <si>
    <t>小売業　 パン屋・お菓子・デザート</t>
    <phoneticPr fontId="4"/>
  </si>
  <si>
    <t>ケーキ・まんじゅう・アイスクリーム・ パン屋・ベーカリーショップ</t>
    <phoneticPr fontId="4"/>
  </si>
  <si>
    <t>ハーゲンダッツ・お菓子屋の出張店舗　・オーバカナル</t>
    <phoneticPr fontId="4"/>
  </si>
  <si>
    <t>00000037</t>
  </si>
  <si>
    <t>小売業　お弁当・お惣菜　</t>
    <rPh sb="5" eb="7">
      <t>ベントウ</t>
    </rPh>
    <rPh sb="9" eb="11">
      <t>ソウザイ</t>
    </rPh>
    <phoneticPr fontId="4"/>
  </si>
  <si>
    <t>お弁当屋・調理パン・おにぎり・持ち帰り寿司・ピザ（宅配）</t>
    <phoneticPr fontId="4"/>
  </si>
  <si>
    <t>京樽・オリジン弁当　</t>
    <phoneticPr fontId="4"/>
  </si>
  <si>
    <t>00000043</t>
    <phoneticPr fontId="4"/>
  </si>
  <si>
    <t>小売業　服　ユニセックスファッション・ジーンズショップ</t>
    <rPh sb="4" eb="5">
      <t>フク</t>
    </rPh>
    <phoneticPr fontId="4"/>
  </si>
  <si>
    <t>紳士服・婦人服・子供服･古着・和服・下着など</t>
    <rPh sb="4" eb="6">
      <t>フジン</t>
    </rPh>
    <rPh sb="6" eb="7">
      <t>フク</t>
    </rPh>
    <rPh sb="8" eb="10">
      <t>コドモ</t>
    </rPh>
    <rPh sb="10" eb="11">
      <t>フク</t>
    </rPh>
    <rPh sb="12" eb="14">
      <t>フルギ</t>
    </rPh>
    <rPh sb="15" eb="17">
      <t>ワフク</t>
    </rPh>
    <rPh sb="18" eb="20">
      <t>シタギ</t>
    </rPh>
    <phoneticPr fontId="4"/>
  </si>
  <si>
    <t>コナカ・GAP・ユニクロ</t>
    <phoneticPr fontId="4"/>
  </si>
  <si>
    <t>00000050</t>
    <phoneticPr fontId="4"/>
  </si>
  <si>
    <t>小売業　ファッション雑貨</t>
    <phoneticPr fontId="4"/>
  </si>
  <si>
    <t>靴・かばん・貴金属・雑貨・化粧品を揃えたファッション雑貨店</t>
    <rPh sb="0" eb="1">
      <t>クツ</t>
    </rPh>
    <rPh sb="6" eb="9">
      <t>キキンゾク</t>
    </rPh>
    <rPh sb="28" eb="29">
      <t>テン</t>
    </rPh>
    <phoneticPr fontId="4"/>
  </si>
  <si>
    <t>ソニプラ・IT'S DEMO・ショップインなど</t>
  </si>
  <si>
    <t>00000051</t>
  </si>
  <si>
    <t>小売業　眼鏡・コンタクトレンズ</t>
    <phoneticPr fontId="4"/>
  </si>
  <si>
    <t>眼鏡・コンタクトレンズ</t>
    <phoneticPr fontId="4"/>
  </si>
  <si>
    <t>日本オプティカル</t>
    <rPh sb="0" eb="2">
      <t>ニホン</t>
    </rPh>
    <phoneticPr fontId="4"/>
  </si>
  <si>
    <t>00000053</t>
  </si>
  <si>
    <t>小売業　書籍　古本</t>
    <phoneticPr fontId="4"/>
  </si>
  <si>
    <t>本屋・古本屋・楽譜・洋書</t>
    <phoneticPr fontId="4"/>
  </si>
  <si>
    <t>BOOK OFF</t>
  </si>
  <si>
    <t>00000055</t>
  </si>
  <si>
    <t>小売業　ＣＤショップ　</t>
    <phoneticPr fontId="4"/>
  </si>
  <si>
    <t>ＣＤ・レコード　中古ＣＤ・中古レコード　</t>
    <phoneticPr fontId="4"/>
  </si>
  <si>
    <t>00000058</t>
    <phoneticPr fontId="4"/>
  </si>
  <si>
    <t>小売業　日用雑貨・文具・その他</t>
    <rPh sb="14" eb="15">
      <t>タ</t>
    </rPh>
    <phoneticPr fontId="4"/>
  </si>
  <si>
    <t>日用雑貨品・バラエティ雑貨（100円ｼｮｯﾌﾟ）・文房具店</t>
    <rPh sb="0" eb="2">
      <t>ニチヨウ</t>
    </rPh>
    <rPh sb="2" eb="4">
      <t>ザッカ</t>
    </rPh>
    <rPh sb="4" eb="5">
      <t>ヒン</t>
    </rPh>
    <rPh sb="11" eb="13">
      <t>ザッカ</t>
    </rPh>
    <rPh sb="17" eb="18">
      <t>エン</t>
    </rPh>
    <phoneticPr fontId="4"/>
  </si>
  <si>
    <t>東急ハンズ・伊東屋Afternoon Tea (グッズショプ)</t>
    <phoneticPr fontId="4"/>
  </si>
  <si>
    <t>00000061</t>
  </si>
  <si>
    <t>小売業　ドラッグストア・薬屋・調剤薬局</t>
    <rPh sb="15" eb="17">
      <t>チョウザイ</t>
    </rPh>
    <rPh sb="17" eb="19">
      <t>ヤッキョク</t>
    </rPh>
    <phoneticPr fontId="4"/>
  </si>
  <si>
    <t>薬店・漢方薬販売</t>
  </si>
  <si>
    <t>00000064</t>
    <phoneticPr fontId="4"/>
  </si>
  <si>
    <t>小売業　家具・ファブリック・その他</t>
    <phoneticPr fontId="4"/>
  </si>
  <si>
    <t>寝具・家具・じゅうたん・カーテン　（大型チェーン店）</t>
    <rPh sb="3" eb="5">
      <t>カグ</t>
    </rPh>
    <phoneticPr fontId="4"/>
  </si>
  <si>
    <t>FlancFlanc</t>
  </si>
  <si>
    <t>00000066</t>
  </si>
  <si>
    <t>小売業　電化製品・カメラチェーン店</t>
    <rPh sb="16" eb="17">
      <t>ミセ</t>
    </rPh>
    <phoneticPr fontId="4"/>
  </si>
  <si>
    <t>電化製品全般</t>
    <rPh sb="0" eb="2">
      <t>デンカ</t>
    </rPh>
    <rPh sb="2" eb="4">
      <t>セイヒン</t>
    </rPh>
    <rPh sb="4" eb="6">
      <t>ゼンパン</t>
    </rPh>
    <phoneticPr fontId="4"/>
  </si>
  <si>
    <t>LAOX、コジマ、ヤマダ電機　ヨドバシカメラ</t>
    <phoneticPr fontId="4"/>
  </si>
  <si>
    <t>00000070</t>
  </si>
  <si>
    <t>小売業　スポーツ用品　</t>
    <phoneticPr fontId="4"/>
  </si>
  <si>
    <t>スポーツ用品・釣具・運動衣（ユニホーム）　自転車　自転車付属品</t>
    <rPh sb="4" eb="6">
      <t>ヨウヒン</t>
    </rPh>
    <rPh sb="25" eb="28">
      <t>ジテンシャ</t>
    </rPh>
    <rPh sb="28" eb="30">
      <t>フゾク</t>
    </rPh>
    <rPh sb="30" eb="31">
      <t>ヒン</t>
    </rPh>
    <phoneticPr fontId="4"/>
  </si>
  <si>
    <t>Victria・MIZUNO・NIKE・addidas・Colman・Outdoorなど</t>
  </si>
  <si>
    <t>00000071</t>
  </si>
  <si>
    <t>小売業　チケット販売</t>
    <phoneticPr fontId="4"/>
  </si>
  <si>
    <t>チケット類販売（新規）・宝くじ販売・航空券</t>
    <rPh sb="18" eb="20">
      <t>コウクウ</t>
    </rPh>
    <rPh sb="20" eb="21">
      <t>ケン</t>
    </rPh>
    <phoneticPr fontId="4"/>
  </si>
  <si>
    <t>00000072</t>
  </si>
  <si>
    <t>小売業　玩具・娯楽用品・ホビー・ペットショップ</t>
    <phoneticPr fontId="4"/>
  </si>
  <si>
    <t>おもちゃ・テレビゲーム機　花屋・・ペットショップ・ペット関連グッズなど</t>
    <rPh sb="28" eb="30">
      <t>カンレン</t>
    </rPh>
    <phoneticPr fontId="4"/>
  </si>
  <si>
    <t>00000077</t>
  </si>
  <si>
    <t>小売業　建築材料・ホームセンター</t>
  </si>
  <si>
    <t>木材・セメント・ブロック・プラスチック・日曜大工用具</t>
    <phoneticPr fontId="4"/>
  </si>
  <si>
    <t>ジョイフルホンダ・Doit・ビックサム　ホーマックなど</t>
    <phoneticPr fontId="4"/>
  </si>
  <si>
    <t>00000081</t>
  </si>
  <si>
    <t>小売業　その他</t>
    <rPh sb="6" eb="7">
      <t>タ</t>
    </rPh>
    <phoneticPr fontId="4"/>
  </si>
  <si>
    <t>骨董品　リサイクル用品　印鑑</t>
    <rPh sb="9" eb="11">
      <t>ヨウヒン</t>
    </rPh>
    <rPh sb="12" eb="14">
      <t>インカン</t>
    </rPh>
    <phoneticPr fontId="4"/>
  </si>
  <si>
    <t>00000082</t>
  </si>
  <si>
    <t>レジャー　映画館</t>
  </si>
  <si>
    <t>映画館・シネコン・ミニシアター・ビデオシアター</t>
  </si>
  <si>
    <t>00000083</t>
  </si>
  <si>
    <t>レジャー　劇場　スタジアム　興行場</t>
    <phoneticPr fontId="4"/>
  </si>
  <si>
    <t>劇団・オーケストラ・歌劇・野球場・サッカー場・相撲興行場・サーカス小屋</t>
    <phoneticPr fontId="4"/>
  </si>
  <si>
    <t>日本武道館・国技館</t>
  </si>
  <si>
    <t>00000086</t>
  </si>
  <si>
    <t>レジャー　テーマパーク　その他</t>
    <rPh sb="14" eb="15">
      <t>タ</t>
    </rPh>
    <phoneticPr fontId="4"/>
  </si>
  <si>
    <t>テーマパーク　遊園地</t>
    <phoneticPr fontId="4"/>
  </si>
  <si>
    <t>USJ</t>
    <phoneticPr fontId="4"/>
  </si>
  <si>
    <t>00000087</t>
  </si>
  <si>
    <t>レジャー　リゾートスパ・スーパー銭湯</t>
  </si>
  <si>
    <t>リゾートスパ・サウナ・スーパー銭湯</t>
  </si>
  <si>
    <t>×</t>
  </si>
  <si>
    <t>00000091</t>
  </si>
  <si>
    <t>レジャー　パチンコ・パチスロ</t>
  </si>
  <si>
    <t>パチンコ・パチスロ</t>
  </si>
  <si>
    <t>00000092</t>
  </si>
  <si>
    <t>レジャー　ゲームセンター</t>
  </si>
  <si>
    <t>ゲームセンター</t>
    <phoneticPr fontId="4"/>
  </si>
  <si>
    <t>00000093</t>
  </si>
  <si>
    <t>レジャー　カラオケボックス</t>
  </si>
  <si>
    <t>カラオケボックス</t>
  </si>
  <si>
    <t>00000094</t>
  </si>
  <si>
    <t>レジャー　まんが喫茶・インターネットカフェ</t>
  </si>
  <si>
    <t>まんが喫茶・インターネットカフェ</t>
  </si>
  <si>
    <t>00000095</t>
  </si>
  <si>
    <t>レジャー　ダーツバー・その他遊技場　</t>
    <phoneticPr fontId="4"/>
  </si>
  <si>
    <t>ダーツバー・射的場・囲碁・将棋センター　マージャン荘</t>
    <phoneticPr fontId="4"/>
  </si>
  <si>
    <t>00000096</t>
  </si>
  <si>
    <t>レジャー　競輪場・競馬場・オートレース・競艇</t>
    <phoneticPr fontId="4"/>
  </si>
  <si>
    <t>競輪場　競馬場　場外馬券販売　オートレース・競艇</t>
    <phoneticPr fontId="4"/>
  </si>
  <si>
    <t>00000100</t>
  </si>
  <si>
    <t>レジャー　スキー場</t>
    <phoneticPr fontId="4"/>
  </si>
  <si>
    <t>スキー場</t>
    <phoneticPr fontId="4"/>
  </si>
  <si>
    <t>00000102</t>
  </si>
  <si>
    <t>レジャー　ゴルフ場</t>
  </si>
  <si>
    <t>ゴルフ場</t>
  </si>
  <si>
    <t>ゴルフカントリー</t>
    <phoneticPr fontId="4"/>
  </si>
  <si>
    <t>00000103</t>
  </si>
  <si>
    <t>レジャー　スポーツ施設（テニスコート　体育館など）</t>
    <rPh sb="19" eb="21">
      <t>タイイク</t>
    </rPh>
    <rPh sb="21" eb="22">
      <t>ヤカタ</t>
    </rPh>
    <phoneticPr fontId="4"/>
  </si>
  <si>
    <t>バレーボール・卓球場・スケートリンク・サッカー場・プール・公営野球場・フィールドアスレチック場　テニスコート・ゴルフ練習場（打ちっぱなし）</t>
    <rPh sb="58" eb="61">
      <t>レンシュウジョウ</t>
    </rPh>
    <rPh sb="62" eb="63">
      <t>ウ</t>
    </rPh>
    <phoneticPr fontId="4"/>
  </si>
  <si>
    <t>00000104</t>
    <phoneticPr fontId="4"/>
  </si>
  <si>
    <t>レジャー　ボウリング場　ビリヤード・バッティングセンター</t>
    <rPh sb="10" eb="11">
      <t>ジョウ</t>
    </rPh>
    <phoneticPr fontId="4"/>
  </si>
  <si>
    <t>00000108</t>
  </si>
  <si>
    <t>レジャー　ディスコ・クラブ・ダンスホール</t>
  </si>
  <si>
    <t>ダンスホール・クラブ・ディスコ</t>
  </si>
  <si>
    <t>フィットネスジム・アスレチッククラブ　各種スポーツスクール（スイミング・テニス・ゴルフ・エアロビクス・体操・柔道・剣道・ダイビング・サーフィン・ヨガ　ダンス）　乗馬クラブ</t>
    <rPh sb="19" eb="21">
      <t>カクシュ</t>
    </rPh>
    <rPh sb="51" eb="53">
      <t>タイソウ</t>
    </rPh>
    <rPh sb="54" eb="56">
      <t>ジュウドウ</t>
    </rPh>
    <rPh sb="57" eb="59">
      <t>ケンドウ</t>
    </rPh>
    <phoneticPr fontId="4"/>
  </si>
  <si>
    <t>00000115</t>
  </si>
  <si>
    <t xml:space="preserve">レジャー　ホテル・旅館・ カプセルホテル </t>
    <rPh sb="9" eb="11">
      <t>リョカン</t>
    </rPh>
    <phoneticPr fontId="4"/>
  </si>
  <si>
    <t>ホテル・観光ホテル・温泉旅館・民宿・ビジネスホテル</t>
    <phoneticPr fontId="4"/>
  </si>
  <si>
    <t>全日空ホテル ・ 東急イン ・ プリンスホテル</t>
    <rPh sb="0" eb="3">
      <t>ゼンニックウ</t>
    </rPh>
    <rPh sb="9" eb="11">
      <t>トウキュウ</t>
    </rPh>
    <phoneticPr fontId="4"/>
  </si>
  <si>
    <t>00000117</t>
  </si>
  <si>
    <t>レジャー　ラブホテル</t>
    <phoneticPr fontId="4"/>
  </si>
  <si>
    <t>ラブホテル</t>
    <phoneticPr fontId="4"/>
  </si>
  <si>
    <t>00000120</t>
  </si>
  <si>
    <t>レジャー　博物館・美術館・プラネタリウム・郷土資料館</t>
    <phoneticPr fontId="4"/>
  </si>
  <si>
    <t>天文博物館・貿易博物館・美術館・宝物館・歴史民族資料館</t>
    <phoneticPr fontId="4"/>
  </si>
  <si>
    <t>00000121</t>
  </si>
  <si>
    <t>レジャー　動物園・水族館・植物園</t>
  </si>
  <si>
    <t>動物園・植物園・水族館</t>
    <phoneticPr fontId="4"/>
  </si>
  <si>
    <t>00000122</t>
  </si>
  <si>
    <t>レジャー　旅行代理店・観光ガイド・ホテルツアーデスク</t>
    <rPh sb="11" eb="12">
      <t>カン</t>
    </rPh>
    <rPh sb="12" eb="13">
      <t>ヒカリ</t>
    </rPh>
    <phoneticPr fontId="4"/>
  </si>
  <si>
    <t>旅行代理店　ホテルツアーデスク</t>
    <phoneticPr fontId="4"/>
  </si>
  <si>
    <t>JTB、HIS,</t>
  </si>
  <si>
    <t>00000125</t>
  </si>
  <si>
    <t>レジャー　サービスエリア</t>
    <phoneticPr fontId="4"/>
  </si>
  <si>
    <t>SAなどの飲食物販･お土産屋・ドライブイン</t>
    <rPh sb="5" eb="7">
      <t>インショク</t>
    </rPh>
    <rPh sb="7" eb="9">
      <t>ブッパン</t>
    </rPh>
    <rPh sb="11" eb="13">
      <t>ミヤゲ</t>
    </rPh>
    <rPh sb="13" eb="14">
      <t>ヤ</t>
    </rPh>
    <phoneticPr fontId="4"/>
  </si>
  <si>
    <t>西日本高速道路</t>
    <rPh sb="0" eb="1">
      <t>ニシ</t>
    </rPh>
    <rPh sb="1" eb="3">
      <t>ニホン</t>
    </rPh>
    <rPh sb="3" eb="5">
      <t>コウソク</t>
    </rPh>
    <rPh sb="5" eb="7">
      <t>ドウロ</t>
    </rPh>
    <phoneticPr fontId="4"/>
  </si>
  <si>
    <t>00000126</t>
  </si>
  <si>
    <t>レジャー　お土産屋・観光</t>
    <rPh sb="10" eb="12">
      <t>カンコウ</t>
    </rPh>
    <phoneticPr fontId="4"/>
  </si>
  <si>
    <t>空港内・駅内･ホテルなどの土産物屋　</t>
    <rPh sb="13" eb="17">
      <t>ミヤゲモノヤ</t>
    </rPh>
    <phoneticPr fontId="4"/>
  </si>
  <si>
    <t>かに市場など</t>
  </si>
  <si>
    <t>00000200</t>
  </si>
  <si>
    <t>レジャー　観光名所　</t>
    <rPh sb="5" eb="7">
      <t>カンコウ</t>
    </rPh>
    <rPh sb="7" eb="9">
      <t>メイショ</t>
    </rPh>
    <phoneticPr fontId="4"/>
  </si>
  <si>
    <t>観光果樹園、果実狩り　遊覧船　川くだり　ロープウェイ</t>
    <rPh sb="6" eb="8">
      <t>カジツ</t>
    </rPh>
    <rPh sb="11" eb="14">
      <t>ユウランセン</t>
    </rPh>
    <rPh sb="15" eb="16">
      <t>カワ</t>
    </rPh>
    <phoneticPr fontId="4"/>
  </si>
  <si>
    <t>00000129</t>
  </si>
  <si>
    <t>サービス　美容院　床屋・理容院　</t>
    <phoneticPr fontId="4"/>
  </si>
  <si>
    <t>美容院　床屋・理容院　</t>
    <rPh sb="0" eb="3">
      <t>ビヨウイン</t>
    </rPh>
    <rPh sb="4" eb="6">
      <t>トコヤ</t>
    </rPh>
    <rPh sb="7" eb="9">
      <t>リヨウ</t>
    </rPh>
    <rPh sb="9" eb="10">
      <t>イン</t>
    </rPh>
    <phoneticPr fontId="4"/>
  </si>
  <si>
    <t>00000130</t>
  </si>
  <si>
    <t>サービス　エステティックサロン・ネイルサロン</t>
    <phoneticPr fontId="4"/>
  </si>
  <si>
    <t>エステティックサロン　ネイルサロン</t>
    <phoneticPr fontId="4"/>
  </si>
  <si>
    <t>00000132</t>
  </si>
  <si>
    <t>サービス　リラクゼーションマッサージ</t>
  </si>
  <si>
    <t>マッサージ業（リラクゼーションマッサージ）</t>
  </si>
  <si>
    <t>てもみん・QUEEN'S WAY</t>
  </si>
  <si>
    <t>00000133</t>
  </si>
  <si>
    <t>サービス　自動車・バイク・２輪車販売店</t>
    <rPh sb="18" eb="19">
      <t>テン</t>
    </rPh>
    <phoneticPr fontId="4"/>
  </si>
  <si>
    <t>自動車販売　バイク・２輪車販売</t>
    <phoneticPr fontId="4"/>
  </si>
  <si>
    <t>00000135</t>
  </si>
  <si>
    <t>サービス　自動車部品・カーアクセサリー</t>
    <phoneticPr fontId="4"/>
  </si>
  <si>
    <t>自動車部品･タイヤ・カーアクセサリー カーメンテナンス等</t>
    <rPh sb="27" eb="28">
      <t>ナド</t>
    </rPh>
    <phoneticPr fontId="4"/>
  </si>
  <si>
    <t>オートバックス、イエローハット、タイヤ館など</t>
  </si>
  <si>
    <t>00000137</t>
  </si>
  <si>
    <t>サービス　ガソリンスタンド</t>
  </si>
  <si>
    <t>ガソリンスタンド</t>
  </si>
  <si>
    <t>00000138</t>
  </si>
  <si>
    <t>サービス　駐車場　</t>
  </si>
  <si>
    <t>駐車場　公営駐車場 コインパーキング</t>
    <rPh sb="4" eb="6">
      <t>コウエイ</t>
    </rPh>
    <rPh sb="6" eb="8">
      <t>チュウシャ</t>
    </rPh>
    <rPh sb="8" eb="9">
      <t>ジョウ</t>
    </rPh>
    <phoneticPr fontId="4"/>
  </si>
  <si>
    <t>パーク24　リパークなど</t>
    <phoneticPr fontId="4"/>
  </si>
  <si>
    <t>00000139</t>
  </si>
  <si>
    <t>サービス　レンタカー</t>
  </si>
  <si>
    <t>レンタカー</t>
  </si>
  <si>
    <t>00000141</t>
  </si>
  <si>
    <t>サービス　自動車教習所</t>
  </si>
  <si>
    <t>自動車教習所</t>
  </si>
  <si>
    <t>00000142</t>
  </si>
  <si>
    <t>総合病院・大学病院</t>
  </si>
  <si>
    <t>00000145</t>
  </si>
  <si>
    <t>サービス　病院・診療所（入院施設なし）【職域以外はここ】</t>
    <phoneticPr fontId="4"/>
  </si>
  <si>
    <t>歯科　耳鼻科　眼科</t>
    <rPh sb="0" eb="2">
      <t>シカ</t>
    </rPh>
    <rPh sb="3" eb="6">
      <t>ジビカ</t>
    </rPh>
    <rPh sb="7" eb="9">
      <t>ガンカ</t>
    </rPh>
    <phoneticPr fontId="4"/>
  </si>
  <si>
    <t>00000148</t>
  </si>
  <si>
    <t>サービス　医療マッサージ（あん摩・マッサージ）・
針灸・指圧・整体</t>
  </si>
  <si>
    <t>あん摩・医療マッサージ・指圧・整体</t>
    <phoneticPr fontId="4"/>
  </si>
  <si>
    <t>00000150</t>
  </si>
  <si>
    <t>サービス　その他　医療サービス</t>
    <rPh sb="9" eb="11">
      <t>イリョウ</t>
    </rPh>
    <phoneticPr fontId="4"/>
  </si>
  <si>
    <t>温泉療法、催眠療法、視力回復センター</t>
  </si>
  <si>
    <t>00000152</t>
  </si>
  <si>
    <t>サービス　宅急便　バイク便・赤帽</t>
    <phoneticPr fontId="4"/>
  </si>
  <si>
    <t>宅急便　バイク便・赤帽</t>
    <phoneticPr fontId="4"/>
  </si>
  <si>
    <t>00000155</t>
  </si>
  <si>
    <t>サービス　レンタルＣＤ/ＤＶＤ/ビデオ・その他レンタル業</t>
    <phoneticPr fontId="4"/>
  </si>
  <si>
    <t>レンタルＣＤ・レンタルビデオ・レンタルＤＶＤ</t>
  </si>
  <si>
    <t>00000158</t>
  </si>
  <si>
    <t>サービス　ビジネスフォーム印刷</t>
  </si>
  <si>
    <t>00000159</t>
  </si>
  <si>
    <t>サービス　DPE　写真館 ビジネスフォーム印刷</t>
    <rPh sb="9" eb="12">
      <t>シャシンカン</t>
    </rPh>
    <phoneticPr fontId="4"/>
  </si>
  <si>
    <t>DPE・写真修整　写真館・ビジネスフォーム印刷</t>
    <rPh sb="9" eb="12">
      <t>シャシンカン</t>
    </rPh>
    <phoneticPr fontId="4"/>
  </si>
  <si>
    <t>00000160</t>
  </si>
  <si>
    <t>サービス　クリーニング店　コインランドリー</t>
    <phoneticPr fontId="4"/>
  </si>
  <si>
    <t>クリーニング屋・ランドリー屋</t>
  </si>
  <si>
    <t>00000166</t>
  </si>
  <si>
    <t>サービス　荷物預り・コインロッカー　トランクルーム</t>
    <phoneticPr fontId="4"/>
  </si>
  <si>
    <t>コインロッカー　トランクルーム</t>
    <phoneticPr fontId="4"/>
  </si>
  <si>
    <t>00000168</t>
  </si>
  <si>
    <t>サービス　服飾小物修理・仕立て直し</t>
    <rPh sb="5" eb="7">
      <t>フクショク</t>
    </rPh>
    <rPh sb="7" eb="9">
      <t>コモノ</t>
    </rPh>
    <phoneticPr fontId="4"/>
  </si>
  <si>
    <t>染み抜き・染め直し　衣服修理・仕立て直し・かけはぎ　靴修理</t>
    <rPh sb="10" eb="12">
      <t>イフク</t>
    </rPh>
    <rPh sb="12" eb="14">
      <t>シュウリ</t>
    </rPh>
    <rPh sb="15" eb="17">
      <t>シタ</t>
    </rPh>
    <rPh sb="18" eb="19">
      <t>ナオ</t>
    </rPh>
    <rPh sb="26" eb="27">
      <t>クツ</t>
    </rPh>
    <rPh sb="27" eb="29">
      <t>シュウリ</t>
    </rPh>
    <phoneticPr fontId="4"/>
  </si>
  <si>
    <t>MISTER MINTなど</t>
    <phoneticPr fontId="4"/>
  </si>
  <si>
    <t>00000170</t>
  </si>
  <si>
    <t>サービス　銭湯・サウナ　</t>
    <phoneticPr fontId="4"/>
  </si>
  <si>
    <t>銭湯 サウナ</t>
    <phoneticPr fontId="4"/>
  </si>
  <si>
    <t>00000171</t>
  </si>
  <si>
    <t>サービス　ケータイショップ</t>
    <phoneticPr fontId="4"/>
  </si>
  <si>
    <t>ケータイショップ</t>
    <phoneticPr fontId="4"/>
  </si>
  <si>
    <t>00000173</t>
  </si>
  <si>
    <t>サービス　その他サービス（ペットサロン・易所など）</t>
    <phoneticPr fontId="4"/>
  </si>
  <si>
    <t>占い・易断・靴磨き・ペットサロン</t>
    <phoneticPr fontId="4"/>
  </si>
  <si>
    <t>00000174</t>
  </si>
  <si>
    <t>必要</t>
    <rPh sb="0" eb="2">
      <t>ヒツヨウ</t>
    </rPh>
    <phoneticPr fontId="4"/>
  </si>
  <si>
    <t>サービス　学習塾・予備校</t>
    <phoneticPr fontId="4"/>
  </si>
  <si>
    <t>学習塾・進学塾・予備校（各種学校でないもの）</t>
    <phoneticPr fontId="4"/>
  </si>
  <si>
    <t>00000179</t>
  </si>
  <si>
    <t>サービス　鉄道</t>
    <rPh sb="5" eb="7">
      <t>テツドウ</t>
    </rPh>
    <phoneticPr fontId="4"/>
  </si>
  <si>
    <t>鉄道</t>
    <rPh sb="0" eb="2">
      <t>テツドウ</t>
    </rPh>
    <phoneticPr fontId="4"/>
  </si>
  <si>
    <t>00000180</t>
    <phoneticPr fontId="4"/>
  </si>
  <si>
    <t>サービス　カルチャースクール・習い事</t>
    <rPh sb="15" eb="16">
      <t>ナラ</t>
    </rPh>
    <rPh sb="17" eb="18">
      <t>ゴト</t>
    </rPh>
    <phoneticPr fontId="4"/>
  </si>
  <si>
    <t>着付・料理・フラワーアレンジ・工芸教室（陶芸・彫金）・書道・華道 
外国語教室・英会話教室</t>
    <rPh sb="3" eb="5">
      <t>リョウリ</t>
    </rPh>
    <rPh sb="27" eb="29">
      <t>ショドウ</t>
    </rPh>
    <rPh sb="30" eb="32">
      <t>カドウ</t>
    </rPh>
    <phoneticPr fontId="4"/>
  </si>
  <si>
    <t>00000181</t>
  </si>
  <si>
    <t>サービス　乗合バス</t>
  </si>
  <si>
    <t>乗合バス</t>
  </si>
  <si>
    <t>00000182</t>
  </si>
  <si>
    <t>サービス　タクシー・ハイヤー</t>
  </si>
  <si>
    <t>タクシー・ハイヤー</t>
  </si>
  <si>
    <t>00000183</t>
  </si>
  <si>
    <t>職域　食堂</t>
  </si>
  <si>
    <t>職域食堂</t>
  </si>
  <si>
    <t>00000184</t>
  </si>
  <si>
    <t>職域　売店</t>
  </si>
  <si>
    <t>職域売店</t>
  </si>
  <si>
    <t>00000185</t>
  </si>
  <si>
    <t>職域　自動販売機</t>
  </si>
  <si>
    <t>職域自動販売機</t>
  </si>
  <si>
    <t>00000186</t>
  </si>
  <si>
    <t>職域　その他</t>
  </si>
  <si>
    <t>職域その他</t>
  </si>
  <si>
    <t>職員用フィットネス・稽古事・クラブ活動など</t>
  </si>
  <si>
    <t>00000187</t>
  </si>
  <si>
    <t>学校　食堂</t>
  </si>
  <si>
    <t>学校内食堂</t>
  </si>
  <si>
    <t>00000188</t>
  </si>
  <si>
    <t>学校　売店</t>
  </si>
  <si>
    <t>学校内売店</t>
  </si>
  <si>
    <t>00000189</t>
  </si>
  <si>
    <t>学校　自動販売機</t>
  </si>
  <si>
    <t>学校内自動販売機</t>
  </si>
  <si>
    <t>00000190</t>
  </si>
  <si>
    <t>学校　その他</t>
  </si>
  <si>
    <t>学校内その他</t>
  </si>
  <si>
    <t>00000191</t>
  </si>
  <si>
    <t>病院　食堂</t>
  </si>
  <si>
    <t>病院内食堂</t>
  </si>
  <si>
    <t>00000192</t>
  </si>
  <si>
    <t>病院　売店</t>
  </si>
  <si>
    <t>病院内売店</t>
  </si>
  <si>
    <t>00000193</t>
  </si>
  <si>
    <t>病院　自動販売機</t>
  </si>
  <si>
    <t>病院内自動販売機</t>
  </si>
  <si>
    <t>00000194</t>
  </si>
  <si>
    <t>病院　その他</t>
  </si>
  <si>
    <t>病院内その他</t>
  </si>
  <si>
    <t>00000195</t>
  </si>
  <si>
    <t>その他閉鎖商圏　食堂</t>
  </si>
  <si>
    <t>食堂</t>
  </si>
  <si>
    <t>00000196</t>
  </si>
  <si>
    <t>その他閉鎖商圏　売店</t>
  </si>
  <si>
    <t>売店</t>
  </si>
  <si>
    <t>00000197</t>
  </si>
  <si>
    <t>その他閉鎖商圏　自動販売機</t>
  </si>
  <si>
    <t>自動販売機</t>
  </si>
  <si>
    <t>GCOの自販機など</t>
  </si>
  <si>
    <t>00000198</t>
  </si>
  <si>
    <t>その他閉鎖商圏　その他</t>
  </si>
  <si>
    <t>その他</t>
  </si>
  <si>
    <t>00000203</t>
  </si>
  <si>
    <t>閉鎖商圏　イベント　１</t>
  </si>
  <si>
    <t>イベント　１</t>
  </si>
  <si>
    <t>ICCW / CTEC / アミューズメントマシンショー等／札幌地下街　予備機など</t>
    <rPh sb="30" eb="32">
      <t>サッポロ</t>
    </rPh>
    <rPh sb="32" eb="35">
      <t>チカガイ</t>
    </rPh>
    <rPh sb="36" eb="38">
      <t>ヨビ</t>
    </rPh>
    <rPh sb="38" eb="39">
      <t>キ</t>
    </rPh>
    <phoneticPr fontId="4"/>
  </si>
  <si>
    <t>00000204</t>
  </si>
  <si>
    <t>Cyber加盟店物販</t>
  </si>
  <si>
    <t>ｻｲﾊﾞｰ加盟店　ﾓｰﾙ</t>
  </si>
  <si>
    <t>トイザらス・どっと・コム等</t>
  </si>
  <si>
    <t>00000205</t>
  </si>
  <si>
    <t>Cyber加盟店 Mobile　物販</t>
  </si>
  <si>
    <t>ｻｲﾊﾞｰ加盟店　携帯ｻｲﾄ</t>
  </si>
  <si>
    <t>ﾄﾞｰｶﾞ(ﾃﾞｼﾞﾀﾙｺﾝﾃﾝﾂ）等</t>
  </si>
  <si>
    <t>00000206</t>
  </si>
  <si>
    <t>Cyber加盟店 その他　物販</t>
  </si>
  <si>
    <t>00000207</t>
  </si>
  <si>
    <t>Cyber加盟店 デジタル</t>
  </si>
  <si>
    <t>00000208</t>
  </si>
  <si>
    <t>Cyber加盟店 Mobile　デジタル</t>
  </si>
  <si>
    <t>00000209</t>
  </si>
  <si>
    <t>Cyber加盟店 その他　デジタル</t>
  </si>
  <si>
    <t>00000210</t>
  </si>
  <si>
    <t>Cyber加盟店 アダルト</t>
  </si>
  <si>
    <t>00000211</t>
  </si>
  <si>
    <t>Cyber加盟店 Mobile　アダルト</t>
  </si>
  <si>
    <t>00000212</t>
  </si>
  <si>
    <t>Cyber加盟店 その他　アダルト</t>
  </si>
  <si>
    <t>ダミー</t>
    <phoneticPr fontId="4"/>
  </si>
  <si>
    <t>加盟店審査チェックシート</t>
    <rPh sb="0" eb="2">
      <t>カメイ</t>
    </rPh>
    <rPh sb="2" eb="3">
      <t>テン</t>
    </rPh>
    <rPh sb="3" eb="5">
      <t>シンサ</t>
    </rPh>
    <phoneticPr fontId="4"/>
  </si>
  <si>
    <t>業種ID</t>
    <rPh sb="0" eb="2">
      <t>ギョウシュ</t>
    </rPh>
    <phoneticPr fontId="4"/>
  </si>
  <si>
    <t>業種</t>
    <rPh sb="0" eb="2">
      <t>ギョウシュ</t>
    </rPh>
    <phoneticPr fontId="4"/>
  </si>
  <si>
    <t>提出日</t>
    <rPh sb="0" eb="2">
      <t>テイシュツ</t>
    </rPh>
    <rPh sb="2" eb="3">
      <t>ビ</t>
    </rPh>
    <phoneticPr fontId="4"/>
  </si>
  <si>
    <t>①資金決済法上、問題がある為に取り扱わないもの</t>
    <rPh sb="6" eb="7">
      <t>ジョウ</t>
    </rPh>
    <phoneticPr fontId="4"/>
  </si>
  <si>
    <t>　(1)- 資金移動業に該当するおそれがある商品・ｻｰﾋﾞｽ　（Edyで支払い不可であれば「はい」に該当）</t>
    <rPh sb="10" eb="11">
      <t>ギョウ</t>
    </rPh>
    <rPh sb="36" eb="38">
      <t>シハラ</t>
    </rPh>
    <rPh sb="39" eb="41">
      <t>フカ</t>
    </rPh>
    <rPh sb="50" eb="52">
      <t>ガイトウ</t>
    </rPh>
    <phoneticPr fontId="78"/>
  </si>
  <si>
    <t>　　   ex)払戻しする金券類の取扱、釣銭が出る金券＝換金性があるもの</t>
  </si>
  <si>
    <t>チェック項目</t>
    <rPh sb="4" eb="6">
      <t>コウモク</t>
    </rPh>
    <phoneticPr fontId="4"/>
  </si>
  <si>
    <t>確認内容</t>
    <rPh sb="0" eb="2">
      <t>カクニン</t>
    </rPh>
    <rPh sb="2" eb="4">
      <t>ナイヨウ</t>
    </rPh>
    <phoneticPr fontId="4"/>
  </si>
  <si>
    <t>確認結果</t>
    <rPh sb="0" eb="2">
      <t>カクニン</t>
    </rPh>
    <rPh sb="2" eb="4">
      <t>ケッカ</t>
    </rPh>
    <phoneticPr fontId="4"/>
  </si>
  <si>
    <t>Edyの買取を行っていない
（Edyの買い取り業者ではない）</t>
  </si>
  <si>
    <t>「Edyの買取」を行っている事業者ではない</t>
  </si>
  <si>
    <t>（公的に）換金可能な商品をEdyで販売していない</t>
  </si>
  <si>
    <t>換金可能な商品（払戻しできる金券、釣銭が出る金券）をEdyで販売していない
　例）交通系プリペイドカード</t>
  </si>
  <si>
    <t>　(2)- 公序良俗に反する商品・サービス　（Edyで支払えないとしても、その店舗で取り扱っているだけで「いいえ」に該当）</t>
    <rPh sb="27" eb="29">
      <t>シハラ</t>
    </rPh>
    <rPh sb="39" eb="41">
      <t>テンポ</t>
    </rPh>
    <rPh sb="42" eb="43">
      <t>ト</t>
    </rPh>
    <rPh sb="44" eb="45">
      <t>アツカ</t>
    </rPh>
    <rPh sb="58" eb="60">
      <t>ガイトウ</t>
    </rPh>
    <phoneticPr fontId="4"/>
  </si>
  <si>
    <t>武器取引関連</t>
    <rPh sb="0" eb="2">
      <t>ブキ</t>
    </rPh>
    <rPh sb="2" eb="4">
      <t>トリヒキ</t>
    </rPh>
    <rPh sb="4" eb="6">
      <t>カンレン</t>
    </rPh>
    <phoneticPr fontId="4"/>
  </si>
  <si>
    <t>人を殺傷することを目的として製作されたものの販売及び制作方法の掲載をしていない</t>
    <rPh sb="0" eb="1">
      <t>ヒト</t>
    </rPh>
    <rPh sb="2" eb="4">
      <t>サッショウ</t>
    </rPh>
    <rPh sb="9" eb="11">
      <t>モクテキ</t>
    </rPh>
    <rPh sb="14" eb="16">
      <t>セイサク</t>
    </rPh>
    <rPh sb="22" eb="24">
      <t>ハンバイ</t>
    </rPh>
    <rPh sb="24" eb="25">
      <t>オヨ</t>
    </rPh>
    <rPh sb="26" eb="28">
      <t>セイサク</t>
    </rPh>
    <rPh sb="28" eb="30">
      <t>ホウホウ</t>
    </rPh>
    <rPh sb="31" eb="33">
      <t>ケイサイ</t>
    </rPh>
    <phoneticPr fontId="4"/>
  </si>
  <si>
    <t>薬物取引関連</t>
    <rPh sb="0" eb="2">
      <t>ヤクブツ</t>
    </rPh>
    <rPh sb="2" eb="4">
      <t>トリヒキ</t>
    </rPh>
    <rPh sb="4" eb="6">
      <t>カンレン</t>
    </rPh>
    <phoneticPr fontId="4"/>
  </si>
  <si>
    <t>・規制薬物及び脱法ドラッグ等の販売をしていない
・規制薬物入手法等の掲示をしていない</t>
    <rPh sb="1" eb="3">
      <t>キセイ</t>
    </rPh>
    <rPh sb="3" eb="5">
      <t>ヤクブツ</t>
    </rPh>
    <rPh sb="5" eb="6">
      <t>オヨ</t>
    </rPh>
    <rPh sb="7" eb="9">
      <t>ダッポウ</t>
    </rPh>
    <rPh sb="13" eb="14">
      <t>トウ</t>
    </rPh>
    <rPh sb="15" eb="17">
      <t>ハンバイ</t>
    </rPh>
    <rPh sb="25" eb="27">
      <t>キセイ</t>
    </rPh>
    <rPh sb="27" eb="29">
      <t>ヤクブツ</t>
    </rPh>
    <rPh sb="29" eb="31">
      <t>ニュウシュ</t>
    </rPh>
    <rPh sb="31" eb="32">
      <t>ホウ</t>
    </rPh>
    <rPh sb="32" eb="33">
      <t>トウ</t>
    </rPh>
    <rPh sb="34" eb="36">
      <t>ケイジ</t>
    </rPh>
    <phoneticPr fontId="4"/>
  </si>
  <si>
    <t>ギャンブル関連</t>
    <rPh sb="5" eb="7">
      <t>カンレン</t>
    </rPh>
    <phoneticPr fontId="4"/>
  </si>
  <si>
    <t>ギャンブルの掛け金に関する決済でない
（公営ギャンブルは除く）</t>
    <rPh sb="6" eb="7">
      <t>カ</t>
    </rPh>
    <rPh sb="8" eb="9">
      <t>キン</t>
    </rPh>
    <rPh sb="10" eb="11">
      <t>カン</t>
    </rPh>
    <rPh sb="13" eb="15">
      <t>ケッサイ</t>
    </rPh>
    <rPh sb="20" eb="22">
      <t>コウエイ</t>
    </rPh>
    <rPh sb="28" eb="29">
      <t>ノゾ</t>
    </rPh>
    <phoneticPr fontId="4"/>
  </si>
  <si>
    <t>わいせつ画像関連</t>
    <rPh sb="4" eb="6">
      <t>ガゾウ</t>
    </rPh>
    <rPh sb="6" eb="8">
      <t>カンレン</t>
    </rPh>
    <phoneticPr fontId="4"/>
  </si>
  <si>
    <t>無修正画像・映像等の提供でない</t>
    <rPh sb="0" eb="3">
      <t>ムシュウセイ</t>
    </rPh>
    <rPh sb="3" eb="5">
      <t>ガゾウ</t>
    </rPh>
    <rPh sb="6" eb="8">
      <t>エイゾウ</t>
    </rPh>
    <rPh sb="8" eb="9">
      <t>トウ</t>
    </rPh>
    <rPh sb="10" eb="12">
      <t>テイキョウ</t>
    </rPh>
    <phoneticPr fontId="4"/>
  </si>
  <si>
    <t>過激な画像関連</t>
    <rPh sb="0" eb="2">
      <t>カゲキ</t>
    </rPh>
    <rPh sb="3" eb="5">
      <t>ガゾウ</t>
    </rPh>
    <rPh sb="5" eb="7">
      <t>カンレン</t>
    </rPh>
    <phoneticPr fontId="4"/>
  </si>
  <si>
    <t>猟奇的・残虐的な画像・映像等の掲載をしていない</t>
    <rPh sb="0" eb="3">
      <t>リョウキテキ</t>
    </rPh>
    <rPh sb="4" eb="6">
      <t>ザンギャク</t>
    </rPh>
    <rPh sb="6" eb="7">
      <t>テキ</t>
    </rPh>
    <rPh sb="8" eb="10">
      <t>ガゾウ</t>
    </rPh>
    <rPh sb="11" eb="13">
      <t>エイゾウ</t>
    </rPh>
    <rPh sb="13" eb="14">
      <t>トウ</t>
    </rPh>
    <rPh sb="15" eb="17">
      <t>ケイサイ</t>
    </rPh>
    <phoneticPr fontId="4"/>
  </si>
  <si>
    <t>法令違反行為の推奨・助長</t>
    <rPh sb="0" eb="2">
      <t>ホウレイ</t>
    </rPh>
    <rPh sb="2" eb="4">
      <t>イハン</t>
    </rPh>
    <rPh sb="4" eb="6">
      <t>コウイ</t>
    </rPh>
    <rPh sb="7" eb="9">
      <t>スイショウ</t>
    </rPh>
    <rPh sb="10" eb="12">
      <t>ジョチョウ</t>
    </rPh>
    <phoneticPr fontId="4"/>
  </si>
  <si>
    <t>違法性の高い裏情報、違法物の制作方法の掲載をしていない</t>
    <rPh sb="0" eb="3">
      <t>イホウセイ</t>
    </rPh>
    <rPh sb="4" eb="5">
      <t>タカ</t>
    </rPh>
    <rPh sb="6" eb="7">
      <t>ウラ</t>
    </rPh>
    <rPh sb="7" eb="9">
      <t>ジョウホウ</t>
    </rPh>
    <rPh sb="10" eb="12">
      <t>イホウ</t>
    </rPh>
    <rPh sb="12" eb="13">
      <t>ブツ</t>
    </rPh>
    <rPh sb="14" eb="16">
      <t>セイサク</t>
    </rPh>
    <rPh sb="16" eb="18">
      <t>ホウホウ</t>
    </rPh>
    <rPh sb="19" eb="21">
      <t>ケイサイ</t>
    </rPh>
    <phoneticPr fontId="4"/>
  </si>
  <si>
    <t>児童ポルノ画像関連</t>
    <rPh sb="0" eb="2">
      <t>ジドウ</t>
    </rPh>
    <rPh sb="5" eb="7">
      <t>ガゾウ</t>
    </rPh>
    <rPh sb="7" eb="9">
      <t>カンレン</t>
    </rPh>
    <phoneticPr fontId="4"/>
  </si>
  <si>
    <t>18歳未満と推測されるモデルを性的な対象とした画像等の掲載をしていない</t>
    <rPh sb="2" eb="3">
      <t>サイ</t>
    </rPh>
    <rPh sb="3" eb="5">
      <t>ミマン</t>
    </rPh>
    <rPh sb="6" eb="8">
      <t>スイソク</t>
    </rPh>
    <rPh sb="15" eb="17">
      <t>セイテキ</t>
    </rPh>
    <rPh sb="18" eb="20">
      <t>タイショウ</t>
    </rPh>
    <rPh sb="23" eb="25">
      <t>ガゾウ</t>
    </rPh>
    <rPh sb="25" eb="26">
      <t>トウ</t>
    </rPh>
    <rPh sb="27" eb="29">
      <t>ケイサイ</t>
    </rPh>
    <phoneticPr fontId="4"/>
  </si>
  <si>
    <t>悪質商法</t>
    <rPh sb="0" eb="2">
      <t>アクシツ</t>
    </rPh>
    <rPh sb="2" eb="4">
      <t>ショウホウ</t>
    </rPh>
    <phoneticPr fontId="4"/>
  </si>
  <si>
    <t>悪質なオークション商法・訪問買取商法・霊感商法・ネズミ講・違法なマルチ商法等をしていない</t>
    <rPh sb="27" eb="28">
      <t>コウ</t>
    </rPh>
    <rPh sb="29" eb="31">
      <t>イホウ</t>
    </rPh>
    <rPh sb="35" eb="37">
      <t>ショウホウ</t>
    </rPh>
    <rPh sb="37" eb="38">
      <t>トウ</t>
    </rPh>
    <phoneticPr fontId="4"/>
  </si>
  <si>
    <t>詐欺的なサクラサイト商法</t>
    <phoneticPr fontId="4"/>
  </si>
  <si>
    <t>「サクラ」が、異性、タレント、社長、弁護士、占い師などになりすまし、消費者の気持ちを利用し、サイト誘導の上有料サービスを利用・継続させる商法をしていない</t>
  </si>
  <si>
    <t>出会い系関連</t>
    <rPh sb="0" eb="2">
      <t>デア</t>
    </rPh>
    <rPh sb="3" eb="4">
      <t>ケイ</t>
    </rPh>
    <rPh sb="4" eb="6">
      <t>カンレン</t>
    </rPh>
    <phoneticPr fontId="4"/>
  </si>
  <si>
    <t>・サイトに児童買春を推奨・公定するような表現がない
・サイト利用者が児童でないことを確認する事項がある（年齢認証・18歳未満利用禁止等）
・公的な届け出を行っている、サイト上で掲示されている</t>
  </si>
  <si>
    <t>知財関連</t>
    <rPh sb="0" eb="1">
      <t>チ</t>
    </rPh>
    <rPh sb="1" eb="2">
      <t>ザイ</t>
    </rPh>
    <rPh sb="2" eb="4">
      <t>カンレン</t>
    </rPh>
    <phoneticPr fontId="4"/>
  </si>
  <si>
    <t>・商標・デザイン・マークなどを盗用した違法商品の販売をしていない
・他人のコンテンツ（ホームページや写真、記事等）を無断で掲載していない</t>
    <rPh sb="1" eb="3">
      <t>ショウヒョウ</t>
    </rPh>
    <rPh sb="15" eb="17">
      <t>トウヨウ</t>
    </rPh>
    <rPh sb="19" eb="21">
      <t>イホウ</t>
    </rPh>
    <rPh sb="21" eb="23">
      <t>ショウヒン</t>
    </rPh>
    <rPh sb="24" eb="26">
      <t>ハンバイ</t>
    </rPh>
    <rPh sb="34" eb="36">
      <t>タニン</t>
    </rPh>
    <rPh sb="50" eb="52">
      <t>シャシン</t>
    </rPh>
    <rPh sb="53" eb="55">
      <t>キジ</t>
    </rPh>
    <rPh sb="55" eb="56">
      <t>トウ</t>
    </rPh>
    <rPh sb="58" eb="60">
      <t>ムダン</t>
    </rPh>
    <rPh sb="61" eb="63">
      <t>ケイサイ</t>
    </rPh>
    <phoneticPr fontId="4"/>
  </si>
  <si>
    <t>名誉毀損、信用毀損</t>
    <rPh sb="0" eb="2">
      <t>メイヨ</t>
    </rPh>
    <rPh sb="2" eb="4">
      <t>キソン</t>
    </rPh>
    <rPh sb="5" eb="7">
      <t>シンヨウ</t>
    </rPh>
    <rPh sb="7" eb="9">
      <t>キソン</t>
    </rPh>
    <phoneticPr fontId="4"/>
  </si>
  <si>
    <t>個人・法人問わず誹謗中傷する情報を載せていない</t>
    <rPh sb="0" eb="2">
      <t>コジン</t>
    </rPh>
    <rPh sb="3" eb="5">
      <t>ホウジン</t>
    </rPh>
    <rPh sb="5" eb="6">
      <t>ト</t>
    </rPh>
    <rPh sb="8" eb="10">
      <t>ヒボウ</t>
    </rPh>
    <rPh sb="10" eb="12">
      <t>チュウショウ</t>
    </rPh>
    <rPh sb="14" eb="16">
      <t>ジョウホウ</t>
    </rPh>
    <rPh sb="17" eb="18">
      <t>ノ</t>
    </rPh>
    <phoneticPr fontId="4"/>
  </si>
  <si>
    <t>肖像権、プライバシー権、パブリシティー権</t>
    <rPh sb="0" eb="2">
      <t>ショウゾウ</t>
    </rPh>
    <rPh sb="2" eb="3">
      <t>ケン</t>
    </rPh>
    <rPh sb="10" eb="11">
      <t>ケン</t>
    </rPh>
    <rPh sb="19" eb="20">
      <t>ケン</t>
    </rPh>
    <phoneticPr fontId="4"/>
  </si>
  <si>
    <t>・私人の個人情報の無断掲載をしていない
・著名人の写真の無断掲載及びコラージュ画像等の掲載をしていない
・盗撮画像・映像等の掲載をしていない</t>
    <rPh sb="1" eb="3">
      <t>シジン</t>
    </rPh>
    <rPh sb="4" eb="6">
      <t>コジン</t>
    </rPh>
    <rPh sb="6" eb="8">
      <t>ジョウホウ</t>
    </rPh>
    <rPh sb="9" eb="11">
      <t>ムダン</t>
    </rPh>
    <rPh sb="11" eb="13">
      <t>ケイサイ</t>
    </rPh>
    <rPh sb="21" eb="23">
      <t>チョメイ</t>
    </rPh>
    <rPh sb="23" eb="24">
      <t>ジン</t>
    </rPh>
    <rPh sb="25" eb="27">
      <t>シャシン</t>
    </rPh>
    <rPh sb="28" eb="30">
      <t>ムダン</t>
    </rPh>
    <rPh sb="30" eb="32">
      <t>ケイサイ</t>
    </rPh>
    <rPh sb="32" eb="33">
      <t>オヨ</t>
    </rPh>
    <rPh sb="39" eb="41">
      <t>ガゾウ</t>
    </rPh>
    <rPh sb="41" eb="42">
      <t>トウ</t>
    </rPh>
    <rPh sb="43" eb="45">
      <t>ケイサイ</t>
    </rPh>
    <rPh sb="53" eb="55">
      <t>トウサツ</t>
    </rPh>
    <rPh sb="55" eb="57">
      <t>ガゾウ</t>
    </rPh>
    <rPh sb="58" eb="60">
      <t>エイゾウ</t>
    </rPh>
    <rPh sb="60" eb="61">
      <t>トウ</t>
    </rPh>
    <rPh sb="62" eb="64">
      <t>ケイサイ</t>
    </rPh>
    <phoneticPr fontId="4"/>
  </si>
  <si>
    <r>
      <t>②楽天Edyとして</t>
    </r>
    <r>
      <rPr>
        <sz val="10"/>
        <rFont val="ＭＳ Ｐゴシック"/>
        <family val="3"/>
        <charset val="128"/>
      </rPr>
      <t>、取り扱わないと決めているもの</t>
    </r>
    <rPh sb="1" eb="3">
      <t>ラクテン</t>
    </rPh>
    <phoneticPr fontId="4"/>
  </si>
  <si>
    <t>　(1)- 楽天Edyとして取り扱いを禁止している商品・サービス</t>
    <rPh sb="6" eb="8">
      <t>ラクテン</t>
    </rPh>
    <rPh sb="14" eb="15">
      <t>ト</t>
    </rPh>
    <rPh sb="16" eb="17">
      <t>アツカ</t>
    </rPh>
    <rPh sb="19" eb="21">
      <t>キンシ</t>
    </rPh>
    <phoneticPr fontId="4"/>
  </si>
  <si>
    <t>換金を目的として販売される金券類を、Edyで販売していない</t>
  </si>
  <si>
    <t>換金を目的としてギフトカード、商品券、プリペイドカード、印紙・切手などの商品をEdyで販売していない</t>
    <rPh sb="0" eb="2">
      <t>カンキン</t>
    </rPh>
    <rPh sb="3" eb="5">
      <t>モクテキ</t>
    </rPh>
    <rPh sb="36" eb="38">
      <t>ショウヒン</t>
    </rPh>
    <rPh sb="43" eb="45">
      <t>ハンバイ</t>
    </rPh>
    <phoneticPr fontId="4"/>
  </si>
  <si>
    <t>RMT（リアルマネートレード/リアルマネートレーディング）を行っていない</t>
    <rPh sb="30" eb="31">
      <t>オコナ</t>
    </rPh>
    <phoneticPr fontId="4"/>
  </si>
  <si>
    <t>オンラインゲームやソーシャル内でのキャラクター・アイテム・仮想通貨などを売買を行っていない</t>
    <rPh sb="39" eb="40">
      <t>オコナ</t>
    </rPh>
    <phoneticPr fontId="4"/>
  </si>
  <si>
    <t>特定継続的役務関連商品をEdyで販売していない</t>
    <rPh sb="0" eb="2">
      <t>トクテイ</t>
    </rPh>
    <rPh sb="2" eb="5">
      <t>ケイゾクテキ</t>
    </rPh>
    <rPh sb="5" eb="7">
      <t>エキム</t>
    </rPh>
    <rPh sb="7" eb="9">
      <t>カンレン</t>
    </rPh>
    <rPh sb="9" eb="11">
      <t>ショウヒン</t>
    </rPh>
    <rPh sb="16" eb="18">
      <t>ハンバイ</t>
    </rPh>
    <phoneticPr fontId="4"/>
  </si>
  <si>
    <t>エステティック　１か月を超えて5万円を超える支払に該当しない</t>
    <rPh sb="10" eb="11">
      <t>ゲツ</t>
    </rPh>
    <rPh sb="12" eb="13">
      <t>コ</t>
    </rPh>
    <rPh sb="16" eb="18">
      <t>マンエン</t>
    </rPh>
    <rPh sb="19" eb="20">
      <t>コ</t>
    </rPh>
    <rPh sb="22" eb="24">
      <t>シハライ</t>
    </rPh>
    <rPh sb="25" eb="27">
      <t>ガイトウ</t>
    </rPh>
    <phoneticPr fontId="4"/>
  </si>
  <si>
    <t>語学教育　２か月を超えて5万円を超える支払に該当しない</t>
    <rPh sb="0" eb="2">
      <t>ゴガク</t>
    </rPh>
    <rPh sb="2" eb="4">
      <t>キョウイク</t>
    </rPh>
    <phoneticPr fontId="4"/>
  </si>
  <si>
    <t>学習塾　２か月を超えて5万円を超える支払に該当しない</t>
    <rPh sb="0" eb="3">
      <t>ガクシュウジュク</t>
    </rPh>
    <phoneticPr fontId="4"/>
  </si>
  <si>
    <t>家庭教師　２か月を超えて5万円を超える支払に該当しない</t>
    <rPh sb="0" eb="2">
      <t>カテイ</t>
    </rPh>
    <rPh sb="2" eb="4">
      <t>キョウシ</t>
    </rPh>
    <phoneticPr fontId="4"/>
  </si>
  <si>
    <t>パソコン教室　２か月を超えて5万円を超える支払に該当しない</t>
    <rPh sb="4" eb="6">
      <t>キョウシツ</t>
    </rPh>
    <phoneticPr fontId="4"/>
  </si>
  <si>
    <t>結婚情報提供　２か月を超えて5万円を超える支払に該当しない</t>
    <rPh sb="0" eb="2">
      <t>ケッコン</t>
    </rPh>
    <rPh sb="2" eb="4">
      <t>ジョウホウ</t>
    </rPh>
    <rPh sb="4" eb="6">
      <t>テイキョウ</t>
    </rPh>
    <phoneticPr fontId="4"/>
  </si>
  <si>
    <t>その他サービスにおいて２か月を超えて5万円を超える支払に該当しない</t>
    <rPh sb="2" eb="3">
      <t>タ</t>
    </rPh>
    <phoneticPr fontId="4"/>
  </si>
  <si>
    <t>備考欄</t>
    <rPh sb="0" eb="2">
      <t>ビコウ</t>
    </rPh>
    <rPh sb="2" eb="3">
      <t>ラン</t>
    </rPh>
    <phoneticPr fontId="4"/>
  </si>
  <si>
    <t>2016/5/31版</t>
    <rPh sb="9" eb="10">
      <t>ハン</t>
    </rPh>
    <phoneticPr fontId="4"/>
  </si>
  <si>
    <t>00000019</t>
    <phoneticPr fontId="4"/>
  </si>
  <si>
    <t>デニーズ・ジョナサン（各種料理取り揃えているお店）
藍屋→和食・バーミヤン→中華・サイゼリア→イタリアン</t>
    <phoneticPr fontId="4"/>
  </si>
  <si>
    <t>○</t>
    <phoneticPr fontId="3"/>
  </si>
  <si>
    <t xml:space="preserve">大戸屋など </t>
    <phoneticPr fontId="4"/>
  </si>
  <si>
    <t>00000017</t>
    <phoneticPr fontId="3"/>
  </si>
  <si>
    <t>チェックシート</t>
    <phoneticPr fontId="4"/>
  </si>
  <si>
    <t>業種</t>
    <phoneticPr fontId="3"/>
  </si>
  <si>
    <t>該当する業種を
ご選択ください</t>
    <rPh sb="0" eb="2">
      <t>ガイトウ</t>
    </rPh>
    <rPh sb="4" eb="6">
      <t>ギョウシュ</t>
    </rPh>
    <rPh sb="9" eb="11">
      <t>センタク</t>
    </rPh>
    <phoneticPr fontId="3"/>
  </si>
  <si>
    <t>ご選択された業種</t>
    <rPh sb="1" eb="3">
      <t>センタク</t>
    </rPh>
    <rPh sb="6" eb="8">
      <t>ギョウシュ</t>
    </rPh>
    <phoneticPr fontId="3"/>
  </si>
  <si>
    <t>【楽天Edy用】業種シート</t>
    <phoneticPr fontId="3"/>
  </si>
  <si>
    <t>非表示</t>
    <rPh sb="0" eb="3">
      <t>ヒヒョウジ</t>
    </rPh>
    <phoneticPr fontId="3"/>
  </si>
  <si>
    <t>○</t>
    <phoneticPr fontId="3"/>
  </si>
  <si>
    <t>00000112</t>
    <phoneticPr fontId="3"/>
  </si>
  <si>
    <t>必要</t>
    <phoneticPr fontId="4"/>
  </si>
  <si>
    <t>選択してください</t>
  </si>
  <si>
    <t>非表示</t>
    <rPh sb="0" eb="3">
      <t>ヒヒョウジ</t>
    </rPh>
    <phoneticPr fontId="3"/>
  </si>
  <si>
    <t>申請者（部署・氏名）</t>
    <rPh sb="0" eb="3">
      <t>シンセイシャ</t>
    </rPh>
    <rPh sb="4" eb="6">
      <t>ブショ</t>
    </rPh>
    <rPh sb="7" eb="9">
      <t>シメイ</t>
    </rPh>
    <phoneticPr fontId="4"/>
  </si>
  <si>
    <t>VEGA3000専用　POS連動ケーブル（3m）</t>
    <phoneticPr fontId="3"/>
  </si>
  <si>
    <t>10701</t>
    <phoneticPr fontId="3"/>
  </si>
  <si>
    <t>10702</t>
    <phoneticPr fontId="3"/>
  </si>
  <si>
    <t>10801</t>
    <phoneticPr fontId="3"/>
  </si>
  <si>
    <t>10802</t>
    <phoneticPr fontId="3"/>
  </si>
  <si>
    <t>【台数】VEGA3000：V3C Touch</t>
  </si>
  <si>
    <t>【台数】VEGA3000：V3C Touch　LTE</t>
  </si>
  <si>
    <t>【台数】VEGA3000：V3M Touch</t>
  </si>
  <si>
    <t>【台数】VEGA3000：V3P Touch</t>
  </si>
  <si>
    <t>数字2桁</t>
    <phoneticPr fontId="3"/>
  </si>
  <si>
    <t>業種区分</t>
    <phoneticPr fontId="3"/>
  </si>
  <si>
    <t>地区コード</t>
    <phoneticPr fontId="3"/>
  </si>
  <si>
    <t>1：物販、2：飲食、3：宿泊、4：旅行、5：その他</t>
    <phoneticPr fontId="3"/>
  </si>
  <si>
    <t>POS連動申込有無</t>
    <phoneticPr fontId="3"/>
  </si>
  <si>
    <t>SIM申込有無</t>
    <phoneticPr fontId="3"/>
  </si>
  <si>
    <t>POS連動ケーブル（1m）</t>
    <phoneticPr fontId="3"/>
  </si>
  <si>
    <t>POS連動ケーブル（3m）</t>
    <phoneticPr fontId="3"/>
  </si>
  <si>
    <t>シガーアダプター</t>
    <phoneticPr fontId="3"/>
  </si>
  <si>
    <t>交通系電子マネー</t>
    <phoneticPr fontId="3"/>
  </si>
  <si>
    <t>1:包括、2:直接、3:交通系電子マネー西武鉄道</t>
    <phoneticPr fontId="3"/>
  </si>
  <si>
    <t>精算先コード</t>
    <phoneticPr fontId="3"/>
  </si>
  <si>
    <t>申込経路</t>
    <phoneticPr fontId="3"/>
  </si>
  <si>
    <t>楽天Edy電子マネー</t>
    <phoneticPr fontId="3"/>
  </si>
  <si>
    <t>業種ID</t>
    <phoneticPr fontId="3"/>
  </si>
  <si>
    <t>都道府県コード</t>
    <phoneticPr fontId="3"/>
  </si>
  <si>
    <t>法人ID</t>
    <phoneticPr fontId="3"/>
  </si>
  <si>
    <t>支払先ID</t>
    <phoneticPr fontId="3"/>
  </si>
  <si>
    <t>手数料ID</t>
    <phoneticPr fontId="3"/>
  </si>
  <si>
    <t>加盟店ストラクチャID</t>
    <phoneticPr fontId="3"/>
  </si>
  <si>
    <t>交通系電子マネー</t>
    <phoneticPr fontId="3"/>
  </si>
  <si>
    <t>テキスト全角20文字</t>
    <phoneticPr fontId="3"/>
  </si>
  <si>
    <t>数字8桁</t>
    <phoneticPr fontId="3"/>
  </si>
  <si>
    <t>3：宿泊</t>
    <phoneticPr fontId="3"/>
  </si>
  <si>
    <t>1：物販</t>
    <phoneticPr fontId="3"/>
  </si>
  <si>
    <t>4：旅行</t>
    <phoneticPr fontId="3"/>
  </si>
  <si>
    <t>5：その他</t>
    <phoneticPr fontId="3"/>
  </si>
  <si>
    <t>5：その他</t>
    <phoneticPr fontId="3"/>
  </si>
  <si>
    <t>5：その他</t>
    <phoneticPr fontId="3"/>
  </si>
  <si>
    <t>5：その他</t>
    <phoneticPr fontId="3"/>
  </si>
  <si>
    <t>5：その他</t>
    <phoneticPr fontId="3"/>
  </si>
  <si>
    <t>2YS</t>
  </si>
  <si>
    <t>2YT</t>
  </si>
  <si>
    <t>2YU</t>
  </si>
  <si>
    <t>2YV</t>
  </si>
  <si>
    <t>2YW</t>
  </si>
  <si>
    <t>2YX</t>
  </si>
  <si>
    <t>2YY</t>
  </si>
  <si>
    <t>2Z1</t>
  </si>
  <si>
    <t>2Z3</t>
  </si>
  <si>
    <t>302</t>
  </si>
  <si>
    <t>303</t>
  </si>
  <si>
    <t>304</t>
  </si>
  <si>
    <t>305</t>
  </si>
  <si>
    <t>306</t>
  </si>
  <si>
    <t>307</t>
  </si>
  <si>
    <t>交通系IC</t>
    <rPh sb="0" eb="2">
      <t>コウツウ</t>
    </rPh>
    <rPh sb="2" eb="3">
      <t>ケイ</t>
    </rPh>
    <phoneticPr fontId="3"/>
  </si>
  <si>
    <t>↓業種区分（読み替え）</t>
    <rPh sb="6" eb="7">
      <t>ヨ</t>
    </rPh>
    <rPh sb="8" eb="9">
      <t>カ</t>
    </rPh>
    <phoneticPr fontId="3"/>
  </si>
  <si>
    <t>↓トドウフケンカナ</t>
    <phoneticPr fontId="3"/>
  </si>
  <si>
    <t>POS連動申込</t>
    <rPh sb="3" eb="5">
      <t>レンドウ</t>
    </rPh>
    <rPh sb="5" eb="7">
      <t>モウシコミ</t>
    </rPh>
    <phoneticPr fontId="3"/>
  </si>
  <si>
    <t>SIM申込</t>
    <rPh sb="3" eb="5">
      <t>モウシコミ</t>
    </rPh>
    <phoneticPr fontId="3"/>
  </si>
  <si>
    <t>レジャー　フィットネスクラブ・スポーツスクール</t>
    <phoneticPr fontId="4"/>
  </si>
  <si>
    <t xml:space="preserve"> </t>
    <phoneticPr fontId="3"/>
  </si>
  <si>
    <t>営業記載用（保護なし、書式設定なし）</t>
    <rPh sb="0" eb="2">
      <t>エイギョウ</t>
    </rPh>
    <rPh sb="2" eb="4">
      <t>キサイ</t>
    </rPh>
    <rPh sb="4" eb="5">
      <t>ヨウ</t>
    </rPh>
    <rPh sb="6" eb="8">
      <t>ホゴ</t>
    </rPh>
    <rPh sb="11" eb="13">
      <t>ショシキ</t>
    </rPh>
    <rPh sb="13" eb="15">
      <t>セッテイ</t>
    </rPh>
    <phoneticPr fontId="3"/>
  </si>
  <si>
    <t>通信会社：</t>
    <rPh sb="0" eb="2">
      <t>ツウシン</t>
    </rPh>
    <rPh sb="2" eb="4">
      <t>カイシャ</t>
    </rPh>
    <phoneticPr fontId="3"/>
  </si>
  <si>
    <t>docomo</t>
  </si>
  <si>
    <t>交通系電子マネー</t>
  </si>
  <si>
    <t>楽天Edy電子マネー</t>
  </si>
  <si>
    <t>107001</t>
  </si>
  <si>
    <t>108001</t>
  </si>
  <si>
    <t>10801</t>
    <phoneticPr fontId="3"/>
  </si>
  <si>
    <t>5566</t>
    <phoneticPr fontId="3"/>
  </si>
  <si>
    <t>港</t>
    <rPh sb="0" eb="1">
      <t>ミナト</t>
    </rPh>
    <phoneticPr fontId="3"/>
  </si>
  <si>
    <t>東</t>
    <rPh sb="0" eb="1">
      <t>ヒガシ</t>
    </rPh>
    <phoneticPr fontId="3"/>
  </si>
  <si>
    <t>サービス　一般病院（入院施設有り）</t>
    <phoneticPr fontId="4"/>
  </si>
  <si>
    <t>申込年月日から2ヵ月以降の日付をご記入ください。お申し込み状況によってはご希望に沿えない場合がございます。</t>
    <phoneticPr fontId="3"/>
  </si>
  <si>
    <t>0：無　、1：有</t>
    <phoneticPr fontId="3"/>
  </si>
  <si>
    <t>端末決済利用料</t>
    <rPh sb="0" eb="2">
      <t>タンマツ</t>
    </rPh>
    <rPh sb="2" eb="4">
      <t>ケッサイ</t>
    </rPh>
    <rPh sb="4" eb="7">
      <t>リヨウリョウ</t>
    </rPh>
    <phoneticPr fontId="4"/>
  </si>
  <si>
    <t>iD</t>
    <phoneticPr fontId="3"/>
  </si>
  <si>
    <t>WAON</t>
  </si>
  <si>
    <t>WAON</t>
    <phoneticPr fontId="3"/>
  </si>
  <si>
    <t>nanaco</t>
  </si>
  <si>
    <t>nanaco</t>
    <phoneticPr fontId="3"/>
  </si>
  <si>
    <t>iD</t>
  </si>
  <si>
    <t>10901</t>
  </si>
  <si>
    <t>10902</t>
  </si>
  <si>
    <t>11001</t>
  </si>
  <si>
    <t>11002</t>
  </si>
  <si>
    <t>11101</t>
  </si>
  <si>
    <t>11102</t>
  </si>
  <si>
    <t>2YZ</t>
  </si>
  <si>
    <t>10602</t>
  </si>
  <si>
    <t>QUICPay取次希望</t>
  </si>
  <si>
    <t>SMCC（nanaco）</t>
  </si>
  <si>
    <t>nanacoセブンG識別</t>
  </si>
  <si>
    <t>0:ｾﾌﾞﾝG以外、1:ｾﾌﾞﾝG店舗</t>
    <phoneticPr fontId="3"/>
  </si>
  <si>
    <t>332</t>
  </si>
  <si>
    <t>109001</t>
  </si>
  <si>
    <t>110001</t>
  </si>
  <si>
    <t>111001</t>
  </si>
  <si>
    <t>01：標準Ⅰ</t>
    <rPh sb="3" eb="5">
      <t>ヒョウジュン</t>
    </rPh>
    <phoneticPr fontId="3"/>
  </si>
  <si>
    <t>02：標準Ⅱ</t>
    <rPh sb="3" eb="5">
      <t>ヒョウジュン</t>
    </rPh>
    <phoneticPr fontId="3"/>
  </si>
  <si>
    <t>03：大規模物販Ⅰ</t>
    <rPh sb="3" eb="6">
      <t>ダイキボ</t>
    </rPh>
    <rPh sb="6" eb="8">
      <t>ブッパン</t>
    </rPh>
    <phoneticPr fontId="3"/>
  </si>
  <si>
    <t>04：大規模物販Ⅱ</t>
    <rPh sb="3" eb="6">
      <t>ダイキボ</t>
    </rPh>
    <rPh sb="6" eb="8">
      <t>ブッパン</t>
    </rPh>
    <phoneticPr fontId="3"/>
  </si>
  <si>
    <t>05：飲食チェーンⅠ</t>
    <rPh sb="3" eb="5">
      <t>インショク</t>
    </rPh>
    <phoneticPr fontId="3"/>
  </si>
  <si>
    <t>06：飲食チェーンⅡ</t>
    <rPh sb="3" eb="5">
      <t>インショク</t>
    </rPh>
    <phoneticPr fontId="3"/>
  </si>
  <si>
    <t>07：飲食チェーンⅢ</t>
    <rPh sb="3" eb="5">
      <t>インショク</t>
    </rPh>
    <phoneticPr fontId="3"/>
  </si>
  <si>
    <t>08：ホテルⅠ</t>
    <phoneticPr fontId="3"/>
  </si>
  <si>
    <t>09：ホテルⅡ</t>
    <phoneticPr fontId="3"/>
  </si>
  <si>
    <t>10：テーマパークⅠ</t>
    <phoneticPr fontId="3"/>
  </si>
  <si>
    <t>11：屋内遊戯施設Ⅰ</t>
    <rPh sb="3" eb="5">
      <t>オクナイ</t>
    </rPh>
    <rPh sb="5" eb="7">
      <t>ユウギ</t>
    </rPh>
    <rPh sb="7" eb="9">
      <t>シセツ</t>
    </rPh>
    <phoneticPr fontId="3"/>
  </si>
  <si>
    <t>12：屋内遊戯施設Ⅱ</t>
    <rPh sb="3" eb="5">
      <t>オクナイ</t>
    </rPh>
    <rPh sb="5" eb="7">
      <t>ユウギ</t>
    </rPh>
    <rPh sb="7" eb="9">
      <t>シセツ</t>
    </rPh>
    <phoneticPr fontId="3"/>
  </si>
  <si>
    <t>13：自動販売機Ⅰ</t>
    <rPh sb="3" eb="5">
      <t>ジドウ</t>
    </rPh>
    <rPh sb="5" eb="8">
      <t>ハンバイキ</t>
    </rPh>
    <phoneticPr fontId="3"/>
  </si>
  <si>
    <t>14：自動販売機Ⅱ</t>
    <rPh sb="3" eb="5">
      <t>ジドウ</t>
    </rPh>
    <rPh sb="5" eb="8">
      <t>ハンバイキ</t>
    </rPh>
    <phoneticPr fontId="3"/>
  </si>
  <si>
    <t>15：自動販売機Ⅲ</t>
    <rPh sb="3" eb="5">
      <t>ジドウ</t>
    </rPh>
    <rPh sb="5" eb="8">
      <t>ハンバイキ</t>
    </rPh>
    <phoneticPr fontId="3"/>
  </si>
  <si>
    <t>16：駐車場・ロッカー</t>
    <rPh sb="3" eb="6">
      <t>チュウシャジョウ</t>
    </rPh>
    <phoneticPr fontId="3"/>
  </si>
  <si>
    <t>17：タクシーⅠ</t>
    <phoneticPr fontId="3"/>
  </si>
  <si>
    <t>18：タクシーⅡ</t>
    <phoneticPr fontId="3"/>
  </si>
  <si>
    <t>19：タクシーⅢ</t>
    <phoneticPr fontId="3"/>
  </si>
  <si>
    <t>20：旅行代理店</t>
    <rPh sb="3" eb="5">
      <t>リョコウ</t>
    </rPh>
    <rPh sb="5" eb="7">
      <t>ダイリ</t>
    </rPh>
    <rPh sb="7" eb="8">
      <t>テン</t>
    </rPh>
    <phoneticPr fontId="3"/>
  </si>
  <si>
    <t>21：航空会社</t>
    <rPh sb="3" eb="5">
      <t>コウクウ</t>
    </rPh>
    <rPh sb="5" eb="7">
      <t>カイシャ</t>
    </rPh>
    <phoneticPr fontId="3"/>
  </si>
  <si>
    <t>22：バス・船舶</t>
    <rPh sb="6" eb="8">
      <t>センパク</t>
    </rPh>
    <phoneticPr fontId="3"/>
  </si>
  <si>
    <t>23：チケット販売</t>
    <rPh sb="7" eb="9">
      <t>ハンバイ</t>
    </rPh>
    <phoneticPr fontId="3"/>
  </si>
  <si>
    <t>●iD業種</t>
    <rPh sb="3" eb="5">
      <t>ギョウシュ</t>
    </rPh>
    <phoneticPr fontId="3"/>
  </si>
  <si>
    <r>
      <t>お客さまの情報は、個人情報として責任をもって管理し、お申し込みのサービスの提供（契約の履行・連絡・請求等を含む）および加盟店規約に定める目的以外には使用いたしません。また、お申し込みにあたっては、以下のページに公開しておりますSBPS「プライバシーポリシー」および「個人情報の取り扱いについて」をご確認くださいますようお願いいたします。
　○プライバシーポリシー https://www.sbpayment.co.jp/ja/privacy/policy/index.html　
　○個人</t>
    </r>
    <r>
      <rPr>
        <sz val="12"/>
        <color theme="1"/>
        <rFont val="Meiryo UI"/>
        <family val="3"/>
        <charset val="128"/>
      </rPr>
      <t>情報の取り扱いに</t>
    </r>
    <r>
      <rPr>
        <sz val="12"/>
        <rFont val="Meiryo UI"/>
        <family val="3"/>
        <charset val="128"/>
      </rPr>
      <t>ついて https://www.sbpayment.co.jp/ja/privacy/handling/index.html</t>
    </r>
    <rPh sb="9" eb="11">
      <t>コジン</t>
    </rPh>
    <rPh sb="65" eb="66">
      <t>サダ</t>
    </rPh>
    <rPh sb="87" eb="88">
      <t>モウ</t>
    </rPh>
    <rPh sb="89" eb="90">
      <t>コ</t>
    </rPh>
    <phoneticPr fontId="4"/>
  </si>
  <si>
    <t>　</t>
    <phoneticPr fontId="3"/>
  </si>
  <si>
    <t>東京</t>
    <rPh sb="0" eb="2">
      <t>トウキョウ</t>
    </rPh>
    <phoneticPr fontId="3"/>
  </si>
  <si>
    <t>太郎</t>
    <rPh sb="0" eb="2">
      <t>タロウ</t>
    </rPh>
    <phoneticPr fontId="3"/>
  </si>
  <si>
    <t>001065</t>
    <phoneticPr fontId="3"/>
  </si>
  <si>
    <t>一部決済NG時申込</t>
    <phoneticPr fontId="3"/>
  </si>
  <si>
    <t>0：希望しない　1：希望する</t>
    <phoneticPr fontId="3"/>
  </si>
  <si>
    <t>End</t>
  </si>
  <si>
    <t>←中華系有無(記入シート2)</t>
    <rPh sb="1" eb="3">
      <t>チュウカ</t>
    </rPh>
    <rPh sb="3" eb="4">
      <t>ケイ</t>
    </rPh>
    <rPh sb="4" eb="6">
      <t>ウム</t>
    </rPh>
    <rPh sb="7" eb="9">
      <t>キニュウ</t>
    </rPh>
    <phoneticPr fontId="3"/>
  </si>
  <si>
    <t>フリガナ</t>
    <phoneticPr fontId="4"/>
  </si>
  <si>
    <t>〶</t>
    <phoneticPr fontId="4"/>
  </si>
  <si>
    <t>-</t>
    <phoneticPr fontId="4"/>
  </si>
  <si>
    <t>ヨコハマシ</t>
    <phoneticPr fontId="3"/>
  </si>
  <si>
    <t>店舗名</t>
    <rPh sb="0" eb="2">
      <t>テンポ</t>
    </rPh>
    <rPh sb="2" eb="3">
      <t>メイ</t>
    </rPh>
    <phoneticPr fontId="4"/>
  </si>
  <si>
    <t>店舗名 アルファベット表記</t>
    <rPh sb="0" eb="2">
      <t>テンポ</t>
    </rPh>
    <rPh sb="2" eb="3">
      <t>メイ</t>
    </rPh>
    <rPh sb="11" eb="13">
      <t>ヒョウキ</t>
    </rPh>
    <phoneticPr fontId="4"/>
  </si>
  <si>
    <t>所在地
(中国語表記)</t>
    <rPh sb="5" eb="8">
      <t>チュウゴクゴ</t>
    </rPh>
    <rPh sb="8" eb="10">
      <t>ヒョウキ</t>
    </rPh>
    <phoneticPr fontId="3"/>
  </si>
  <si>
    <t>02：催事販売</t>
  </si>
  <si>
    <t>03：訪問販売</t>
  </si>
  <si>
    <t>04：移動販売（タクシー含）</t>
  </si>
  <si>
    <t>05：電話勧誘販売</t>
  </si>
  <si>
    <t>06：連鎖販売</t>
  </si>
  <si>
    <t>07：その他（右欄にテキストでご記入ください）</t>
  </si>
  <si>
    <t>●クレジット用販売形態</t>
    <rPh sb="6" eb="7">
      <t>ヨウ</t>
    </rPh>
    <rPh sb="7" eb="11">
      <t>ハンバイケイタイ</t>
    </rPh>
    <phoneticPr fontId="3"/>
  </si>
  <si>
    <t>01</t>
    <phoneticPr fontId="3"/>
  </si>
  <si>
    <t>05：その他（右欄にテキストでご記入ください）</t>
  </si>
  <si>
    <t>●PayPay用販売形態</t>
    <rPh sb="7" eb="8">
      <t>ヨウ</t>
    </rPh>
    <rPh sb="8" eb="10">
      <t>ハンバイ</t>
    </rPh>
    <rPh sb="10" eb="12">
      <t>ケイタイ</t>
    </rPh>
    <phoneticPr fontId="3"/>
  </si>
  <si>
    <t>01：店舗・宅配</t>
  </si>
  <si>
    <t>02：屋台・機内・社内・移動販売</t>
  </si>
  <si>
    <t>04：電話勧誘販売</t>
  </si>
  <si>
    <t>05：連鎖販売</t>
  </si>
  <si>
    <t>初期費用
(非課税)</t>
  </si>
  <si>
    <t>月額固定費
(非課税)</t>
  </si>
  <si>
    <t>手数料
(非課税)</t>
  </si>
  <si>
    <t>決済サービス
利用料(非課税)</t>
  </si>
  <si>
    <t>トランザクション費
(非課税)</t>
  </si>
  <si>
    <t>SBPS使用欄</t>
    <phoneticPr fontId="3"/>
  </si>
  <si>
    <t>初期費用
(税抜)</t>
    <rPh sb="6" eb="8">
      <t>ゼイヌキ</t>
    </rPh>
    <phoneticPr fontId="3"/>
  </si>
  <si>
    <t>月額固定費
(税抜)</t>
    <rPh sb="7" eb="9">
      <t>ゼイヌキ</t>
    </rPh>
    <phoneticPr fontId="3"/>
  </si>
  <si>
    <t>手数料
(税抜)</t>
    <rPh sb="5" eb="7">
      <t>ゼイヌキ</t>
    </rPh>
    <phoneticPr fontId="3"/>
  </si>
  <si>
    <t>決済サービス
利用料(税抜)</t>
    <rPh sb="11" eb="13">
      <t>ゼイヌキ</t>
    </rPh>
    <phoneticPr fontId="3"/>
  </si>
  <si>
    <t>トランザクション費
(税抜)</t>
    <rPh sb="11" eb="13">
      <t>ゼイヌキ</t>
    </rPh>
    <phoneticPr fontId="3"/>
  </si>
  <si>
    <t>銀聯</t>
    <rPh sb="0" eb="2">
      <t>ギンレン</t>
    </rPh>
    <phoneticPr fontId="3"/>
  </si>
  <si>
    <t>申込</t>
    <phoneticPr fontId="4"/>
  </si>
  <si>
    <t>入金経路</t>
    <phoneticPr fontId="4"/>
  </si>
  <si>
    <t>SBPS使用欄</t>
    <phoneticPr fontId="3"/>
  </si>
  <si>
    <t>←中華系有無</t>
    <rPh sb="1" eb="3">
      <t>チュウカ</t>
    </rPh>
    <rPh sb="3" eb="4">
      <t>ケイ</t>
    </rPh>
    <rPh sb="4" eb="6">
      <t>ウム</t>
    </rPh>
    <phoneticPr fontId="3"/>
  </si>
  <si>
    <t>93201</t>
  </si>
  <si>
    <t>WeChat Pay</t>
    <phoneticPr fontId="3"/>
  </si>
  <si>
    <t>93101</t>
  </si>
  <si>
    <t>～</t>
    <phoneticPr fontId="3"/>
  </si>
  <si>
    <t>00000</t>
  </si>
  <si>
    <t>～</t>
    <phoneticPr fontId="3"/>
  </si>
  <si>
    <t>←国内系有無</t>
    <rPh sb="1" eb="3">
      <t>コクナイ</t>
    </rPh>
    <rPh sb="3" eb="4">
      <t>ケイ</t>
    </rPh>
    <rPh sb="4" eb="6">
      <t>ウム</t>
    </rPh>
    <phoneticPr fontId="3"/>
  </si>
  <si>
    <t>PayPay</t>
    <phoneticPr fontId="3"/>
  </si>
  <si>
    <t>お取り扱い商品</t>
    <rPh sb="1" eb="2">
      <t>ト</t>
    </rPh>
    <rPh sb="3" eb="4">
      <t>アツカ</t>
    </rPh>
    <rPh sb="5" eb="7">
      <t>ショウヒン</t>
    </rPh>
    <phoneticPr fontId="3"/>
  </si>
  <si>
    <t>商品1</t>
    <rPh sb="0" eb="2">
      <t>ショウヒン</t>
    </rPh>
    <phoneticPr fontId="3"/>
  </si>
  <si>
    <t>0000:選択してください</t>
    <rPh sb="5" eb="7">
      <t>センタク</t>
    </rPh>
    <phoneticPr fontId="3"/>
  </si>
  <si>
    <t>商品2</t>
    <rPh sb="0" eb="2">
      <t>ショウヒン</t>
    </rPh>
    <phoneticPr fontId="3"/>
  </si>
  <si>
    <t>表示しない</t>
    <rPh sb="0" eb="2">
      <t>ヒョウジ</t>
    </rPh>
    <phoneticPr fontId="3"/>
  </si>
  <si>
    <t>←PayPay判定</t>
    <rPh sb="7" eb="9">
      <t>ハンテイ</t>
    </rPh>
    <phoneticPr fontId="3"/>
  </si>
  <si>
    <t>←判定</t>
    <rPh sb="1" eb="3">
      <t>ハンテイ</t>
    </rPh>
    <phoneticPr fontId="3"/>
  </si>
  <si>
    <t>●PayPay取扱商品</t>
    <rPh sb="7" eb="9">
      <t>トリアツカイ</t>
    </rPh>
    <rPh sb="9" eb="11">
      <t>ショウヒン</t>
    </rPh>
    <phoneticPr fontId="3"/>
  </si>
  <si>
    <t>交通</t>
    <phoneticPr fontId="3"/>
  </si>
  <si>
    <t>選択してください</t>
    <phoneticPr fontId="3"/>
  </si>
  <si>
    <t>●入金経路</t>
    <rPh sb="1" eb="3">
      <t>ニュウキン</t>
    </rPh>
    <rPh sb="3" eb="5">
      <t>ケイロ</t>
    </rPh>
    <phoneticPr fontId="3"/>
  </si>
  <si>
    <t>決済機関直接</t>
  </si>
  <si>
    <t>SMCC（iD）</t>
  </si>
  <si>
    <t>iD業種</t>
    <rPh sb="2" eb="4">
      <t>ギョウシュ</t>
    </rPh>
    <phoneticPr fontId="2"/>
  </si>
  <si>
    <t>314</t>
  </si>
  <si>
    <t>申込区分</t>
    <phoneticPr fontId="3"/>
  </si>
  <si>
    <t>規約同意</t>
    <phoneticPr fontId="4"/>
  </si>
  <si>
    <t>←法人/個人</t>
    <phoneticPr fontId="3"/>
  </si>
  <si>
    <t>法人</t>
    <rPh sb="0" eb="2">
      <t>ホウジン</t>
    </rPh>
    <phoneticPr fontId="3"/>
  </si>
  <si>
    <t>個人事業主</t>
    <phoneticPr fontId="3"/>
  </si>
  <si>
    <t>新規申込</t>
    <rPh sb="0" eb="2">
      <t>シンキ</t>
    </rPh>
    <rPh sb="2" eb="4">
      <t>モウシコミ</t>
    </rPh>
    <phoneticPr fontId="3"/>
  </si>
  <si>
    <t>店舗追加</t>
    <rPh sb="0" eb="2">
      <t>テンポ</t>
    </rPh>
    <rPh sb="2" eb="4">
      <t>ツイカ</t>
    </rPh>
    <phoneticPr fontId="3"/>
  </si>
  <si>
    <t>←新規/追加</t>
    <rPh sb="1" eb="3">
      <t>シンキ</t>
    </rPh>
    <rPh sb="4" eb="6">
      <t>ツイカ</t>
    </rPh>
    <phoneticPr fontId="3"/>
  </si>
  <si>
    <t>←規約同意</t>
    <rPh sb="1" eb="3">
      <t>キヤク</t>
    </rPh>
    <rPh sb="3" eb="5">
      <t>ドウイ</t>
    </rPh>
    <phoneticPr fontId="3"/>
  </si>
  <si>
    <t>また、当社および当社の役員等が、暴力団・暴力団構成員等の反社会的勢力に該当しないことを確約いたします。</t>
    <phoneticPr fontId="3"/>
  </si>
  <si>
    <t>当社は、本サービスのうち以下の決済手段を申し込む場合、SBPSが各決済手段の提供者に対し、本エントリーシート記載の情報のうち当該決済手段の提供者所定の情報を提供することについて同意します。
　・LINE Pay</t>
    <phoneticPr fontId="3"/>
  </si>
  <si>
    <t>←Yes/No</t>
    <phoneticPr fontId="3"/>
  </si>
  <si>
    <t>・SBPS決済サービス加盟店規約
　└ Alipay決済サービス規約
　└ WeChat Pay決済サービス規約
　└ 銀聯 決済サービス規約
　└ PayPay決済サービス規約
　└ d払い決済サービス規約
　└ SBPS決済支援サービス利用規約</t>
    <phoneticPr fontId="3"/>
  </si>
  <si>
    <t>フリガナ</t>
    <phoneticPr fontId="3"/>
  </si>
  <si>
    <t>●交通系精算先コード</t>
    <phoneticPr fontId="3"/>
  </si>
  <si>
    <t>PASMO（西武）1</t>
    <phoneticPr fontId="3"/>
  </si>
  <si>
    <t>PASMO（西武）2</t>
    <phoneticPr fontId="3"/>
  </si>
  <si>
    <t>9999995</t>
  </si>
  <si>
    <t>SBグループ担当</t>
  </si>
  <si>
    <t>初期費用(税抜)</t>
    <rPh sb="0" eb="2">
      <t>ショキ</t>
    </rPh>
    <rPh sb="2" eb="4">
      <t>ヒヨウ</t>
    </rPh>
    <rPh sb="5" eb="6">
      <t>ゼイ</t>
    </rPh>
    <rPh sb="6" eb="7">
      <t>ヌ</t>
    </rPh>
    <phoneticPr fontId="3"/>
  </si>
  <si>
    <t>月額固定費(税抜)</t>
    <rPh sb="0" eb="2">
      <t>ゲツガク</t>
    </rPh>
    <rPh sb="2" eb="5">
      <t>コテイヒ</t>
    </rPh>
    <rPh sb="6" eb="7">
      <t>ゼイ</t>
    </rPh>
    <rPh sb="7" eb="8">
      <t>ヌ</t>
    </rPh>
    <phoneticPr fontId="3"/>
  </si>
  <si>
    <t>早期・複数回入金オプション</t>
    <phoneticPr fontId="3"/>
  </si>
  <si>
    <t>←公式アカウント判定</t>
    <rPh sb="1" eb="3">
      <t>コウシキ</t>
    </rPh>
    <rPh sb="8" eb="10">
      <t>ハンテイ</t>
    </rPh>
    <phoneticPr fontId="3"/>
  </si>
  <si>
    <t>00000</t>
    <phoneticPr fontId="3"/>
  </si>
  <si>
    <t>d払い</t>
    <phoneticPr fontId="3"/>
  </si>
  <si>
    <t>サイトID：</t>
    <phoneticPr fontId="3"/>
  </si>
  <si>
    <t>業 態</t>
    <rPh sb="0" eb="1">
      <t>ギョウ</t>
    </rPh>
    <rPh sb="2" eb="3">
      <t>タイ</t>
    </rPh>
    <phoneticPr fontId="3"/>
  </si>
  <si>
    <t>00:選択してください</t>
    <rPh sb="3" eb="5">
      <t>センタク</t>
    </rPh>
    <phoneticPr fontId="3"/>
  </si>
  <si>
    <t>←d払い判定</t>
    <rPh sb="4" eb="6">
      <t>ハンテイ</t>
    </rPh>
    <phoneticPr fontId="3"/>
  </si>
  <si>
    <t>LINE Pay</t>
    <phoneticPr fontId="3"/>
  </si>
  <si>
    <t>00000</t>
    <phoneticPr fontId="3"/>
  </si>
  <si>
    <t>02:スーパーマーケット・GMS</t>
  </si>
  <si>
    <t>●d払い業態</t>
    <rPh sb="2" eb="3">
      <t>ハラ</t>
    </rPh>
    <rPh sb="4" eb="6">
      <t>ギョウタイ</t>
    </rPh>
    <phoneticPr fontId="3"/>
  </si>
  <si>
    <t>01:コンビニエンスストア</t>
  </si>
  <si>
    <t>03:生鮮食料品</t>
  </si>
  <si>
    <t>04:薬局・ドラッグストア</t>
  </si>
  <si>
    <t>05:家電・PC・カメラ・モバイル機器</t>
  </si>
  <si>
    <t>06:インテリア・雑貨</t>
  </si>
  <si>
    <t>07:書籍・CD・DVD</t>
  </si>
  <si>
    <t>08:メガネ・コンタクトレンズ</t>
  </si>
  <si>
    <t>09:アパレル</t>
  </si>
  <si>
    <t>10:靴・鞄</t>
  </si>
  <si>
    <t>11:アクセサリー</t>
  </si>
  <si>
    <t>12:化粧品</t>
  </si>
  <si>
    <t>13:チケット</t>
  </si>
  <si>
    <t>14:レストラン・食事処</t>
  </si>
  <si>
    <t>15:その他小売</t>
  </si>
  <si>
    <t>16:居酒屋・バー・パブ</t>
  </si>
  <si>
    <t>17:カフェ・スウィーツ</t>
  </si>
  <si>
    <t>18:その他食品・飲料品</t>
  </si>
  <si>
    <t>19:美容室・理容室</t>
  </si>
  <si>
    <t>20:エステ・マッサージ</t>
  </si>
  <si>
    <t>21:医療機関・治療院</t>
  </si>
  <si>
    <t>22:クリーニング</t>
  </si>
  <si>
    <t>23:アミューズメント施設</t>
  </si>
  <si>
    <t>24:スポーツ施設</t>
  </si>
  <si>
    <t>25:タクシー・交通・運輸</t>
  </si>
  <si>
    <t>26:駐車場</t>
  </si>
  <si>
    <t>27:レンタカー・カーシェアリング</t>
  </si>
  <si>
    <t>28:ホテル・宿泊施設</t>
  </si>
  <si>
    <t>29:学習塾・各種スクール</t>
  </si>
  <si>
    <t>30:ホテル・宿泊施設</t>
  </si>
  <si>
    <t>00</t>
    <phoneticPr fontId="3"/>
  </si>
  <si>
    <t>PayPay</t>
    <phoneticPr fontId="3"/>
  </si>
  <si>
    <t>Alipay</t>
  </si>
  <si>
    <t>WeChat Pay</t>
  </si>
  <si>
    <t>PayPay</t>
  </si>
  <si>
    <t>d払い</t>
  </si>
  <si>
    <t>LINE Pay</t>
  </si>
  <si>
    <t>セブン・ペイ</t>
  </si>
  <si>
    <t>メルペイ</t>
  </si>
  <si>
    <t>Origami Pay</t>
  </si>
  <si>
    <t>Amazon Pay</t>
  </si>
  <si>
    <t>Sub Merchat ID</t>
  </si>
  <si>
    <t>931001</t>
  </si>
  <si>
    <t>931002</t>
  </si>
  <si>
    <t>932001</t>
  </si>
  <si>
    <t>935001</t>
  </si>
  <si>
    <t>936001</t>
  </si>
  <si>
    <t>937001</t>
  </si>
  <si>
    <t>938001</t>
  </si>
  <si>
    <t>939001</t>
  </si>
  <si>
    <t>942001</t>
  </si>
  <si>
    <t>PASMO（西武）1</t>
  </si>
  <si>
    <t>ブランド名</t>
  </si>
  <si>
    <t>申込経路</t>
    <rPh sb="0" eb="2">
      <t>モウシコミ</t>
    </rPh>
    <rPh sb="2" eb="4">
      <t>ケイロ</t>
    </rPh>
    <phoneticPr fontId="2"/>
  </si>
  <si>
    <t>店舗所在地</t>
    <rPh sb="0" eb="5">
      <t>テンポショザイチ</t>
    </rPh>
    <phoneticPr fontId="1"/>
  </si>
  <si>
    <t>ブランド名</t>
    <rPh sb="4" eb="5">
      <t>メイ</t>
    </rPh>
    <phoneticPr fontId="2"/>
  </si>
  <si>
    <t>販売形態</t>
  </si>
  <si>
    <t>取扱商品1</t>
  </si>
  <si>
    <t>取扱商品2</t>
  </si>
  <si>
    <t>Map表示</t>
  </si>
  <si>
    <t>事業展開店舗数</t>
  </si>
  <si>
    <t>PV2</t>
  </si>
  <si>
    <t>PV3</t>
  </si>
  <si>
    <t>PW2</t>
  </si>
  <si>
    <t>PW3</t>
  </si>
  <si>
    <t>93501</t>
  </si>
  <si>
    <t>PZ4</t>
  </si>
  <si>
    <t>PZ5</t>
  </si>
  <si>
    <t>93601</t>
  </si>
  <si>
    <t>Q07</t>
  </si>
  <si>
    <t>Q08</t>
  </si>
  <si>
    <t>Q09</t>
  </si>
  <si>
    <t>Q0A</t>
  </si>
  <si>
    <t>Q0B</t>
  </si>
  <si>
    <t>Q0C</t>
  </si>
  <si>
    <t>カブシキガイシャエスビーショウジ</t>
    <phoneticPr fontId="3"/>
  </si>
  <si>
    <t>105</t>
    <phoneticPr fontId="3"/>
  </si>
  <si>
    <t>0005</t>
    <phoneticPr fontId="3"/>
  </si>
  <si>
    <t>港区</t>
    <rPh sb="0" eb="2">
      <t>ミナトク</t>
    </rPh>
    <phoneticPr fontId="3"/>
  </si>
  <si>
    <t>東新橋</t>
    <rPh sb="0" eb="1">
      <t>ヒガシ</t>
    </rPh>
    <rPh sb="1" eb="3">
      <t>シンバシ</t>
    </rPh>
    <phoneticPr fontId="3"/>
  </si>
  <si>
    <t>１－２－３</t>
    <phoneticPr fontId="3"/>
  </si>
  <si>
    <t>03</t>
    <phoneticPr fontId="3"/>
  </si>
  <si>
    <t>1111</t>
    <phoneticPr fontId="3"/>
  </si>
  <si>
    <t>2222</t>
    <phoneticPr fontId="3"/>
  </si>
  <si>
    <t>電気通信事業</t>
    <phoneticPr fontId="3"/>
  </si>
  <si>
    <t>http://www.sbps.net/</t>
    <phoneticPr fontId="3"/>
  </si>
  <si>
    <t>1234567890123</t>
    <phoneticPr fontId="3"/>
  </si>
  <si>
    <t>トウキョウ</t>
    <phoneticPr fontId="3"/>
  </si>
  <si>
    <t>タロウ</t>
    <phoneticPr fontId="3"/>
  </si>
  <si>
    <t>代表取締役社長</t>
    <rPh sb="0" eb="7">
      <t>ダイヒョウトリシマリヤクシャチョウ</t>
    </rPh>
    <phoneticPr fontId="3"/>
  </si>
  <si>
    <t>東新橋</t>
    <rPh sb="0" eb="3">
      <t>ヒガシシンバシ</t>
    </rPh>
    <phoneticPr fontId="3"/>
  </si>
  <si>
    <t>105</t>
    <phoneticPr fontId="3"/>
  </si>
  <si>
    <t>0005</t>
    <phoneticPr fontId="3"/>
  </si>
  <si>
    <t>２－３－４</t>
    <phoneticPr fontId="3"/>
  </si>
  <si>
    <t>03</t>
    <phoneticPr fontId="3"/>
  </si>
  <si>
    <t>1111</t>
    <phoneticPr fontId="3"/>
  </si>
  <si>
    <t>4444</t>
    <phoneticPr fontId="3"/>
  </si>
  <si>
    <t>SBPSショップ　銀座店</t>
    <phoneticPr fontId="3"/>
  </si>
  <si>
    <t>SBPS SHOP GINZA</t>
    <phoneticPr fontId="3"/>
  </si>
  <si>
    <t>SBPSショップ</t>
    <phoneticPr fontId="3"/>
  </si>
  <si>
    <t>エスビーピーエスショップ　ギンザテン</t>
    <phoneticPr fontId="3"/>
  </si>
  <si>
    <t>エスビーピーエスショップ</t>
    <phoneticPr fontId="3"/>
  </si>
  <si>
    <t>104</t>
    <phoneticPr fontId="3"/>
  </si>
  <si>
    <t>0061</t>
    <phoneticPr fontId="3"/>
  </si>
  <si>
    <t>中央区</t>
    <rPh sb="0" eb="3">
      <t>チュウオウク</t>
    </rPh>
    <phoneticPr fontId="3"/>
  </si>
  <si>
    <t>銀座</t>
    <rPh sb="0" eb="2">
      <t>ギンザ</t>
    </rPh>
    <phoneticPr fontId="3"/>
  </si>
  <si>
    <t>１－１</t>
    <phoneticPr fontId="3"/>
  </si>
  <si>
    <t>东京都中央区银座１－１</t>
    <phoneticPr fontId="3"/>
  </si>
  <si>
    <t>3333</t>
    <phoneticPr fontId="3"/>
  </si>
  <si>
    <t>http://www.sbpsshopginza.net/</t>
    <phoneticPr fontId="3"/>
  </si>
  <si>
    <t>手機拍賣</t>
    <phoneticPr fontId="3"/>
  </si>
  <si>
    <t>携帯端末の販売及び端末付属のアクセサリー販売</t>
    <phoneticPr fontId="3"/>
  </si>
  <si>
    <t>携帯端末、付属アクセサリー</t>
    <phoneticPr fontId="3"/>
  </si>
  <si>
    <t>古物商許可証</t>
    <phoneticPr fontId="3"/>
  </si>
  <si>
    <t>666666</t>
    <phoneticPr fontId="3"/>
  </si>
  <si>
    <t>03：準拠予定なし</t>
  </si>
  <si>
    <t>カ）エスビーショウジ　ダイヒョウトリシマリヤクシャチョウ　トウキョウタロウ</t>
    <phoneticPr fontId="3"/>
  </si>
  <si>
    <t>株式会社SB商事　代表取締役社長　東京太郎</t>
    <phoneticPr fontId="3"/>
  </si>
  <si>
    <t>03</t>
    <phoneticPr fontId="3"/>
  </si>
  <si>
    <t>1122</t>
    <phoneticPr fontId="3"/>
  </si>
  <si>
    <t>3344</t>
    <phoneticPr fontId="3"/>
  </si>
  <si>
    <t>03</t>
    <phoneticPr fontId="3"/>
  </si>
  <si>
    <t>7788</t>
    <phoneticPr fontId="3"/>
  </si>
  <si>
    <t>taro@sb.ne.jp</t>
    <phoneticPr fontId="3"/>
  </si>
  <si>
    <t>jiro@sb.ne.jp</t>
    <phoneticPr fontId="3"/>
  </si>
  <si>
    <t>SBPS経由</t>
    <phoneticPr fontId="3"/>
  </si>
  <si>
    <t>楽天ペイ</t>
  </si>
  <si>
    <t>◆コード決済◆</t>
    <rPh sb="4" eb="6">
      <t>ケッサイ</t>
    </rPh>
    <phoneticPr fontId="4"/>
  </si>
  <si>
    <t>1626031</t>
  </si>
  <si>
    <t>笹野あかね</t>
  </si>
  <si>
    <t>1626033</t>
  </si>
  <si>
    <t>松本佳奈</t>
  </si>
  <si>
    <t>1626035</t>
  </si>
  <si>
    <t>安松孝</t>
  </si>
  <si>
    <t>1300134</t>
  </si>
  <si>
    <t>白川雅浩</t>
  </si>
  <si>
    <t>1301064</t>
  </si>
  <si>
    <t>西村幸司</t>
  </si>
  <si>
    <t>1602184</t>
  </si>
  <si>
    <t>駒井若菜</t>
  </si>
  <si>
    <t>1202896</t>
  </si>
  <si>
    <t>稲川忍</t>
  </si>
  <si>
    <t>非</t>
    <rPh sb="0" eb="1">
      <t>ヒ</t>
    </rPh>
    <phoneticPr fontId="3"/>
  </si>
  <si>
    <t>未使用</t>
    <rPh sb="0" eb="3">
      <t>ミシヨウ</t>
    </rPh>
    <phoneticPr fontId="3"/>
  </si>
  <si>
    <t>←d払い有無(記入シート2)</t>
    <rPh sb="2" eb="3">
      <t>ハラ</t>
    </rPh>
    <rPh sb="4" eb="6">
      <t>ウム</t>
    </rPh>
    <rPh sb="7" eb="9">
      <t>キニュウ</t>
    </rPh>
    <phoneticPr fontId="3"/>
  </si>
  <si>
    <t>←LINE Pay有無(記入シート2)</t>
    <rPh sb="9" eb="11">
      <t>ウム</t>
    </rPh>
    <rPh sb="12" eb="14">
      <t>キニュウ</t>
    </rPh>
    <phoneticPr fontId="3"/>
  </si>
  <si>
    <t>「端末決済サービス」に適用される下記規約の内容を確認し、承諾のうえ申し込みいたします。 
　・クレジットカード加盟店規約&lt;対面取引用&gt;
　・信用照会端末利用特約
　・銀聯カード加盟店特約
　・交通系電子マネー加盟店規約
　・楽天Edy決済加盟店規約
　・iD決済加盟店規約
　・WAON決済加盟店規約
　・nanaco決済加盟店規約
　・Anywhere利用規定
　　(https://www.linkprocessing.co.jp/terms/)</t>
    <phoneticPr fontId="4"/>
  </si>
  <si>
    <t>1000:小売</t>
  </si>
  <si>
    <t>1100:飲食</t>
  </si>
  <si>
    <t>1200:ビューティ・リラクゼーション</t>
  </si>
  <si>
    <t>1300:病院</t>
  </si>
  <si>
    <t>1400:スクール</t>
  </si>
  <si>
    <t>1500:サービス</t>
  </si>
  <si>
    <t>1600:娯楽</t>
  </si>
  <si>
    <t>1700:交通</t>
  </si>
  <si>
    <t>1800:行政・公共サービス</t>
  </si>
  <si>
    <t>1900:学校・教育機関</t>
  </si>
  <si>
    <t>コンビニ</t>
  </si>
  <si>
    <t>サービス</t>
  </si>
  <si>
    <t>交通</t>
  </si>
  <si>
    <t>公共サービス</t>
  </si>
  <si>
    <t>各種小売</t>
  </si>
  <si>
    <t>大規模小売店</t>
  </si>
  <si>
    <t>娯楽</t>
  </si>
  <si>
    <t>食品スーパー</t>
  </si>
  <si>
    <t>飲食</t>
  </si>
  <si>
    <t>小売</t>
  </si>
  <si>
    <t>ビューティ・リラクゼーション</t>
    <phoneticPr fontId="3"/>
  </si>
  <si>
    <t>病院</t>
  </si>
  <si>
    <t>スクール</t>
    <phoneticPr fontId="3"/>
  </si>
  <si>
    <t>交通</t>
    <phoneticPr fontId="3"/>
  </si>
  <si>
    <t>行政・公共サービス</t>
    <phoneticPr fontId="3"/>
  </si>
  <si>
    <t>学校・教育機関</t>
    <phoneticPr fontId="3"/>
  </si>
  <si>
    <t>選択してください</t>
    <phoneticPr fontId="3"/>
  </si>
  <si>
    <t>1001:コンビニ</t>
  </si>
  <si>
    <t>1101:飲食店・喫茶店</t>
  </si>
  <si>
    <t>1201:理容院・美容院（フリーランス）</t>
  </si>
  <si>
    <t>1301:病院・診療所など</t>
  </si>
  <si>
    <t>1401:学習塾・語学教室・パソコン教室・カルチャースクール</t>
  </si>
  <si>
    <t>1501:クリーニング（ハウスクリーニングを除く）</t>
  </si>
  <si>
    <t>1601:ゴルフ場</t>
  </si>
  <si>
    <t>1701:鉄道</t>
  </si>
  <si>
    <t>1801:行政サービス利用料・自治体納付金</t>
  </si>
  <si>
    <t>1901:乳幼児保育施設（月極）</t>
  </si>
  <si>
    <t>1002:食品スーパー　</t>
  </si>
  <si>
    <t>1102:居酒屋・パブ・バー</t>
  </si>
  <si>
    <t>1202:理容院・美容院（自社経営、フランチャイズ）</t>
  </si>
  <si>
    <t>1302:歯科医院・歯科診療所など</t>
  </si>
  <si>
    <t>1402:語学スクール（２か月を超え、かつ５万円を超える契約がない）</t>
  </si>
  <si>
    <t>1502:ハウスクリーニング</t>
  </si>
  <si>
    <t>1602:テーマパーク・遊園地・水族館・博物館</t>
  </si>
  <si>
    <t>1702:バス</t>
  </si>
  <si>
    <t>1802:水道料金</t>
  </si>
  <si>
    <t>1902:乳幼児保育施設（一時保育）</t>
  </si>
  <si>
    <t>1003:百貨店・GMS・ディスカウントストア・ホームセンター</t>
  </si>
  <si>
    <t>1103:ファーストフード</t>
  </si>
  <si>
    <t>1203:まつ毛エクステ</t>
  </si>
  <si>
    <t>1303:老人ホーム・介護施設</t>
  </si>
  <si>
    <t>1403:ビジネススキルを学ぶためのスクール（国家資格などの取得を目的としていない）</t>
  </si>
  <si>
    <t>1503:DPE・印刷・コピー</t>
  </si>
  <si>
    <t>1603:映画館・劇場・スポーツ観戦施設・チケット</t>
  </si>
  <si>
    <t>1703:タクシー（法人）</t>
  </si>
  <si>
    <t>1803:電気・ガス・NHK受信料</t>
  </si>
  <si>
    <t>1903:学童保育</t>
  </si>
  <si>
    <t>1004:食品販売店</t>
  </si>
  <si>
    <t>1204:美容整形・美容外科</t>
  </si>
  <si>
    <t>1404:ビジネススキルを学ぶためのスクール（国家資格などの取得を目的としている）</t>
  </si>
  <si>
    <t>1504:温泉・スパ・銭湯</t>
  </si>
  <si>
    <t>1704:タクシー（個人）</t>
  </si>
  <si>
    <t>1804:寄付</t>
  </si>
  <si>
    <t>1904:小学校・中学校・高等学校</t>
  </si>
  <si>
    <t>1005:酒屋・リカーショップ</t>
  </si>
  <si>
    <t>1205:フィットネスジム</t>
  </si>
  <si>
    <t>1405:ＩＴスキルを学ぶスクール（２か月を超え、かつ５万円を超える契約がある）</t>
  </si>
  <si>
    <t>1505:ホテル、旅館、簡易宿所</t>
  </si>
  <si>
    <t>1705:客船・フェリー</t>
  </si>
  <si>
    <t>1905:大学・短期大学・大学院</t>
  </si>
  <si>
    <t>1006:ファッション雑貨（古物の取扱いなし）</t>
  </si>
  <si>
    <t>1206:エステティックサロン（１か月を超え、かつ５万円を超える契約がある）</t>
  </si>
  <si>
    <t>1506:モーテル・ラブホテル</t>
  </si>
  <si>
    <t>1706:航空会社</t>
  </si>
  <si>
    <t>1906:専修学校（一般課程・高等課程・専門課程）</t>
  </si>
  <si>
    <t>1007:アパレルショップ（古物の取扱いなし）</t>
  </si>
  <si>
    <t>1207:エステティックサロン（１か月を超え、かつ５万円を超える契約がない）</t>
  </si>
  <si>
    <t>1507:旅行会社・旅行代理店</t>
  </si>
  <si>
    <t>1707:宅配便サービス</t>
  </si>
  <si>
    <t>1907:各種学校</t>
  </si>
  <si>
    <t>1008:鞄屋（古物の取扱いなし）</t>
  </si>
  <si>
    <t>1208:ネイル</t>
  </si>
  <si>
    <t>1508:電話・インターネット・プロバイダー</t>
  </si>
  <si>
    <t>1708:バイク便、軽自動車等による宅配便サービス</t>
  </si>
  <si>
    <t>1908:外国大学の日本校（学位取得が目的）</t>
  </si>
  <si>
    <t>1009:電気店・家電量販店（古物の取扱いなし）</t>
  </si>
  <si>
    <t>1209:あん摩・はり・きゆう・接骨・柔道整復・指圧・整骨院</t>
  </si>
  <si>
    <t>1509:自動車・バイクリース</t>
  </si>
  <si>
    <t>1709:引っ越しサービス</t>
  </si>
  <si>
    <t>1010:ベビー・乳幼児用製品の販売店（古物の取扱いなし）</t>
  </si>
  <si>
    <t>1210:リラク、足裏・リフレ、整体、カイロプラクティック（手技を使ったリラクゼーションを目的としたサロン）</t>
  </si>
  <si>
    <t>1510:レンタカー・レンタバイク（短期間レンタル）</t>
  </si>
  <si>
    <t>1011:家具・インテリアショップ（古物の取扱いなし）</t>
  </si>
  <si>
    <t>1511:パーキング</t>
  </si>
  <si>
    <t>1012:コンタクトレンズ販売店</t>
  </si>
  <si>
    <t>1512:車検、整備、修理</t>
  </si>
  <si>
    <t>1013:コンタクトレンズ以外の医療機器販売店（古物の取扱いなし）</t>
  </si>
  <si>
    <t>1513:各種修理</t>
  </si>
  <si>
    <t>1014:宝石・貴金属店（古物の取扱いなし）</t>
  </si>
  <si>
    <t>1514:住宅建設・リフォーム</t>
  </si>
  <si>
    <t>1015:時計・メガネ・カメラ</t>
  </si>
  <si>
    <t>1515:結婚相談業</t>
  </si>
  <si>
    <t>1016:ＣＤ・ＤＶＤ・ビデオ・レコードショップ（古物の取扱いなし）</t>
  </si>
  <si>
    <t>1516:マッチング・お見合い</t>
  </si>
  <si>
    <t>1017:玩具店（古物の取扱いなし）</t>
  </si>
  <si>
    <t>1517:結婚相談所</t>
  </si>
  <si>
    <t>1018:スポーツ用品店（古物の取扱いなし）</t>
  </si>
  <si>
    <t>1518:接客業</t>
  </si>
  <si>
    <t>1019:文房具店（古物の取扱いなし）</t>
  </si>
  <si>
    <t>1519:運転代行業</t>
  </si>
  <si>
    <t>1020:書店（古物の取扱いなし）</t>
  </si>
  <si>
    <t>1520:ペットショップ・動物病院</t>
  </si>
  <si>
    <t>1021:化粧品店</t>
  </si>
  <si>
    <t>1521:ペットショップ、ペットホテル、ペット美容院、動物病院</t>
  </si>
  <si>
    <t>1022:ドラッグストア</t>
  </si>
  <si>
    <t>1522:不動産賃貸・家賃</t>
  </si>
  <si>
    <t>1023:調剤薬局・漢方薬</t>
  </si>
  <si>
    <t>1523:賃貸仲介業（不動産屋など）</t>
  </si>
  <si>
    <t>1024:花・植木・農耕具・ペット</t>
  </si>
  <si>
    <t>1524:職業紹介</t>
  </si>
  <si>
    <t>1025:ガソリンスタンド</t>
  </si>
  <si>
    <t>●WeChatPayビジネスカテゴリ</t>
    <phoneticPr fontId="3"/>
  </si>
  <si>
    <t>1525:労働者派遣</t>
  </si>
  <si>
    <t>1026:ファッション雑貨（一部古物の取扱いあり）</t>
  </si>
  <si>
    <t>00:未選択</t>
    <rPh sb="3" eb="4">
      <t>ミ</t>
    </rPh>
    <rPh sb="4" eb="6">
      <t>センタク</t>
    </rPh>
    <phoneticPr fontId="3"/>
  </si>
  <si>
    <t>1526:医療相談、法律相談</t>
  </si>
  <si>
    <t>1027:アパレルショップ（一部古物の取扱いあり）</t>
  </si>
  <si>
    <t>01:靴・衣服</t>
  </si>
  <si>
    <t>1527:結婚式場</t>
  </si>
  <si>
    <t>1028:鞄屋（一部古物の取扱いあり）</t>
  </si>
  <si>
    <t>02:総合商店街</t>
  </si>
  <si>
    <t>1528:葬儀場</t>
  </si>
  <si>
    <t>1029:電気店・家電量販店（一部古物の取扱いあり）</t>
  </si>
  <si>
    <t>03:食べ物</t>
  </si>
  <si>
    <t>1529:アクテイビティ・スポーツ・レジャー</t>
  </si>
  <si>
    <t>1030:ベビー・乳幼児用製品の販売店（一部古物の取扱いあり）</t>
  </si>
  <si>
    <t>04:化粧品</t>
  </si>
  <si>
    <t>1530:競馬・競輪・競艇・オートレース・パチンコ・麻雀</t>
  </si>
  <si>
    <t>1031:家具・インテリアショップ（一部古物の取扱いあり）</t>
  </si>
  <si>
    <t>05:母子</t>
  </si>
  <si>
    <t>1532:保険・保険代理店</t>
  </si>
  <si>
    <t>1032:コンタクトレンズ以外の医療機器販売店（一部古物の取扱いあり）</t>
  </si>
  <si>
    <t>06:デジタル家電</t>
  </si>
  <si>
    <t>1033:宝石・貴金属店（一部古物の取扱いあり）</t>
  </si>
  <si>
    <t>07:物流</t>
  </si>
  <si>
    <t>1034:ＣＤ・ＤＶＤ・ビデオ・レコードショップ（一部古物の取扱いあり）</t>
  </si>
  <si>
    <t>08:教育産業</t>
  </si>
  <si>
    <t>1035:玩具店（一部古物の取扱いあり）</t>
  </si>
  <si>
    <t>09:ホテル産業</t>
  </si>
  <si>
    <t>1036:スポーツ用品店（一部古物の取扱いあり）</t>
  </si>
  <si>
    <t>10:文具・事務用品</t>
  </si>
  <si>
    <t>1037:書店（一部古物の取扱いあり）</t>
  </si>
  <si>
    <t>11:航空券</t>
  </si>
  <si>
    <t>1038:自動車・バイク用品販売（一部古物の取扱いあり）</t>
  </si>
  <si>
    <t>12:その他の貿易産業</t>
  </si>
  <si>
    <t>1039:自動車（中古車）販売店</t>
  </si>
  <si>
    <t>13:海外教育</t>
  </si>
  <si>
    <t>1040:バイク（中古車）販売店</t>
  </si>
  <si>
    <t>14:旅行チケット</t>
  </si>
  <si>
    <t>1041:健康食品</t>
  </si>
  <si>
    <t>15:レンタカー</t>
  </si>
  <si>
    <t>1042:金券・回数券・チケット</t>
  </si>
  <si>
    <t>16:国際会議</t>
  </si>
  <si>
    <t>1043:たばこ</t>
  </si>
  <si>
    <t>17:ソフトウェア</t>
  </si>
  <si>
    <t>1044:仏壇屋</t>
  </si>
  <si>
    <t>18:医療サービス</t>
  </si>
  <si>
    <t>1045:新聞販売店</t>
  </si>
  <si>
    <t>1046:自動車・バイク用品販売（古物の取扱いなし）</t>
  </si>
  <si>
    <t>1047:自動車（新車）メーカー・自動車（新車）販売店</t>
  </si>
  <si>
    <t>1048:バイク（新車）メーカー・バイク（新車）販売店</t>
  </si>
  <si>
    <t>1049:呉服</t>
  </si>
  <si>
    <t>●LinePay業種</t>
    <rPh sb="8" eb="10">
      <t>ギョウシュ</t>
    </rPh>
    <phoneticPr fontId="3"/>
  </si>
  <si>
    <t>飲食・レストラン</t>
    <rPh sb="0" eb="2">
      <t>インショク</t>
    </rPh>
    <phoneticPr fontId="29"/>
  </si>
  <si>
    <t>食料品</t>
    <rPh sb="0" eb="3">
      <t>ショクリョウヒn</t>
    </rPh>
    <phoneticPr fontId="29"/>
  </si>
  <si>
    <t>ショッピング・小売</t>
    <rPh sb="7" eb="9">
      <t>コウリ</t>
    </rPh>
    <phoneticPr fontId="29"/>
  </si>
  <si>
    <t>ファッション</t>
  </si>
  <si>
    <t>スポーツ用品</t>
    <rPh sb="4" eb="6">
      <t>ヨウヒn</t>
    </rPh>
    <phoneticPr fontId="29"/>
  </si>
  <si>
    <t>スポーツ施設・教室</t>
  </si>
  <si>
    <t>教育・習い事</t>
  </si>
  <si>
    <t>保育・学校</t>
  </si>
  <si>
    <t>美容・サロン</t>
  </si>
  <si>
    <t>医療機関・診療所</t>
  </si>
  <si>
    <t>専門サービス</t>
  </si>
  <si>
    <t>生活関連サービス</t>
  </si>
  <si>
    <t>ペット</t>
  </si>
  <si>
    <t>冠婚葬祭</t>
  </si>
  <si>
    <t>宿泊施設</t>
  </si>
  <si>
    <t>旅行・エンタメ・レジャー</t>
  </si>
  <si>
    <t>自動車・バイク</t>
  </si>
  <si>
    <t>交通機関・サービス</t>
  </si>
  <si>
    <t>銀行・保険・金融</t>
  </si>
  <si>
    <t>寺院・神社・教会</t>
  </si>
  <si>
    <t>団体</t>
  </si>
  <si>
    <t>スポーツチーム・団体</t>
  </si>
  <si>
    <t>公共機関・施設</t>
  </si>
  <si>
    <t>福祉・介護</t>
  </si>
  <si>
    <t>電気・ガス・エネルギー</t>
  </si>
  <si>
    <t>通信・情報・メディア</t>
  </si>
  <si>
    <t>製造業</t>
  </si>
  <si>
    <t>商業</t>
  </si>
  <si>
    <t>水産・農林</t>
  </si>
  <si>
    <t>鉱業</t>
  </si>
  <si>
    <t>建設・土木</t>
  </si>
  <si>
    <t>印刷・出版</t>
  </si>
  <si>
    <t>運送・倉庫</t>
  </si>
  <si>
    <t>0100:飲食・レストラン</t>
  </si>
  <si>
    <t>0101:居酒屋・飲食店</t>
  </si>
  <si>
    <t>0201:食料品全般</t>
  </si>
  <si>
    <t>0301:スーパー</t>
  </si>
  <si>
    <t>0401:かばん・バッグ</t>
  </si>
  <si>
    <t>0501:サーフショップ・スクール</t>
  </si>
  <si>
    <t>0601:体育館・スポーツセンター</t>
  </si>
  <si>
    <t>0701:学習塾・進学塾</t>
  </si>
  <si>
    <t>0801:託児所・ベビーシッター</t>
  </si>
  <si>
    <t>0901:理容店</t>
  </si>
  <si>
    <t>1001:内科</t>
  </si>
  <si>
    <t>1101:法律事務所・弁護士事務所</t>
  </si>
  <si>
    <t>1201:不動産</t>
  </si>
  <si>
    <t>1301:動物病院</t>
  </si>
  <si>
    <t>1401:結婚式場</t>
  </si>
  <si>
    <t>1501:ホテル</t>
  </si>
  <si>
    <t>1601:映画館</t>
  </si>
  <si>
    <t>1701:自動車販売</t>
  </si>
  <si>
    <t>1801:鉄道</t>
  </si>
  <si>
    <t>1901:銀行</t>
  </si>
  <si>
    <t>2001:神宮・神社</t>
  </si>
  <si>
    <t>2101:経済団体</t>
  </si>
  <si>
    <t>2201:野球</t>
  </si>
  <si>
    <t>2301:図書館</t>
  </si>
  <si>
    <t>2401:児童福祉施設・サービス</t>
  </si>
  <si>
    <t>2501:電気</t>
  </si>
  <si>
    <t>2601:放送局</t>
  </si>
  <si>
    <t>2701:食品</t>
  </si>
  <si>
    <t>2801:商社</t>
  </si>
  <si>
    <t>2901:漁業</t>
  </si>
  <si>
    <t>3001:鉱業</t>
  </si>
  <si>
    <t>3101:建築工事</t>
  </si>
  <si>
    <t>3201:出版社</t>
  </si>
  <si>
    <t>3301:海運</t>
  </si>
  <si>
    <t>0200:食料品</t>
  </si>
  <si>
    <t>0102:バー・ダイニングバー</t>
  </si>
  <si>
    <t>0202:酒屋</t>
  </si>
  <si>
    <t>0302:コンビニエンスストア</t>
  </si>
  <si>
    <t>0402:アクセサリー・ジュエリー</t>
  </si>
  <si>
    <t>0502:ダイビングショップ・スクール</t>
  </si>
  <si>
    <t>0602:競技場</t>
  </si>
  <si>
    <t>0702:予備校</t>
  </si>
  <si>
    <t>0802:幼稚園・保育園</t>
  </si>
  <si>
    <t>0902:美容院・ヘアサロン</t>
  </si>
  <si>
    <t>1002:外科</t>
  </si>
  <si>
    <t>1102:特許事務所</t>
  </si>
  <si>
    <t>1202:住宅設備工事・リフォーム</t>
  </si>
  <si>
    <t>1302:ペットショップ</t>
  </si>
  <si>
    <t>1402:ブライダルサービス</t>
  </si>
  <si>
    <t>1502:旅館</t>
  </si>
  <si>
    <t>1602:劇場・寄席</t>
  </si>
  <si>
    <t>1702:中古車販売・買取</t>
  </si>
  <si>
    <t>1802:ケーブルカー</t>
  </si>
  <si>
    <t>1902:労働金庫</t>
  </si>
  <si>
    <t>2002:神道教会</t>
  </si>
  <si>
    <t>2102:商工会・商工会議所</t>
  </si>
  <si>
    <t>2202:プロ野球</t>
  </si>
  <si>
    <t>2302:博物館・美術館・科学館</t>
  </si>
  <si>
    <t>2402:介護施設・サービス</t>
  </si>
  <si>
    <t>2502:ガス</t>
  </si>
  <si>
    <t>2602:地上波放送局</t>
  </si>
  <si>
    <t>2702:飲料</t>
  </si>
  <si>
    <t>2802:医薬品</t>
  </si>
  <si>
    <t>2902:水産養殖業</t>
  </si>
  <si>
    <t>3102:設備工事</t>
  </si>
  <si>
    <t>3202:製本・印刷物加工</t>
  </si>
  <si>
    <t>3302:空輸</t>
  </si>
  <si>
    <t>0300:ショッピング・小売</t>
  </si>
  <si>
    <t>0103:その他飲食店</t>
  </si>
  <si>
    <t>0303:百貨店・デパート</t>
  </si>
  <si>
    <t>0403:靴販売</t>
  </si>
  <si>
    <t>0503:スキー用品</t>
  </si>
  <si>
    <t>0603:野球場</t>
  </si>
  <si>
    <t>0703:家庭教師</t>
  </si>
  <si>
    <t>0803:学童保育所</t>
  </si>
  <si>
    <t>0903:ネイルサロン・スクール</t>
  </si>
  <si>
    <t>1003:小児科</t>
  </si>
  <si>
    <t>1103:公証人役場・司法書士事務所</t>
  </si>
  <si>
    <t>1203:住宅展示場・モデルルーム</t>
  </si>
  <si>
    <t>1303:ペット用品店</t>
  </si>
  <si>
    <t>1403:結婚相談所</t>
  </si>
  <si>
    <t>1503:民宿・ペンション</t>
  </si>
  <si>
    <t>1603:ライブハウス</t>
  </si>
  <si>
    <t>1703:自動車部品・カー用品販売</t>
  </si>
  <si>
    <t>1803:ロープウェー</t>
  </si>
  <si>
    <t>1903:信用金庫</t>
  </si>
  <si>
    <t>2003:寺院</t>
  </si>
  <si>
    <t>2103:商店組合</t>
  </si>
  <si>
    <t>2203:草野球</t>
  </si>
  <si>
    <t>2303:会館・ホール</t>
  </si>
  <si>
    <t>2403:その他福祉施設・サービス</t>
  </si>
  <si>
    <t>2503:燃料店</t>
  </si>
  <si>
    <t>2603:BS放送局</t>
  </si>
  <si>
    <t>2703:繊維工業</t>
  </si>
  <si>
    <t>2803:再生資源</t>
  </si>
  <si>
    <t>2903:農業</t>
  </si>
  <si>
    <t>3203:製版</t>
  </si>
  <si>
    <t>3303:倉庫</t>
  </si>
  <si>
    <t>0400:ファッション</t>
  </si>
  <si>
    <t>0104:デリバリー・ケータリング</t>
  </si>
  <si>
    <t>0304:ショッピングセンター・モール</t>
  </si>
  <si>
    <t>0404:衣料品</t>
  </si>
  <si>
    <t>0504:登山用品</t>
  </si>
  <si>
    <t>0604:卓球場・教室</t>
  </si>
  <si>
    <t>0704:その他学習塾・予備校・家庭教師</t>
  </si>
  <si>
    <t>0804:その他保育園・幼稚園・育児</t>
  </si>
  <si>
    <t>0904:まつげエクステ・パーマサロン</t>
  </si>
  <si>
    <t>1004:産婦人科</t>
  </si>
  <si>
    <t>1104:公認会計士事務所</t>
  </si>
  <si>
    <t>1204:ハウスクリーニング・害虫駆除</t>
  </si>
  <si>
    <t>1304:ペットサロン</t>
  </si>
  <si>
    <t>1404:葬祭業</t>
  </si>
  <si>
    <t>1504:その他旅館・ホテル</t>
  </si>
  <si>
    <t>1604:ディスコ</t>
  </si>
  <si>
    <t>1704:自動車整備・車検・修理</t>
  </si>
  <si>
    <t>1804:路線バス</t>
  </si>
  <si>
    <t>1904:信用組合</t>
  </si>
  <si>
    <t>2004:仏教教会</t>
  </si>
  <si>
    <t>2104:漁業協同組合</t>
  </si>
  <si>
    <t>2204:少年野球</t>
  </si>
  <si>
    <t>2304:公民館・集会所</t>
  </si>
  <si>
    <t>2504:その他電気・ガス、エネルギー</t>
  </si>
  <si>
    <t>2604:CS放送局</t>
  </si>
  <si>
    <t>2704:衣服全般</t>
  </si>
  <si>
    <t>2804:青果・魚・市場</t>
  </si>
  <si>
    <t>2904:林業</t>
  </si>
  <si>
    <t>3204:印刷</t>
  </si>
  <si>
    <t>3304:陸運</t>
  </si>
  <si>
    <t>0500:スポーツ用品</t>
  </si>
  <si>
    <t>0305:ホームセンター</t>
  </si>
  <si>
    <t>0405:紳士服・雑貨</t>
  </si>
  <si>
    <t>0505:釣具</t>
  </si>
  <si>
    <t>0605:テニスコート・スクール</t>
  </si>
  <si>
    <t>0705:パソコン教室</t>
  </si>
  <si>
    <t>0805:インターナショナルスクール</t>
  </si>
  <si>
    <t>0905:リラクゼーションマッサージ</t>
  </si>
  <si>
    <t>1005:助産師・助産院</t>
  </si>
  <si>
    <t>1105:税理士事務所</t>
  </si>
  <si>
    <t>1205:鍵交換・修理</t>
  </si>
  <si>
    <t>1305:ペットホテル</t>
  </si>
  <si>
    <t>1405:葬儀場</t>
  </si>
  <si>
    <t>1505:ユースホステル</t>
  </si>
  <si>
    <t>1605:ダンスホール</t>
  </si>
  <si>
    <t>1705:自動車解体・廃車</t>
  </si>
  <si>
    <t>1805:観光・貸切バス</t>
  </si>
  <si>
    <t>1905:証券会社</t>
  </si>
  <si>
    <t>2005:キリスト教教会・修道院</t>
  </si>
  <si>
    <t>2105:森林組合</t>
  </si>
  <si>
    <t>2205:サッカー</t>
  </si>
  <si>
    <t>2305:社会教育施設</t>
  </si>
  <si>
    <t>2605:ケーブルテレビ局</t>
  </si>
  <si>
    <t>2705:紳士服</t>
  </si>
  <si>
    <t>2805:産業用機械器具レンタル・リース</t>
  </si>
  <si>
    <t>0600:スポーツ施設・教室</t>
  </si>
  <si>
    <t>0306:薬・ドラッグストア</t>
  </si>
  <si>
    <t>0406:婦人服・雑貨</t>
  </si>
  <si>
    <t>0506:スポーツ・アウトドア用品</t>
  </si>
  <si>
    <t>0606:プール</t>
  </si>
  <si>
    <t>0706:外国語会話・外国語教室</t>
  </si>
  <si>
    <t>0806:小学校</t>
  </si>
  <si>
    <t>0906:アロマテラピーサロン・スクール</t>
  </si>
  <si>
    <t>1006:眼科</t>
  </si>
  <si>
    <t>1106:社会保険労務士・労働衛生コンサルタント</t>
  </si>
  <si>
    <t>1206:水漏れ・水道修理</t>
  </si>
  <si>
    <t>1306:しつけ・トレーニング</t>
  </si>
  <si>
    <t>1406:墓石</t>
  </si>
  <si>
    <t>1506:カプセルホテル</t>
  </si>
  <si>
    <t>1606:カラオケ</t>
  </si>
  <si>
    <t>1706:バイク販売・修理</t>
  </si>
  <si>
    <t>1806:ハイヤー・タクシー</t>
  </si>
  <si>
    <t>1906:保険</t>
  </si>
  <si>
    <t>2006:その他寺院・神社・教会</t>
  </si>
  <si>
    <t>2106:農業協同組合</t>
  </si>
  <si>
    <t>2206:サッカーＪリーグ</t>
  </si>
  <si>
    <t>2306:保健所</t>
  </si>
  <si>
    <t>2606:ラジオ局</t>
  </si>
  <si>
    <t>2706:婦人・子供・ベビー服</t>
  </si>
  <si>
    <t>2806:熱供給業</t>
  </si>
  <si>
    <t>0700:教育・習い事</t>
  </si>
  <si>
    <t>0307:ディスカウントショップ</t>
  </si>
  <si>
    <t>0407:着物・呉服</t>
  </si>
  <si>
    <t>0507:ゴルフ用品</t>
  </si>
  <si>
    <t>0607:スイミングスクール</t>
  </si>
  <si>
    <t>0707:英会話・英語教室</t>
  </si>
  <si>
    <t>0807:中学校</t>
  </si>
  <si>
    <t>0907:エステティックサロン</t>
  </si>
  <si>
    <t>1007:歯科</t>
  </si>
  <si>
    <t>1107:デザイン事務所</t>
  </si>
  <si>
    <t>1207:不用品回収</t>
  </si>
  <si>
    <t>1307:ドッグラン</t>
  </si>
  <si>
    <t>1407:墓地</t>
  </si>
  <si>
    <t>1507:ベットハウス</t>
  </si>
  <si>
    <t>1607:ゲームセンター</t>
  </si>
  <si>
    <t>1707:中古バイク販売・買取</t>
  </si>
  <si>
    <t>1807:介護タクシー</t>
  </si>
  <si>
    <t>1907:クレジットカード</t>
  </si>
  <si>
    <t>2107:政党</t>
  </si>
  <si>
    <t>2207:女子サッカー</t>
  </si>
  <si>
    <t>2307:職業安定所</t>
  </si>
  <si>
    <t>2607:新聞社</t>
  </si>
  <si>
    <t>2707:靴</t>
  </si>
  <si>
    <t>2807:事業サービス業</t>
  </si>
  <si>
    <t>0800:保育・学校</t>
  </si>
  <si>
    <t>0308:リサイクルショップ</t>
  </si>
  <si>
    <t>0408:貸衣しょう</t>
  </si>
  <si>
    <t>0508:テニス用品</t>
  </si>
  <si>
    <t>0608:フットサル・サッカーコート</t>
  </si>
  <si>
    <t>0708:幼児教室</t>
  </si>
  <si>
    <t>0808:高等学校</t>
  </si>
  <si>
    <t>0908:痩身サロン</t>
  </si>
  <si>
    <t>1008:審美歯科・ホワイトニング</t>
  </si>
  <si>
    <t>1108:経営コンサルタント</t>
  </si>
  <si>
    <t>1208:家事代行サービス・便利屋</t>
  </si>
  <si>
    <t>1308:ペット葬儀・墓地</t>
  </si>
  <si>
    <t>1408:その他冠婚葬祭</t>
  </si>
  <si>
    <t>1508:ファッションホテル</t>
  </si>
  <si>
    <t>1608:ビリヤード</t>
  </si>
  <si>
    <t>1708:バイク部品・用品販売</t>
  </si>
  <si>
    <t>1808:運転代行</t>
  </si>
  <si>
    <t>1908:貸金業</t>
  </si>
  <si>
    <t>2108:その他団体</t>
  </si>
  <si>
    <t>2208:少年サッカー</t>
  </si>
  <si>
    <t>2308:年金事務所</t>
  </si>
  <si>
    <t>2608:通信業</t>
  </si>
  <si>
    <t>2708:服飾品</t>
  </si>
  <si>
    <t>2808:速記・ワープロ入力・パソコン入力</t>
  </si>
  <si>
    <t>0900:美容・サロン</t>
  </si>
  <si>
    <t>0309:チケット店</t>
  </si>
  <si>
    <t>0509:武道用品</t>
  </si>
  <si>
    <t>0609:フットサル・サッカースクール</t>
  </si>
  <si>
    <t>0709:そろばん・珠算教室</t>
  </si>
  <si>
    <t>0809:定時制高等学校</t>
  </si>
  <si>
    <t>0909:脱毛サロン</t>
  </si>
  <si>
    <t>1009:耳鼻咽喉科</t>
  </si>
  <si>
    <t>1109:不動産鑑定業</t>
  </si>
  <si>
    <t>1209:引越しサービス</t>
  </si>
  <si>
    <t>1309:その他ペットサービス</t>
  </si>
  <si>
    <t>1509:その他宿泊施設</t>
  </si>
  <si>
    <t>1609:囲碁・将棋所</t>
  </si>
  <si>
    <t>1709:レンタカー</t>
  </si>
  <si>
    <t>1809:空港・飛行場</t>
  </si>
  <si>
    <t>1909:質屋</t>
  </si>
  <si>
    <t>2109:その他ローカルビジネス</t>
  </si>
  <si>
    <t>2209:フットサル</t>
  </si>
  <si>
    <t>2309:警察</t>
  </si>
  <si>
    <t>2609:情報サービス</t>
  </si>
  <si>
    <t>2709:寝具</t>
  </si>
  <si>
    <t>2809:計量証明</t>
  </si>
  <si>
    <t>1000:医療機関・診療所</t>
  </si>
  <si>
    <t>0310:プレイガイド・チケット販売</t>
  </si>
  <si>
    <t>0510:その他スポーツ用品</t>
  </si>
  <si>
    <t>0610:ヨガスタジオ・教室</t>
  </si>
  <si>
    <t>0710:書道教室</t>
  </si>
  <si>
    <t>0810:通信制高等学校</t>
  </si>
  <si>
    <t>0910:日焼けサロン</t>
  </si>
  <si>
    <t>1010:アレルギー科</t>
  </si>
  <si>
    <t>1110:行政書士事務所</t>
  </si>
  <si>
    <t>1210:荷物宅配サービス</t>
  </si>
  <si>
    <t>1610:競輪・競馬・競艇・オートレース</t>
  </si>
  <si>
    <t>1710:レンタルバイク</t>
  </si>
  <si>
    <t>1810:航空会社</t>
  </si>
  <si>
    <t>1910:その他銀行・保険・金融</t>
  </si>
  <si>
    <t>2210:フットサルFリーグ</t>
  </si>
  <si>
    <t>2310:消防</t>
  </si>
  <si>
    <t>2610:広告制作・代理店</t>
  </si>
  <si>
    <t>2710:パルプ・紙</t>
  </si>
  <si>
    <t>2810:機械修理</t>
  </si>
  <si>
    <t>1100:専門サービス</t>
  </si>
  <si>
    <t>0311:買取専門店</t>
  </si>
  <si>
    <t>0611:ダンススタジオ・スクール</t>
  </si>
  <si>
    <t>0711:華道・茶道教室</t>
  </si>
  <si>
    <t>0811:高等学校所属部活動</t>
  </si>
  <si>
    <t>0911:小顔矯正サロン</t>
  </si>
  <si>
    <t>1011:皮膚科</t>
  </si>
  <si>
    <t>1111:土地家屋調査士</t>
  </si>
  <si>
    <t>1211:郵便局</t>
  </si>
  <si>
    <t>1611:インターネットカフェ</t>
  </si>
  <si>
    <t>1711:ガソリンスタンド</t>
  </si>
  <si>
    <t>1811:その他交通機関・サービス</t>
  </si>
  <si>
    <t>2211:ラグビー</t>
  </si>
  <si>
    <t>2311:裁判所</t>
  </si>
  <si>
    <t>2611:映像制作</t>
  </si>
  <si>
    <t>2711:化学・薬品</t>
  </si>
  <si>
    <t>2811:その他修理業</t>
  </si>
  <si>
    <t>1200:生活関連サービス</t>
  </si>
  <si>
    <t>0312:ＣＤ・ＤＶＤ・レコード販売</t>
  </si>
  <si>
    <t>0612:バレエスタジオ・教室</t>
  </si>
  <si>
    <t>0712:舞踊教室</t>
  </si>
  <si>
    <t>0812:その他小学校・中学校・高校</t>
  </si>
  <si>
    <t>0912:美容サロン</t>
  </si>
  <si>
    <t>1012:美容クリニック・美容外科</t>
  </si>
  <si>
    <t>1112:興信所・探偵事務所</t>
  </si>
  <si>
    <t>1212:パソコン修理・サポート</t>
  </si>
  <si>
    <t>1612:その他娯楽・エンタメ</t>
  </si>
  <si>
    <t>1712:ロードサービス</t>
  </si>
  <si>
    <t>2212:ラグビートップリーグ</t>
  </si>
  <si>
    <t>2312:市町村機関</t>
  </si>
  <si>
    <t>2612:音楽製作</t>
  </si>
  <si>
    <t>2712:石油・石炭製品</t>
  </si>
  <si>
    <t>2812:産業廃棄物処理業</t>
  </si>
  <si>
    <t>1300:ペット</t>
  </si>
  <si>
    <t>0313:中古ＣＤ・ＤＶＤ・レコード販売</t>
  </si>
  <si>
    <t>0613:フィットネス・スポーツクラブ・ジム</t>
  </si>
  <si>
    <t>0713:着付け教室</t>
  </si>
  <si>
    <t>0813:高等専門学校</t>
  </si>
  <si>
    <t>1013:整形外科</t>
  </si>
  <si>
    <t>1113:警備</t>
  </si>
  <si>
    <t>1213:スマートフォン修理</t>
  </si>
  <si>
    <t>1613:劇団</t>
  </si>
  <si>
    <t>1713:レッカー・けん引</t>
  </si>
  <si>
    <t>2213:プロレス</t>
  </si>
  <si>
    <t>2313:都道府県機関</t>
  </si>
  <si>
    <t>2613:映画配給会社</t>
  </si>
  <si>
    <t>2713:ゴム製品</t>
  </si>
  <si>
    <t>2813:一般廃棄物処理業</t>
  </si>
  <si>
    <t>1400:冠婚葬祭</t>
  </si>
  <si>
    <t>0314:書店・本屋</t>
  </si>
  <si>
    <t>0614:加圧トレーニング・スタジオ</t>
  </si>
  <si>
    <t>0714:和裁・洋裁教室</t>
  </si>
  <si>
    <t>0814:高等専修学校</t>
  </si>
  <si>
    <t>1014:形成外科</t>
  </si>
  <si>
    <t>1114:翻訳</t>
  </si>
  <si>
    <t>1214:靴・かばん修理</t>
  </si>
  <si>
    <t>1614:楽団・舞踊団</t>
  </si>
  <si>
    <t>1714:駐車場</t>
  </si>
  <si>
    <t>2214:アイスホッケー</t>
  </si>
  <si>
    <t>2314:国家機関</t>
  </si>
  <si>
    <t>2614:その他通信・情報・メディア</t>
  </si>
  <si>
    <t>2714:窯業・ガラス</t>
  </si>
  <si>
    <t>2814:その他商業</t>
  </si>
  <si>
    <t>1500:宿泊施設</t>
  </si>
  <si>
    <t>0315:古本屋</t>
  </si>
  <si>
    <t>0615:ボルダリング・クライミング</t>
  </si>
  <si>
    <t>0715:料理教室</t>
  </si>
  <si>
    <t>0815:短期大学</t>
  </si>
  <si>
    <t>1015:消化器科・胃腸科</t>
  </si>
  <si>
    <t>1115:通訳・通訳案内</t>
  </si>
  <si>
    <t>1215:芸術品修理業</t>
  </si>
  <si>
    <t>1615:コンサート・音楽イベント</t>
  </si>
  <si>
    <t>1715:道路情報サービス</t>
  </si>
  <si>
    <t>2215:アジアリーグアイスホッケー</t>
  </si>
  <si>
    <t>2315:その他官公庁</t>
  </si>
  <si>
    <t>2715:鉄鋼</t>
  </si>
  <si>
    <t>1600:旅行・エンタメ・レジャー</t>
  </si>
  <si>
    <t>0316:電子書籍</t>
  </si>
  <si>
    <t>0616:ボクシングジム</t>
  </si>
  <si>
    <t>0716:お菓子教室</t>
  </si>
  <si>
    <t>0816:大学</t>
  </si>
  <si>
    <t>1016:泌尿器科</t>
  </si>
  <si>
    <t>1116:スポーツ・エンタメ興行</t>
  </si>
  <si>
    <t>1216:その他各種修理・修繕</t>
  </si>
  <si>
    <t>1616:展示会・博覧会</t>
  </si>
  <si>
    <t>1716:自動車教習所</t>
  </si>
  <si>
    <t>2216:アメリカンフットボール</t>
  </si>
  <si>
    <t>2316:外国公館・国連</t>
  </si>
  <si>
    <t>2716:非鉄金属</t>
  </si>
  <si>
    <t>1700:自動車・バイク</t>
  </si>
  <si>
    <t>0317:骨董・古美術品</t>
  </si>
  <si>
    <t>0617:健康教室</t>
  </si>
  <si>
    <t>0717:パン教室</t>
  </si>
  <si>
    <t>0817:大学院</t>
  </si>
  <si>
    <t>1017:呼吸器科</t>
  </si>
  <si>
    <t>1117:職業紹介</t>
  </si>
  <si>
    <t>1217:各種代行サービス</t>
  </si>
  <si>
    <t>1617:その他イベント</t>
  </si>
  <si>
    <t>1717:その他自動車・バイク</t>
  </si>
  <si>
    <t>2217:ソフトボール</t>
  </si>
  <si>
    <t>2317:自治体公式キャラクター</t>
  </si>
  <si>
    <t>2717:金属製品</t>
  </si>
  <si>
    <t>1800:交通機関・サービス</t>
  </si>
  <si>
    <t>0318:家電・パソコン</t>
  </si>
  <si>
    <t>0618:体育・体操教室</t>
  </si>
  <si>
    <t>0718:音楽教室</t>
  </si>
  <si>
    <t>0818:大学所属サークル・部活動</t>
  </si>
  <si>
    <t>1018:循環器科</t>
  </si>
  <si>
    <t>1118:労働者・人材派遣</t>
  </si>
  <si>
    <t>1218:各種出張サービス</t>
  </si>
  <si>
    <t>1618:テーマパーク・遊園地</t>
  </si>
  <si>
    <t>2218:バスケットボール</t>
  </si>
  <si>
    <t>2318:その他公共機関・施設</t>
  </si>
  <si>
    <t>2718:機械製品</t>
  </si>
  <si>
    <t>1900:銀行・保険・金融</t>
  </si>
  <si>
    <t>0319:携帯電話・PHS</t>
  </si>
  <si>
    <t>0619:空手道場・教室</t>
  </si>
  <si>
    <t>0719:ピアノ教室</t>
  </si>
  <si>
    <t>0819:専修学校・専門学校</t>
  </si>
  <si>
    <t>1019:肛門科</t>
  </si>
  <si>
    <t>1119:音楽家・芸術家</t>
  </si>
  <si>
    <t>1219:悩み相談・カウンセリング</t>
  </si>
  <si>
    <t>1619:公園</t>
  </si>
  <si>
    <t>2219:バスケbjリーグ</t>
  </si>
  <si>
    <t>2719:電気機器</t>
  </si>
  <si>
    <t>2000:寺院・神社・教会</t>
  </si>
  <si>
    <t>0320:時計</t>
  </si>
  <si>
    <t>0620:乗馬クラブ・教室</t>
  </si>
  <si>
    <t>0720:ボイス・ボーカル教室</t>
  </si>
  <si>
    <t>0820:通信制大学</t>
  </si>
  <si>
    <t>1020:心臓血管外科</t>
  </si>
  <si>
    <t>1120:その他専門サービス業</t>
  </si>
  <si>
    <t>1220:クリーニング</t>
  </si>
  <si>
    <t>1620:天文台</t>
  </si>
  <si>
    <t>2220:ミニバスケットボール</t>
  </si>
  <si>
    <t>2720:輸送用機器・自動車</t>
  </si>
  <si>
    <t>2100:団体</t>
  </si>
  <si>
    <t>0321:メガネ・コンタクトレンズ・補聴器</t>
  </si>
  <si>
    <t>0621:ゴルフ練習場・スクール</t>
  </si>
  <si>
    <t>0721:ギター教室</t>
  </si>
  <si>
    <t>0821:その他大学・専門学校</t>
  </si>
  <si>
    <t>1021:脳神経外科</t>
  </si>
  <si>
    <t>1221:写真店・フォトスタジオ</t>
  </si>
  <si>
    <t>1621:プラネタリウム</t>
  </si>
  <si>
    <t>2221:バレーボール</t>
  </si>
  <si>
    <t>2721:精密機器</t>
  </si>
  <si>
    <t>2200:スポーツチーム・団体</t>
  </si>
  <si>
    <t>0322:化粧品・メイク用品</t>
  </si>
  <si>
    <t>0622:スキー場</t>
  </si>
  <si>
    <t>0722:タレントスクール</t>
  </si>
  <si>
    <t>0822:養護学校</t>
  </si>
  <si>
    <t>1022:心療内科</t>
  </si>
  <si>
    <t>1222:一般印刷</t>
  </si>
  <si>
    <t>1622:動物園</t>
  </si>
  <si>
    <t>2222:ビーチバレー</t>
  </si>
  <si>
    <t>2722:木製品</t>
  </si>
  <si>
    <t>2300:公共機関・施設</t>
  </si>
  <si>
    <t>0323:自転車・サイクルショップ</t>
  </si>
  <si>
    <t>0623:スケート場</t>
  </si>
  <si>
    <t>0723:絵画・アート教室</t>
  </si>
  <si>
    <t>0823:盲学校</t>
  </si>
  <si>
    <t>1023:神経内科</t>
  </si>
  <si>
    <t>1223:撮影サービス</t>
  </si>
  <si>
    <t>1623:植物園</t>
  </si>
  <si>
    <t>2223:ハンドボール</t>
  </si>
  <si>
    <t>2723:日用品・雑貨</t>
  </si>
  <si>
    <t>2400:福祉・介護</t>
  </si>
  <si>
    <t>0324:おもちゃ・玩具</t>
  </si>
  <si>
    <t>0624:キャンプ場</t>
  </si>
  <si>
    <t>0724:手芸・クラフト教室</t>
  </si>
  <si>
    <t>0824:ろう学校</t>
  </si>
  <si>
    <t>1024:精神神経科</t>
  </si>
  <si>
    <t>1224:音楽スタジオ</t>
  </si>
  <si>
    <t>1624:水族館</t>
  </si>
  <si>
    <t>2224:ホッケー</t>
  </si>
  <si>
    <t>2724:医薬品・化粧品</t>
  </si>
  <si>
    <t>2500:電気・ガス・エネルギー</t>
  </si>
  <si>
    <t>0325:子供服・ベビー用品</t>
  </si>
  <si>
    <t>0625:ボウリング場</t>
  </si>
  <si>
    <t>0725:フラワー教室</t>
  </si>
  <si>
    <t>0825:同窓会・OB会</t>
  </si>
  <si>
    <t>1025:放射線科</t>
  </si>
  <si>
    <t>1225:レンタルスペース</t>
  </si>
  <si>
    <t>1625:ドライブイン・道の駅</t>
  </si>
  <si>
    <t>2225:スポーツイベント</t>
  </si>
  <si>
    <t>2725:皮革・合成皮革製品</t>
  </si>
  <si>
    <t>2600:通信・情報・メディア</t>
  </si>
  <si>
    <t>0326:文房具</t>
  </si>
  <si>
    <t>0626:バッティングセンター</t>
  </si>
  <si>
    <t>0726:工芸教室</t>
  </si>
  <si>
    <t>0826:研究機関</t>
  </si>
  <si>
    <t>1026:麻酔科</t>
  </si>
  <si>
    <t>1226:コワーキングスペース・シェアオフィス</t>
  </si>
  <si>
    <t>1626:銭湯・公衆浴場・温泉浴場</t>
  </si>
  <si>
    <t>2226:スポーツリーグ</t>
  </si>
  <si>
    <t>2726:スポーツ用品</t>
  </si>
  <si>
    <t>2700:製造業</t>
  </si>
  <si>
    <t>0327:事務所・店舗用装備品</t>
  </si>
  <si>
    <t>0627:つり堀</t>
  </si>
  <si>
    <t>0727:陶芸教室</t>
  </si>
  <si>
    <t>1027:リウマチ科</t>
  </si>
  <si>
    <t>1227:自習室</t>
  </si>
  <si>
    <t>1627:ヘルスセンター・健康ランド</t>
  </si>
  <si>
    <t>2227:その他スポーツチーム・団体</t>
  </si>
  <si>
    <t>2727:ゲーム・おもちゃ</t>
  </si>
  <si>
    <t>2800:商業</t>
  </si>
  <si>
    <t>0328:生活雑貨・インテリア用品</t>
  </si>
  <si>
    <t>0628:ヨットハーバー・マリーナ</t>
  </si>
  <si>
    <t>0728:カルチャースクール</t>
  </si>
  <si>
    <t>1028:性病科</t>
  </si>
  <si>
    <t>1228:レンタルビデオ・CD・貸本</t>
  </si>
  <si>
    <t>1628:歴史的建造物・観光名所</t>
  </si>
  <si>
    <t>2728:事務用品・OA機器</t>
  </si>
  <si>
    <t>2900:水産・農林</t>
  </si>
  <si>
    <t>0329:家具</t>
  </si>
  <si>
    <t>0629:その他スポーツ施設</t>
  </si>
  <si>
    <t>0729:ビジネススクール・就活スクール</t>
  </si>
  <si>
    <t>1029:リハビリテーション科</t>
  </si>
  <si>
    <t>1229:レンタルサービス</t>
  </si>
  <si>
    <t>1629:その他レジャー施設</t>
  </si>
  <si>
    <t>2729:レコード・ＣＤ制作</t>
  </si>
  <si>
    <t>3000:鉱業</t>
  </si>
  <si>
    <t>0330:住宅設備</t>
  </si>
  <si>
    <t>0630:その他スポーツ教室・道場</t>
  </si>
  <si>
    <t>0730:その他各種教室</t>
  </si>
  <si>
    <t>1030:総合病院</t>
  </si>
  <si>
    <t>1230:レンタサイクル</t>
  </si>
  <si>
    <t>1630:観光協会・旅行ガイド</t>
  </si>
  <si>
    <t>2730:楽器</t>
  </si>
  <si>
    <t>3100:建設・土木</t>
  </si>
  <si>
    <t>0331:キッチン用品・食器</t>
  </si>
  <si>
    <t>0631:スポーツサービス</t>
  </si>
  <si>
    <t>0731:通信教育</t>
  </si>
  <si>
    <t>1031:医院・診療所</t>
  </si>
  <si>
    <t>1231:新聞販売店</t>
  </si>
  <si>
    <t>1631:旅行代理店</t>
  </si>
  <si>
    <t>2731:PC・コンピュータ・周辺機器</t>
  </si>
  <si>
    <t>3200:印刷・出版</t>
  </si>
  <si>
    <t>0332:荒物・日用品</t>
  </si>
  <si>
    <t>0732:研修センター</t>
  </si>
  <si>
    <t>1032:人間ドック・健康診断</t>
  </si>
  <si>
    <t>1232:その他生活関連サービス</t>
  </si>
  <si>
    <t>1632:その他旅行・レジャー</t>
  </si>
  <si>
    <t>2732:ソフトウェア</t>
  </si>
  <si>
    <t>3300:運送・倉庫</t>
  </si>
  <si>
    <t>0333:花・植木店</t>
  </si>
  <si>
    <t>1033:その他病院・診療所</t>
  </si>
  <si>
    <t>1633:オンラインゲーム</t>
  </si>
  <si>
    <t>2733:健康機器・理美容用品</t>
  </si>
  <si>
    <t>0334:仏壇・仏具</t>
  </si>
  <si>
    <t>1034:あんまマッサージ・針灸・整体</t>
  </si>
  <si>
    <t>2734:ベビー・子ども用品</t>
  </si>
  <si>
    <t>0335:その他ショッピング</t>
  </si>
  <si>
    <t>1035:その他各種療法</t>
  </si>
  <si>
    <t>2735:キッチン・料理用器具</t>
  </si>
  <si>
    <t>1036:処方箋薬局</t>
  </si>
  <si>
    <t>2736:その他製品</t>
  </si>
  <si>
    <t>1037:歯科技工所</t>
  </si>
  <si>
    <t>1038:医療附帯サービス</t>
  </si>
  <si>
    <t>1039:その他医療関係施設・サービス</t>
  </si>
  <si>
    <t>●OrigamiPay業種カテゴリー</t>
    <rPh sb="11" eb="13">
      <t>ギョウシュ</t>
    </rPh>
    <phoneticPr fontId="3"/>
  </si>
  <si>
    <t>カテゴリー</t>
    <phoneticPr fontId="3"/>
  </si>
  <si>
    <t>美容</t>
  </si>
  <si>
    <t>コンビニ・スーパー・食料飲料品店</t>
    <phoneticPr fontId="3"/>
  </si>
  <si>
    <t>百貨店・量販店・専門店</t>
    <phoneticPr fontId="3"/>
  </si>
  <si>
    <t>交通・運送・運輸関連サービス</t>
    <phoneticPr fontId="3"/>
  </si>
  <si>
    <t>レジャー・エンターテイメント・フィットネス</t>
    <phoneticPr fontId="3"/>
  </si>
  <si>
    <t>観光・宿泊</t>
    <phoneticPr fontId="3"/>
  </si>
  <si>
    <t>医療</t>
  </si>
  <si>
    <t>教育・習い事</t>
    <phoneticPr fontId="3"/>
  </si>
  <si>
    <t>非営利・団体</t>
    <phoneticPr fontId="3"/>
  </si>
  <si>
    <t>00000:選択してください</t>
    <rPh sb="6" eb="8">
      <t>センタク</t>
    </rPh>
    <phoneticPr fontId="3"/>
  </si>
  <si>
    <t>01000:ファッション</t>
  </si>
  <si>
    <t>01001:アパレル・服飾・ブティック</t>
  </si>
  <si>
    <t>02001:カフェ・喫茶店</t>
  </si>
  <si>
    <t>03001:コスメ</t>
  </si>
  <si>
    <t>04001:コンビニエンスストア</t>
  </si>
  <si>
    <t>05001:百貨店・デパート・ショッピングセンター・モール</t>
  </si>
  <si>
    <t>06001:タクシー・運転代行</t>
  </si>
  <si>
    <t>07001:映画館・劇場・舞台</t>
  </si>
  <si>
    <t>08001:ホテル</t>
  </si>
  <si>
    <t>09001:本・雑誌・CD・DVD</t>
  </si>
  <si>
    <t>10001:ハウスクリーニング</t>
  </si>
  <si>
    <t>11001:医療サービス・クリニック</t>
  </si>
  <si>
    <t>12001:学習塾・予備校</t>
  </si>
  <si>
    <t>13001:非営利団体</t>
  </si>
  <si>
    <t>02000:飲食</t>
  </si>
  <si>
    <t>01002:アクセサリー</t>
  </si>
  <si>
    <t>02002:ファストフード</t>
  </si>
  <si>
    <t>03002:ヘアサロン</t>
  </si>
  <si>
    <t>04002:スーパーマーケット</t>
  </si>
  <si>
    <t>05002:ドラッグストア・薬局</t>
  </si>
  <si>
    <t>06002:バス・長距離バス・貸切バス</t>
  </si>
  <si>
    <t>07002:イベント・フェスティバル</t>
  </si>
  <si>
    <t>08002:旅館・民宿・ペンション</t>
  </si>
  <si>
    <t>09002:文具・事務用品</t>
  </si>
  <si>
    <t>10002:ドライクリーニング・ランドリー</t>
  </si>
  <si>
    <t>11002:歯科医</t>
  </si>
  <si>
    <t>12002:語学学校</t>
  </si>
  <si>
    <t>13002:会員制組織</t>
  </si>
  <si>
    <t>03000:美容</t>
  </si>
  <si>
    <t>01003:靴・鞄</t>
  </si>
  <si>
    <t>02003:ベーカリー</t>
  </si>
  <si>
    <t>03003:エステティックサロン</t>
  </si>
  <si>
    <t>04003:酒屋・酒造</t>
  </si>
  <si>
    <t>05003:家電量販店</t>
  </si>
  <si>
    <t>06003:レンタカー</t>
  </si>
  <si>
    <t>07003:遊園地</t>
  </si>
  <si>
    <t>08003:ロッジ・コテージ・キャンプ場</t>
  </si>
  <si>
    <t>09003:インテリア・雑貨</t>
  </si>
  <si>
    <t>10003:駐車場</t>
  </si>
  <si>
    <t>11003:眼科医</t>
  </si>
  <si>
    <t>12003:家庭教師・家庭教師派遣</t>
  </si>
  <si>
    <t>13003:政治団体</t>
  </si>
  <si>
    <t>04000:コンビニ・スーパー・食料飲料品店</t>
    <phoneticPr fontId="3"/>
  </si>
  <si>
    <t>01004:時計</t>
  </si>
  <si>
    <t>02004:和洋菓子店・スイーツ店</t>
  </si>
  <si>
    <t>03004:ネイルサロン</t>
  </si>
  <si>
    <t>04004:食料品店</t>
  </si>
  <si>
    <t>05004:家具・インテリア量販店</t>
  </si>
  <si>
    <t>06004:電車</t>
  </si>
  <si>
    <t>07004:興行チケット</t>
  </si>
  <si>
    <t>08004:貸別荘</t>
  </si>
  <si>
    <t>09004:メガネ・補聴器・コンタクトレンズ</t>
  </si>
  <si>
    <t>10004:ペットサロン・トリマー</t>
  </si>
  <si>
    <t>11004:精神科・カウンセリング</t>
  </si>
  <si>
    <t>12004:パソコン教室</t>
  </si>
  <si>
    <t>13004:宗教団体</t>
  </si>
  <si>
    <t>05000:百貨店・量販店・専門店</t>
    <phoneticPr fontId="3"/>
  </si>
  <si>
    <t>01005:子供服・乳幼児用品</t>
  </si>
  <si>
    <t>02005:ファミリーレストラン</t>
  </si>
  <si>
    <t>03005:スタイリスト・美容コンサルティング</t>
  </si>
  <si>
    <t>04005:その他コンビニ・スーパー・食料飲料品店</t>
  </si>
  <si>
    <t>05005:総合生活雑貨</t>
  </si>
  <si>
    <t>06005:引越し</t>
  </si>
  <si>
    <t>07005:音楽スタジオ</t>
  </si>
  <si>
    <t>08005:保養施設</t>
  </si>
  <si>
    <t>09005:フラワーショップ・花屋・観葉植物</t>
  </si>
  <si>
    <t>10005:配送・配達</t>
  </si>
  <si>
    <t>11005:施術師</t>
  </si>
  <si>
    <t>12005:保育施設</t>
  </si>
  <si>
    <t>13005:その他非営利・団体</t>
  </si>
  <si>
    <t>06000:交通・運送・運輸関連サービス</t>
    <phoneticPr fontId="3"/>
  </si>
  <si>
    <t>01006:下着専門</t>
  </si>
  <si>
    <t>02006:和食</t>
  </si>
  <si>
    <t>03006:日焼けサロン</t>
  </si>
  <si>
    <t>05006:ディスカウントショップ・100円ショップ</t>
  </si>
  <si>
    <t>06006:配達・デリバリー業</t>
  </si>
  <si>
    <t>07006:ヨガスタジオ・ピラテススタジオ</t>
  </si>
  <si>
    <t>08006:旅行代理店</t>
  </si>
  <si>
    <t>09006:文房具品店・家庭事務用品・事務用品</t>
  </si>
  <si>
    <t>10006:建築・インテリアデザイン</t>
  </si>
  <si>
    <t>11006:代替医療サービス</t>
  </si>
  <si>
    <t>12006:カルチャースクール</t>
  </si>
  <si>
    <t>07000:レジャー・エンターテイメント・フィットネス</t>
    <phoneticPr fontId="3"/>
  </si>
  <si>
    <t>01007:制服・ユニフォーム</t>
  </si>
  <si>
    <t>02007:洋食</t>
  </si>
  <si>
    <t>03007:マッサージ</t>
  </si>
  <si>
    <t>05007:ホームセンター</t>
  </si>
  <si>
    <t>06007:バイク便</t>
  </si>
  <si>
    <t>07007:レジャー施設・レクリエーション・アウトドア</t>
  </si>
  <si>
    <t>08007:観光案内</t>
  </si>
  <si>
    <t>09007:ホビーショップ</t>
  </si>
  <si>
    <t>10007:広告・マーケティング・印刷</t>
  </si>
  <si>
    <t>11007:獣医</t>
  </si>
  <si>
    <t>12007:ダンス教室</t>
  </si>
  <si>
    <t>08000:観光・宿泊</t>
    <phoneticPr fontId="3"/>
  </si>
  <si>
    <t>01008:呉服・着物</t>
  </si>
  <si>
    <t>02008:中華</t>
  </si>
  <si>
    <t>03008:脱毛</t>
  </si>
  <si>
    <t>05008:カー用品店</t>
  </si>
  <si>
    <t>06008:リムジン・ハイヤー</t>
  </si>
  <si>
    <t>07008:スポーツ施設</t>
  </si>
  <si>
    <t>08008:その他観光・宿泊</t>
  </si>
  <si>
    <t>09008:ペットショップ</t>
  </si>
  <si>
    <t>10008:不動産（分譲）</t>
  </si>
  <si>
    <t>11008:整体・鍼灸</t>
  </si>
  <si>
    <t>12008:音楽教室・楽器教室</t>
  </si>
  <si>
    <t>09000:小売</t>
  </si>
  <si>
    <t>01009:その他ファッション</t>
  </si>
  <si>
    <t>02009:フレンチ料理</t>
  </si>
  <si>
    <t>03009:発毛・育毛</t>
  </si>
  <si>
    <t>05009:その他百貨店・量販店・専門店</t>
  </si>
  <si>
    <t>06009:ロープウェー</t>
  </si>
  <si>
    <t>07009:フィットネスクラブ</t>
  </si>
  <si>
    <t>09009:楽器</t>
  </si>
  <si>
    <t>10009:不動産（賃貸）</t>
  </si>
  <si>
    <t>11009:美容整形</t>
  </si>
  <si>
    <t>12009:料理教室</t>
  </si>
  <si>
    <t>10000:専門サービス</t>
  </si>
  <si>
    <t>02010:イタリアン料理</t>
  </si>
  <si>
    <t>03010:その他美容</t>
  </si>
  <si>
    <t>06010:船舶・船</t>
  </si>
  <si>
    <t>07010:インターネットカフェ・漫画喫茶</t>
  </si>
  <si>
    <t>09010:スポーツ用具</t>
  </si>
  <si>
    <t>10010:レンタルオフィス・コワーキングスペース</t>
  </si>
  <si>
    <t>11010:その他医療</t>
  </si>
  <si>
    <t>12010:芸術・アート教室</t>
  </si>
  <si>
    <t>11000:医療</t>
  </si>
  <si>
    <t>02011:その他各国料理</t>
  </si>
  <si>
    <t>06011:その他交通・運送・運輸関連サービス</t>
  </si>
  <si>
    <t>07011:銭湯・サウナ・岩盤浴・健康ランド</t>
  </si>
  <si>
    <t>09011:写真屋</t>
  </si>
  <si>
    <t>10011:デザイン</t>
  </si>
  <si>
    <t>12011:大学</t>
  </si>
  <si>
    <t>12000:教育・習い事</t>
    <phoneticPr fontId="3"/>
  </si>
  <si>
    <t>02012:居酒屋</t>
  </si>
  <si>
    <t>07012:カラオケ</t>
  </si>
  <si>
    <t>09012:自動車</t>
  </si>
  <si>
    <t>10012:ウェブデザイン</t>
  </si>
  <si>
    <t>12012:専門学校</t>
  </si>
  <si>
    <t>13000:非営利・団体</t>
    <phoneticPr fontId="3"/>
  </si>
  <si>
    <t>02013:ラーメン</t>
  </si>
  <si>
    <t>07013:ゴルフ場・ゴルフ練習場</t>
  </si>
  <si>
    <t>09013:バイク</t>
  </si>
  <si>
    <t>10013:パソコン・周辺機器・修理保守関連サービス</t>
  </si>
  <si>
    <t>12013:その他教室・習い事</t>
  </si>
  <si>
    <t>02014:バー・クラブ・スナック</t>
  </si>
  <si>
    <t>07014:その他レジャー・エンターテイメント・フィットネス</t>
  </si>
  <si>
    <t>09014:自転車</t>
  </si>
  <si>
    <t>10014:システム・ソフトウェア開発・運用・保守</t>
  </si>
  <si>
    <t>02015:ケータリング・デリバリー</t>
  </si>
  <si>
    <t>09015:玩具・ゲーム</t>
  </si>
  <si>
    <t>10015:自動車・バイク関連サービス</t>
  </si>
  <si>
    <t>02016:屋台・移動食品販売</t>
  </si>
  <si>
    <t>09016:リサイクル・リユース販売</t>
  </si>
  <si>
    <t>10016:衣服お直し・靴修理</t>
  </si>
  <si>
    <t>02017:その他飲食</t>
  </si>
  <si>
    <t>09017:賃貸・レンタル</t>
  </si>
  <si>
    <t>10017:配管工事・水道設備</t>
  </si>
  <si>
    <t>09018:電気機器</t>
  </si>
  <si>
    <t>10018:時計・貴金属修理</t>
  </si>
  <si>
    <t>09019:金物店・工具店</t>
  </si>
  <si>
    <t>10019:電気設備設置・修理サービス</t>
  </si>
  <si>
    <t>09020:陶器・手芸・画材</t>
  </si>
  <si>
    <t>10020:住宅リフォーム・修理</t>
  </si>
  <si>
    <t>09021:土産物店・贈答品店</t>
  </si>
  <si>
    <t>10021:鍵交換・作成</t>
  </si>
  <si>
    <t>09022:ギャラリー・美術品</t>
  </si>
  <si>
    <t>10022:害虫駆除</t>
  </si>
  <si>
    <t>09023:骨董品</t>
  </si>
  <si>
    <t>10023:造園</t>
  </si>
  <si>
    <t>09024:フリーマーケット</t>
  </si>
  <si>
    <t>10024:便利屋</t>
  </si>
  <si>
    <t>09025:その他小売</t>
  </si>
  <si>
    <t>10025:会計</t>
  </si>
  <si>
    <t>10026:写真スタジオ・フォトグラファー</t>
  </si>
  <si>
    <t>10027:カウンセリング</t>
  </si>
  <si>
    <t>10028:司法サービス</t>
  </si>
  <si>
    <t>10029:介護ビジネス</t>
  </si>
  <si>
    <t>10030:結婚相談所・紹介所</t>
  </si>
  <si>
    <t>10031:会員権取引</t>
  </si>
  <si>
    <t>10032:その他専門サービス</t>
  </si>
  <si>
    <t>Map掲載</t>
    <rPh sb="3" eb="5">
      <t>ケイサイ</t>
    </rPh>
    <phoneticPr fontId="3"/>
  </si>
  <si>
    <t>掲載する</t>
    <rPh sb="0" eb="2">
      <t>ケイサイ</t>
    </rPh>
    <phoneticPr fontId="3"/>
  </si>
  <si>
    <t>掲載しない</t>
    <rPh sb="0" eb="2">
      <t>ケイサイ</t>
    </rPh>
    <phoneticPr fontId="3"/>
  </si>
  <si>
    <t>詳細</t>
    <rPh sb="0" eb="2">
      <t>ショウサイ</t>
    </rPh>
    <phoneticPr fontId="3"/>
  </si>
  <si>
    <t>←LINE Pay判定</t>
  </si>
  <si>
    <t>←Origami判定</t>
  </si>
  <si>
    <t>※M型はSIM申込ありにする</t>
    <rPh sb="2" eb="3">
      <t>ガタ</t>
    </rPh>
    <phoneticPr fontId="3"/>
  </si>
  <si>
    <t>リアルクレジット</t>
  </si>
  <si>
    <t>【個数】バーコードリーダー</t>
  </si>
  <si>
    <t>【単価】VEGA3000C-Touch</t>
  </si>
  <si>
    <t>【単価】VEGA3000C-Touch LTE</t>
  </si>
  <si>
    <t>【単価】VEGA3000M-Touch</t>
  </si>
  <si>
    <t>【単価】VEGA3000P-Touch</t>
  </si>
  <si>
    <t>【単価】ロール紙（10巻/箱）</t>
    <rPh sb="7" eb="8">
      <t>シ</t>
    </rPh>
    <rPh sb="11" eb="12">
      <t>マキ</t>
    </rPh>
    <rPh sb="13" eb="14">
      <t>ハコ</t>
    </rPh>
    <phoneticPr fontId="2"/>
  </si>
  <si>
    <t>【単価】POS連動ケーブル（1m）</t>
    <rPh sb="1" eb="3">
      <t>タンカ</t>
    </rPh>
    <phoneticPr fontId="2"/>
  </si>
  <si>
    <t>【単価】POS連動ケーブル（3m）</t>
    <rPh sb="1" eb="3">
      <t>タンカ</t>
    </rPh>
    <phoneticPr fontId="2"/>
  </si>
  <si>
    <t>【単価】シガーアダプター</t>
    <rPh sb="1" eb="3">
      <t>タンカ</t>
    </rPh>
    <phoneticPr fontId="2"/>
  </si>
  <si>
    <t>【単価】バーコードリーダー</t>
    <rPh sb="1" eb="3">
      <t>タンカ</t>
    </rPh>
    <phoneticPr fontId="2"/>
  </si>
  <si>
    <t>2ZY</t>
  </si>
  <si>
    <t>2ZX</t>
  </si>
  <si>
    <t>2ZW</t>
  </si>
  <si>
    <t>2ZV</t>
  </si>
  <si>
    <t>2ZU</t>
  </si>
  <si>
    <t>2ZT</t>
  </si>
  <si>
    <t>2ZS</t>
  </si>
  <si>
    <t>2ZR</t>
  </si>
  <si>
    <t>2ZQ</t>
  </si>
  <si>
    <t>2ZP</t>
  </si>
  <si>
    <t>導入予定店舗数</t>
  </si>
  <si>
    <t>サイトID</t>
  </si>
  <si>
    <t>企業名英字</t>
  </si>
  <si>
    <t>d払い業態</t>
    <rPh sb="1" eb="2">
      <t>ハラ</t>
    </rPh>
    <phoneticPr fontId="2"/>
  </si>
  <si>
    <t>MAP掲載</t>
    <rPh sb="3" eb="5">
      <t>ケイサイ</t>
    </rPh>
    <phoneticPr fontId="2"/>
  </si>
  <si>
    <t>チャンネルID</t>
  </si>
  <si>
    <t>チャンネルシークレットキー</t>
  </si>
  <si>
    <t>取次経路</t>
    <rPh sb="0" eb="2">
      <t>トリツギ</t>
    </rPh>
    <rPh sb="2" eb="4">
      <t>ケイロ</t>
    </rPh>
    <phoneticPr fontId="2"/>
  </si>
  <si>
    <t>会社名(英字表記)</t>
  </si>
  <si>
    <t>業種(カテゴリー)</t>
  </si>
  <si>
    <t>業種(詳細)</t>
  </si>
  <si>
    <t>明細書表示</t>
  </si>
  <si>
    <t>連絡先表示(代表者)</t>
    <rPh sb="6" eb="9">
      <t>ダイヒョウシャ</t>
    </rPh>
    <phoneticPr fontId="2"/>
  </si>
  <si>
    <t>連絡先表示(連絡先)</t>
    <rPh sb="6" eb="9">
      <t>レンラクサキ</t>
    </rPh>
    <phoneticPr fontId="2"/>
  </si>
  <si>
    <t>連絡先表示(アドレス)</t>
  </si>
  <si>
    <t>カテゴリーID</t>
  </si>
  <si>
    <t>マップ表示</t>
    <rPh sb="3" eb="5">
      <t>ヒョウジ</t>
    </rPh>
    <phoneticPr fontId="2"/>
  </si>
  <si>
    <t>緯度(店舗)</t>
    <rPh sb="0" eb="2">
      <t>イド</t>
    </rPh>
    <rPh sb="3" eb="5">
      <t>テンポ</t>
    </rPh>
    <phoneticPr fontId="2"/>
  </si>
  <si>
    <t>経度(店舗)</t>
    <rPh sb="0" eb="2">
      <t>ケイド</t>
    </rPh>
    <rPh sb="3" eb="5">
      <t>テンポ</t>
    </rPh>
    <phoneticPr fontId="2"/>
  </si>
  <si>
    <t>ブランド名カナ</t>
    <rPh sb="4" eb="5">
      <t>メイ</t>
    </rPh>
    <phoneticPr fontId="2"/>
  </si>
  <si>
    <t>料率区分</t>
    <rPh sb="0" eb="2">
      <t>リョウリツ</t>
    </rPh>
    <rPh sb="2" eb="4">
      <t>クブン</t>
    </rPh>
    <phoneticPr fontId="2"/>
  </si>
  <si>
    <t>加盟店区分</t>
    <rPh sb="0" eb="2">
      <t>カメイ</t>
    </rPh>
    <rPh sb="2" eb="3">
      <t>テン</t>
    </rPh>
    <rPh sb="3" eb="5">
      <t>クブン</t>
    </rPh>
    <phoneticPr fontId="2"/>
  </si>
  <si>
    <t>フランチャイズ特約有無</t>
  </si>
  <si>
    <t>公式アカウント申込</t>
  </si>
  <si>
    <t>個人情報利用目的同意</t>
    <rPh sb="0" eb="2">
      <t>コジン</t>
    </rPh>
    <rPh sb="2" eb="4">
      <t>ジョウホウ</t>
    </rPh>
    <rPh sb="4" eb="8">
      <t>リヨウモクテキ</t>
    </rPh>
    <rPh sb="8" eb="10">
      <t>ドウイ</t>
    </rPh>
    <phoneticPr fontId="2"/>
  </si>
  <si>
    <t>公式アカウント初期費用</t>
  </si>
  <si>
    <t>法人名中国語</t>
  </si>
  <si>
    <t>店舗名中国語</t>
  </si>
  <si>
    <t>ブランド名中国語</t>
  </si>
  <si>
    <t>サービス概要中国語</t>
  </si>
  <si>
    <t>店舗電話番号(国際)</t>
    <rPh sb="7" eb="9">
      <t>コクサイ</t>
    </rPh>
    <phoneticPr fontId="2"/>
  </si>
  <si>
    <t>ビジネスカテゴリ</t>
  </si>
  <si>
    <t>加盟店分類(MCC)</t>
  </si>
  <si>
    <t>PV4</t>
  </si>
  <si>
    <t>PV5</t>
  </si>
  <si>
    <t>PV6</t>
  </si>
  <si>
    <t>PV7</t>
  </si>
  <si>
    <t>PV8</t>
  </si>
  <si>
    <t>PV9</t>
  </si>
  <si>
    <t>PVA</t>
  </si>
  <si>
    <t>PVB</t>
  </si>
  <si>
    <t>PVC</t>
  </si>
  <si>
    <t>PVD</t>
  </si>
  <si>
    <t>0=無し、1=有り</t>
  </si>
  <si>
    <t>ビジネスカテゴリ</t>
    <phoneticPr fontId="3"/>
  </si>
  <si>
    <t>店舗住所中国語</t>
    <rPh sb="2" eb="4">
      <t>ジュウショ</t>
    </rPh>
    <phoneticPr fontId="2"/>
  </si>
  <si>
    <t>PW4</t>
  </si>
  <si>
    <t>PW5</t>
  </si>
  <si>
    <t>PW6</t>
  </si>
  <si>
    <t>PW7</t>
  </si>
  <si>
    <t>PW8</t>
  </si>
  <si>
    <t>会社電話番号(国際)</t>
  </si>
  <si>
    <t>PW9</t>
  </si>
  <si>
    <t>屋号アルファベット</t>
    <rPh sb="0" eb="2">
      <t>ヤゴウ</t>
    </rPh>
    <phoneticPr fontId="2"/>
  </si>
  <si>
    <t>PZA</t>
  </si>
  <si>
    <t>PZ6</t>
  </si>
  <si>
    <t>PZ7</t>
  </si>
  <si>
    <t>PZ8</t>
  </si>
  <si>
    <t>PZ9</t>
  </si>
  <si>
    <t>↓アルファベット</t>
    <phoneticPr fontId="3"/>
  </si>
  <si>
    <t>Hokkaido</t>
  </si>
  <si>
    <t>Aomori</t>
  </si>
  <si>
    <t>Iwate</t>
  </si>
  <si>
    <t>Miyagi</t>
  </si>
  <si>
    <t>Akita</t>
  </si>
  <si>
    <t>Yamagata</t>
  </si>
  <si>
    <t>Fukushima</t>
  </si>
  <si>
    <t>Ibaraki</t>
  </si>
  <si>
    <t>Tochigi</t>
  </si>
  <si>
    <t>Gunma</t>
  </si>
  <si>
    <t>Saitama</t>
  </si>
  <si>
    <t>Chiba</t>
  </si>
  <si>
    <t>Tokyo</t>
  </si>
  <si>
    <t>Kanagawa</t>
  </si>
  <si>
    <t>Niigata</t>
  </si>
  <si>
    <t>Toyama</t>
  </si>
  <si>
    <t>Ishikawa</t>
  </si>
  <si>
    <t>Fukui</t>
  </si>
  <si>
    <t>Yamanashi</t>
  </si>
  <si>
    <t>Nagano</t>
  </si>
  <si>
    <t>Gifu</t>
  </si>
  <si>
    <t>Shizuoka</t>
  </si>
  <si>
    <t>Aichi</t>
  </si>
  <si>
    <t>Mie</t>
  </si>
  <si>
    <t>Shiga</t>
  </si>
  <si>
    <t>Kyoto</t>
  </si>
  <si>
    <t>Osaka</t>
  </si>
  <si>
    <t>Hyogo</t>
  </si>
  <si>
    <t>Nara</t>
  </si>
  <si>
    <t>Wakayama</t>
  </si>
  <si>
    <t>Tottori</t>
  </si>
  <si>
    <t>Shimane</t>
  </si>
  <si>
    <t>Okayama</t>
  </si>
  <si>
    <t>Hiroshima</t>
  </si>
  <si>
    <t>Yamaguchi</t>
  </si>
  <si>
    <t>Tokushima</t>
  </si>
  <si>
    <t>Kagawa</t>
  </si>
  <si>
    <t>Ehime</t>
  </si>
  <si>
    <t>Kochi</t>
  </si>
  <si>
    <t>Fukuoka</t>
  </si>
  <si>
    <t>Saga</t>
  </si>
  <si>
    <t>Nagasaki</t>
  </si>
  <si>
    <t>Kumamoto</t>
  </si>
  <si>
    <t>Oita</t>
  </si>
  <si>
    <t>Miyazaki</t>
  </si>
  <si>
    <t>Kagoshima</t>
  </si>
  <si>
    <t>Okinawa</t>
  </si>
  <si>
    <t>24</t>
  </si>
  <si>
    <t>25</t>
  </si>
  <si>
    <t>26</t>
  </si>
  <si>
    <t>27</t>
  </si>
  <si>
    <t>28</t>
  </si>
  <si>
    <t>29</t>
  </si>
  <si>
    <t>31</t>
  </si>
  <si>
    <t>32</t>
  </si>
  <si>
    <t>33</t>
  </si>
  <si>
    <t>34</t>
  </si>
  <si>
    <t>35</t>
  </si>
  <si>
    <t>36</t>
  </si>
  <si>
    <t>37</t>
  </si>
  <si>
    <t>38</t>
  </si>
  <si>
    <t>39</t>
  </si>
  <si>
    <t>41</t>
  </si>
  <si>
    <t>42</t>
  </si>
  <si>
    <t>43</t>
  </si>
  <si>
    <t>44</t>
  </si>
  <si>
    <t>45</t>
  </si>
  <si>
    <t>46</t>
  </si>
  <si>
    <t>47</t>
  </si>
  <si>
    <t>0:標準、1:特別</t>
  </si>
  <si>
    <t>1:大手、2:個店</t>
  </si>
  <si>
    <t>0=表示する、1=表示しない</t>
  </si>
  <si>
    <t>Q0D</t>
  </si>
  <si>
    <t>Q0E</t>
  </si>
  <si>
    <t>Q0F</t>
  </si>
  <si>
    <t>Q0G</t>
  </si>
  <si>
    <t>PayPayフランチャイズ特約:</t>
    <phoneticPr fontId="3"/>
  </si>
  <si>
    <t>0:無</t>
  </si>
  <si>
    <t>93701</t>
  </si>
  <si>
    <t>Q12</t>
  </si>
  <si>
    <t>Q13</t>
  </si>
  <si>
    <t>93801</t>
  </si>
  <si>
    <t>Q22</t>
  </si>
  <si>
    <t>Q23</t>
  </si>
  <si>
    <t>Q24</t>
  </si>
  <si>
    <t>Q25</t>
  </si>
  <si>
    <t>0:非公開、1:公開</t>
  </si>
  <si>
    <t>93901</t>
  </si>
  <si>
    <t>Q32</t>
  </si>
  <si>
    <t>Q33</t>
  </si>
  <si>
    <t>Q34</t>
  </si>
  <si>
    <t>Q35</t>
  </si>
  <si>
    <t>Q36</t>
  </si>
  <si>
    <t>3033:ソフトバンク株式会社</t>
    <rPh sb="11" eb="13">
      <t>カブシキ</t>
    </rPh>
    <rPh sb="13" eb="15">
      <t>カイシャ</t>
    </rPh>
    <phoneticPr fontId="3"/>
  </si>
  <si>
    <t>6034:マックスコネクト株式会社</t>
  </si>
  <si>
    <t>6036:まいどソリューションズ株式会社</t>
  </si>
  <si>
    <t>6037:株式会社GRACE</t>
  </si>
  <si>
    <t>6038:株式会社大仏</t>
  </si>
  <si>
    <t>6039:株式会社サイモンズ</t>
  </si>
  <si>
    <t>6040:株式会社コネクト</t>
  </si>
  <si>
    <t>6042:ペタビット株式会社</t>
  </si>
  <si>
    <t>6044:SB C&amp;S株式会社</t>
  </si>
  <si>
    <t>6045:株式会社グッドフェローズ</t>
  </si>
  <si>
    <t>6048:株式会社NIS</t>
  </si>
  <si>
    <t>6028:株式会社ミューチュアルトラスト</t>
  </si>
  <si>
    <t>6032:グース株式会社</t>
  </si>
  <si>
    <t>Q37</t>
  </si>
  <si>
    <t>Q38</t>
  </si>
  <si>
    <t>Q39</t>
  </si>
  <si>
    <t>Q3A</t>
  </si>
  <si>
    <t>Q3B</t>
  </si>
  <si>
    <t>Q3C</t>
  </si>
  <si>
    <t>Q3D</t>
  </si>
  <si>
    <t>1:担当営業、2:専用URL</t>
  </si>
  <si>
    <t xml:space="preserve">1:加盟店名、2:店舗名(ブランド) </t>
  </si>
  <si>
    <t>0:利用しない、1:利用する</t>
  </si>
  <si>
    <t>94201</t>
  </si>
  <si>
    <t>Q62</t>
  </si>
  <si>
    <t>Q63</t>
  </si>
  <si>
    <t>Q64</t>
  </si>
  <si>
    <t>Q65</t>
  </si>
  <si>
    <t>メルペイ</t>
    <phoneticPr fontId="3"/>
  </si>
  <si>
    <t>フランチャイズ展開：</t>
    <rPh sb="7" eb="9">
      <t>テンカイ</t>
    </rPh>
    <phoneticPr fontId="3"/>
  </si>
  <si>
    <t>1300:電子機器</t>
  </si>
  <si>
    <t>カテゴリー</t>
    <phoneticPr fontId="3"/>
  </si>
  <si>
    <t>1303:携帯電話</t>
  </si>
  <si>
    <t>●メルペイ業種</t>
    <rPh sb="5" eb="7">
      <t>ギョウシュ</t>
    </rPh>
    <phoneticPr fontId="3"/>
  </si>
  <si>
    <t>小売総合</t>
  </si>
  <si>
    <t>食料品</t>
  </si>
  <si>
    <t>電子機器</t>
  </si>
  <si>
    <t>ホビー</t>
  </si>
  <si>
    <t>暮らし</t>
  </si>
  <si>
    <t>宿泊・娯楽・スポーツ等施設</t>
  </si>
  <si>
    <t>学習・教育・保育</t>
  </si>
  <si>
    <t>自動車関連</t>
  </si>
  <si>
    <t>交通・輸送</t>
  </si>
  <si>
    <t>公共事業・通信</t>
  </si>
  <si>
    <t>医療・介護</t>
  </si>
  <si>
    <t>エンタメ</t>
  </si>
  <si>
    <t>オンラインサービス</t>
  </si>
  <si>
    <t>無人端末</t>
  </si>
  <si>
    <t>1000:飲食</t>
  </si>
  <si>
    <t>1001:飲食店</t>
  </si>
  <si>
    <t>1101:百貨店・デパート・ショッピングモール</t>
  </si>
  <si>
    <t>1201:食料品全般</t>
  </si>
  <si>
    <t>1301:生活家電・パソコン</t>
  </si>
  <si>
    <t>1401:おもちゃ（フィギュア、カード含む）</t>
  </si>
  <si>
    <t>1501:生活雑貨</t>
  </si>
  <si>
    <t>1601:衣服</t>
  </si>
  <si>
    <t>1701:理髪店・美容院</t>
  </si>
  <si>
    <t>1801:宿泊代</t>
  </si>
  <si>
    <t>1901:託児所・幼稚園・保育園</t>
  </si>
  <si>
    <t>2001:新車販売（車・バイク）</t>
  </si>
  <si>
    <t>2101:鉄道・バス</t>
  </si>
  <si>
    <t>2201:電気・ガス・水道</t>
  </si>
  <si>
    <t>2301:病院</t>
  </si>
  <si>
    <t>2401:結婚相談所</t>
  </si>
  <si>
    <t>2501:結婚式場・ブライダルサービス</t>
  </si>
  <si>
    <t>2601:映画</t>
  </si>
  <si>
    <t>2701:寺院・神社・教会</t>
  </si>
  <si>
    <t>2801:オンラインゲーム</t>
  </si>
  <si>
    <t>2901:自動販売機</t>
  </si>
  <si>
    <t>1100:小売総合</t>
  </si>
  <si>
    <t>1002:居酒屋・バー</t>
  </si>
  <si>
    <t>1102:総合日用品</t>
  </si>
  <si>
    <t>1202:酒屋</t>
  </si>
  <si>
    <t>1302:カメラ・映像機器</t>
  </si>
  <si>
    <t>1402:楽器・楽譜</t>
  </si>
  <si>
    <t>1502:家具</t>
  </si>
  <si>
    <t>1602:靴</t>
  </si>
  <si>
    <t>1702:ネイルサロン・まつげエクステ</t>
  </si>
  <si>
    <t>1802:銭湯・温泉</t>
  </si>
  <si>
    <t>1902:ベビーシッター</t>
  </si>
  <si>
    <t>2002:中古車販売（車・バイク）</t>
  </si>
  <si>
    <t>2102:航空券・乗船券</t>
  </si>
  <si>
    <t>2202:通話料・プロバイダー料</t>
  </si>
  <si>
    <t>2302:美容整形</t>
  </si>
  <si>
    <t>2402:弁護士事務所</t>
  </si>
  <si>
    <t>2502:葬祭業・葬儀場</t>
  </si>
  <si>
    <t>2602:劇場・歌舞伎・ミュージカル</t>
  </si>
  <si>
    <t>2702:レンタルサービス</t>
  </si>
  <si>
    <t>2802:デジタルコンテンツ</t>
  </si>
  <si>
    <t>2902:自動精算機</t>
  </si>
  <si>
    <t>1200:食料品</t>
  </si>
  <si>
    <t>1003:スナック・クラブ・キャバレー</t>
  </si>
  <si>
    <t>1103:ドラッグストア</t>
  </si>
  <si>
    <t>1403:スポーツ用品</t>
  </si>
  <si>
    <t>1503:花</t>
  </si>
  <si>
    <t>1603:宝石・ジュエリー・腕時計</t>
  </si>
  <si>
    <t>1703:エステティシャン</t>
  </si>
  <si>
    <t>1803:アウトドア施設</t>
  </si>
  <si>
    <t>1903:学習塾・予備校・幼児教室</t>
  </si>
  <si>
    <t>2003:カー用品</t>
  </si>
  <si>
    <t>2103:レンタカー</t>
  </si>
  <si>
    <t>2303:医薬品</t>
  </si>
  <si>
    <t>2403:カウンセリング・コーチング</t>
  </si>
  <si>
    <t>2503:墓石・墓地</t>
  </si>
  <si>
    <t>2603:カラオケ・ゲームセンター</t>
  </si>
  <si>
    <t>2703:不明・該当なし</t>
  </si>
  <si>
    <t>2803:デジタルアプリケーション</t>
  </si>
  <si>
    <t>1004:デリバリー・ケータリング</t>
  </si>
  <si>
    <t>1104:コンビニエンスストア</t>
  </si>
  <si>
    <t>1404:園芸用品</t>
  </si>
  <si>
    <t>1504:ベビー用品</t>
  </si>
  <si>
    <t>1604:ファッションレンタル</t>
  </si>
  <si>
    <t>1704:マッサージ・カイロ</t>
  </si>
  <si>
    <t>1804:スポーツ施設・ジム</t>
  </si>
  <si>
    <t>1904:家庭教師・通信教育</t>
  </si>
  <si>
    <t>2004:自動車修理・車検</t>
  </si>
  <si>
    <t>2104:タクシー・運転代行・ハイヤー</t>
  </si>
  <si>
    <t>2304:歯科</t>
  </si>
  <si>
    <t>2404:探偵・興信所・警備</t>
  </si>
  <si>
    <t>2504:仏具・仏壇</t>
  </si>
  <si>
    <t>2604:コンサート・音楽イベント</t>
  </si>
  <si>
    <t>2804:その他Webサービス</t>
  </si>
  <si>
    <t>1400:ホビー</t>
  </si>
  <si>
    <t>1105:ホームセンター</t>
  </si>
  <si>
    <t>1405:美術品</t>
  </si>
  <si>
    <t>1505:ペット・ペット用品店・ペットホテル</t>
  </si>
  <si>
    <t>1705:化粧品・メイク用品</t>
  </si>
  <si>
    <t>1805:娯楽施設</t>
  </si>
  <si>
    <t>1905:パソコン教室・英会話・外国語教室</t>
  </si>
  <si>
    <t>2005:自転車販売・自転車用品・自転車修理</t>
  </si>
  <si>
    <t>2105:運送業・引越</t>
  </si>
  <si>
    <t>2305:整体・鍼灸</t>
  </si>
  <si>
    <t>2405:翻訳・通訳</t>
  </si>
  <si>
    <t>2605:博物館・美術館・科学館</t>
  </si>
  <si>
    <t>1500:暮らし</t>
  </si>
  <si>
    <t>1106:古本屋・リサイクルショップ</t>
  </si>
  <si>
    <t>1406:釣具</t>
  </si>
  <si>
    <t>1506:文房具・事務用品</t>
  </si>
  <si>
    <t>1706:その他スパ・サロン</t>
  </si>
  <si>
    <t>1806:駐車場</t>
  </si>
  <si>
    <t>1906:カルチャースクール</t>
  </si>
  <si>
    <t>2306:動物病院</t>
  </si>
  <si>
    <t>2406:人材派遣・職業紹介</t>
  </si>
  <si>
    <t>2606:旅行代理店・ガイド</t>
  </si>
  <si>
    <t>1600:ファッション</t>
  </si>
  <si>
    <t>1407:書籍</t>
  </si>
  <si>
    <t>1507:メガネ・コンタクトレンズ・補聴器</t>
  </si>
  <si>
    <t>1807:その他施設</t>
  </si>
  <si>
    <t>1907:自動車学校</t>
  </si>
  <si>
    <t>2307:介護施設・介護サービス</t>
  </si>
  <si>
    <t>2407:占い</t>
  </si>
  <si>
    <t>1700:美容</t>
  </si>
  <si>
    <t>1408:CD・DVD・ゲーム</t>
  </si>
  <si>
    <t>1508:ガソリン・灯油</t>
  </si>
  <si>
    <t>1908:コンサルティング・セミナー</t>
  </si>
  <si>
    <t>2308:児童福祉施設・児童福祉サービス</t>
  </si>
  <si>
    <t>2408:修理サービス</t>
  </si>
  <si>
    <t>1800:宿泊・娯楽・スポーツ等施設</t>
  </si>
  <si>
    <t>1509:リフォーム</t>
  </si>
  <si>
    <t>2309:その他医療</t>
  </si>
  <si>
    <t>2409:その他専門サービス</t>
  </si>
  <si>
    <t>1900:学習・教育・保育</t>
  </si>
  <si>
    <t>1510:購読・新聞</t>
  </si>
  <si>
    <t>2000:自動車関連</t>
  </si>
  <si>
    <t>1511:クリーニング</t>
  </si>
  <si>
    <t>2100:交通・輸送</t>
  </si>
  <si>
    <t>1512:たばこ（電子たばこ含む）</t>
  </si>
  <si>
    <t>2200:公共事業・通信</t>
  </si>
  <si>
    <t>2300:医療・介護</t>
  </si>
  <si>
    <t>2400:専門サービス</t>
  </si>
  <si>
    <t>2500:冠婚葬祭</t>
  </si>
  <si>
    <t>2600:エンタメ</t>
  </si>
  <si>
    <t>2700:その他</t>
  </si>
  <si>
    <t>2800:オンラインサービス</t>
  </si>
  <si>
    <t>2900:無人端末</t>
  </si>
  <si>
    <t>←メルペイ判定</t>
  </si>
  <si>
    <t>メルペイ</t>
    <phoneticPr fontId="3"/>
  </si>
  <si>
    <t>941001</t>
  </si>
  <si>
    <t>業種</t>
    <rPh sb="0" eb="2">
      <t>ギョウシュ</t>
    </rPh>
    <phoneticPr fontId="2"/>
  </si>
  <si>
    <t>カテゴリ</t>
  </si>
  <si>
    <t>1:リアル決済、2:ネット決済</t>
  </si>
  <si>
    <t>FC展開有無</t>
  </si>
  <si>
    <t>0:無し、1:有り</t>
  </si>
  <si>
    <t>一覧掲載可否</t>
  </si>
  <si>
    <t>94101</t>
  </si>
  <si>
    <t>Q52</t>
  </si>
  <si>
    <t>Q53</t>
  </si>
  <si>
    <t>Q54</t>
  </si>
  <si>
    <t>Q55</t>
  </si>
  <si>
    <t>Q57</t>
  </si>
  <si>
    <t>Q58</t>
  </si>
  <si>
    <t>バーコードリーダー（SmartBox C）</t>
    <phoneticPr fontId="3"/>
  </si>
  <si>
    <t>Q56</t>
  </si>
  <si>
    <t>ブランド名</t>
    <rPh sb="4" eb="5">
      <t>メイ</t>
    </rPh>
    <phoneticPr fontId="3"/>
  </si>
  <si>
    <r>
      <t xml:space="preserve">業種
</t>
    </r>
    <r>
      <rPr>
        <sz val="10"/>
        <rFont val="Meiryo UI"/>
        <family val="3"/>
        <charset val="128"/>
      </rPr>
      <t>(英語または中国語表記)</t>
    </r>
    <rPh sb="0" eb="2">
      <t>ギョウシュ</t>
    </rPh>
    <rPh sb="4" eb="6">
      <t>エイゴ</t>
    </rPh>
    <rPh sb="9" eb="12">
      <t>チュウゴクゴ</t>
    </rPh>
    <rPh sb="12" eb="14">
      <t>ヒョウキ</t>
    </rPh>
    <phoneticPr fontId="3"/>
  </si>
  <si>
    <r>
      <rPr>
        <sz val="12"/>
        <rFont val="Meiryo UI"/>
        <family val="3"/>
        <charset val="128"/>
      </rPr>
      <t>法人名</t>
    </r>
    <r>
      <rPr>
        <sz val="11"/>
        <rFont val="Meiryo UI"/>
        <family val="3"/>
        <charset val="128"/>
      </rPr>
      <t xml:space="preserve">
（個人事業主の
場合は個人名）</t>
    </r>
    <rPh sb="0" eb="2">
      <t>ホウジン</t>
    </rPh>
    <rPh sb="2" eb="3">
      <t>メイ</t>
    </rPh>
    <rPh sb="5" eb="7">
      <t>コジン</t>
    </rPh>
    <rPh sb="7" eb="10">
      <t>ジギョウヌシ</t>
    </rPh>
    <rPh sb="12" eb="14">
      <t>バアイ</t>
    </rPh>
    <rPh sb="15" eb="18">
      <t>コジンメイ</t>
    </rPh>
    <phoneticPr fontId="3"/>
  </si>
  <si>
    <r>
      <t>法人名</t>
    </r>
    <r>
      <rPr>
        <sz val="11"/>
        <rFont val="Meiryo UI"/>
        <family val="3"/>
        <charset val="128"/>
      </rPr>
      <t>（アルファベット
または中国語表記）</t>
    </r>
    <r>
      <rPr>
        <sz val="12"/>
        <rFont val="Meiryo UI"/>
        <family val="3"/>
        <charset val="128"/>
      </rPr>
      <t xml:space="preserve">
</t>
    </r>
    <r>
      <rPr>
        <sz val="9"/>
        <rFont val="Meiryo UI"/>
        <family val="3"/>
        <charset val="128"/>
      </rPr>
      <t>(個人事業主の場合は個人名)</t>
    </r>
    <rPh sb="0" eb="2">
      <t>ホウジン</t>
    </rPh>
    <rPh sb="2" eb="3">
      <t>メイ</t>
    </rPh>
    <rPh sb="15" eb="18">
      <t>チュウゴクゴ</t>
    </rPh>
    <rPh sb="18" eb="20">
      <t>ヒョウキ</t>
    </rPh>
    <rPh sb="23" eb="25">
      <t>コジン</t>
    </rPh>
    <rPh sb="25" eb="28">
      <t>ジギョウヌシ</t>
    </rPh>
    <rPh sb="29" eb="31">
      <t>バアイ</t>
    </rPh>
    <rPh sb="32" eb="35">
      <t>コジンメイ</t>
    </rPh>
    <phoneticPr fontId="3"/>
  </si>
  <si>
    <r>
      <t xml:space="preserve">法人名
</t>
    </r>
    <r>
      <rPr>
        <sz val="11"/>
        <rFont val="Meiryo UI"/>
        <family val="3"/>
        <charset val="128"/>
      </rPr>
      <t>(アルファベット表記)</t>
    </r>
    <r>
      <rPr>
        <sz val="12"/>
        <rFont val="Meiryo UI"/>
        <family val="3"/>
        <charset val="128"/>
      </rPr>
      <t xml:space="preserve">
</t>
    </r>
    <r>
      <rPr>
        <sz val="9"/>
        <rFont val="Meiryo UI"/>
        <family val="3"/>
        <charset val="128"/>
      </rPr>
      <t>(個人事業主の場合は個人名)</t>
    </r>
    <rPh sb="0" eb="2">
      <t>ホウジン</t>
    </rPh>
    <rPh sb="2" eb="3">
      <t>メイ</t>
    </rPh>
    <rPh sb="12" eb="14">
      <t>ヒョウキ</t>
    </rPh>
    <rPh sb="17" eb="19">
      <t>コジン</t>
    </rPh>
    <rPh sb="19" eb="22">
      <t>ジギョウヌシ</t>
    </rPh>
    <rPh sb="23" eb="25">
      <t>バアイ</t>
    </rPh>
    <rPh sb="26" eb="29">
      <t>コジンメイ</t>
    </rPh>
    <phoneticPr fontId="3"/>
  </si>
  <si>
    <t>SBPS公司</t>
    <phoneticPr fontId="3"/>
  </si>
  <si>
    <t>SBPS SHOUJI</t>
    <phoneticPr fontId="3"/>
  </si>
  <si>
    <r>
      <t xml:space="preserve">業種
</t>
    </r>
    <r>
      <rPr>
        <sz val="10"/>
        <rFont val="Meiryo UI"/>
        <family val="3"/>
        <charset val="128"/>
      </rPr>
      <t>(英語または中国語表記)</t>
    </r>
    <rPh sb="0" eb="2">
      <t>ギョウシュ</t>
    </rPh>
    <rPh sb="9" eb="12">
      <t>チュウゴクゴ</t>
    </rPh>
    <rPh sb="12" eb="14">
      <t>ヒョウキ</t>
    </rPh>
    <phoneticPr fontId="3"/>
  </si>
  <si>
    <t>端末決済サービス エントリーシート
（本エクセルファイル）</t>
    <rPh sb="0" eb="2">
      <t>タンマツ</t>
    </rPh>
    <rPh sb="2" eb="4">
      <t>ケッサイ</t>
    </rPh>
    <rPh sb="19" eb="20">
      <t>ホン</t>
    </rPh>
    <phoneticPr fontId="3"/>
  </si>
  <si>
    <t>非</t>
    <rPh sb="0" eb="1">
      <t>ヒ</t>
    </rPh>
    <phoneticPr fontId="3"/>
  </si>
  <si>
    <t>キッティング費用</t>
    <phoneticPr fontId="3"/>
  </si>
  <si>
    <t>電子マネー初期登録費用</t>
    <phoneticPr fontId="3"/>
  </si>
  <si>
    <t>台</t>
    <rPh sb="0" eb="1">
      <t>ダイ</t>
    </rPh>
    <phoneticPr fontId="3"/>
  </si>
  <si>
    <t>クレジットカード初期登録費用</t>
    <phoneticPr fontId="3"/>
  </si>
  <si>
    <t>流入経路</t>
    <rPh sb="0" eb="2">
      <t>リュウニュウ</t>
    </rPh>
    <rPh sb="2" eb="4">
      <t>ケイロ</t>
    </rPh>
    <phoneticPr fontId="3"/>
  </si>
  <si>
    <t>その他送付先</t>
    <rPh sb="2" eb="3">
      <t>タ</t>
    </rPh>
    <rPh sb="3" eb="6">
      <t>ソウフサキ</t>
    </rPh>
    <phoneticPr fontId="3"/>
  </si>
  <si>
    <t>名称</t>
    <rPh sb="0" eb="2">
      <t>メイショウ</t>
    </rPh>
    <phoneticPr fontId="3"/>
  </si>
  <si>
    <t>住所</t>
    <rPh sb="0" eb="2">
      <t>ジュウショ</t>
    </rPh>
    <phoneticPr fontId="3"/>
  </si>
  <si>
    <t>〶</t>
    <phoneticPr fontId="3"/>
  </si>
  <si>
    <t>電話番号</t>
    <rPh sb="0" eb="2">
      <t>デンワ</t>
    </rPh>
    <rPh sb="2" eb="4">
      <t>バンゴウ</t>
    </rPh>
    <phoneticPr fontId="3"/>
  </si>
  <si>
    <r>
      <t xml:space="preserve">その他送付先
</t>
    </r>
    <r>
      <rPr>
        <sz val="10"/>
        <color rgb="FFFF6600"/>
        <rFont val="Meiryo UI"/>
        <family val="3"/>
        <charset val="128"/>
      </rPr>
      <t xml:space="preserve">※送付先情報をご入力ください。
</t>
    </r>
    <rPh sb="2" eb="3">
      <t>タ</t>
    </rPh>
    <rPh sb="3" eb="6">
      <t>ソウフサキ</t>
    </rPh>
    <rPh sb="8" eb="11">
      <t>ソウフサキ</t>
    </rPh>
    <rPh sb="11" eb="13">
      <t>ジョウホウ</t>
    </rPh>
    <rPh sb="15" eb="17">
      <t>ニュウリョク</t>
    </rPh>
    <phoneticPr fontId="3"/>
  </si>
  <si>
    <t>6046:べスカ株式会社</t>
  </si>
  <si>
    <t>6050:株式会社DSテクノロジーズ</t>
  </si>
  <si>
    <t>6052:大江電機株式会社</t>
  </si>
  <si>
    <t>1627445</t>
    <phoneticPr fontId="3"/>
  </si>
  <si>
    <t>1627445</t>
    <phoneticPr fontId="3"/>
  </si>
  <si>
    <t>渡辺英郎</t>
    <phoneticPr fontId="3"/>
  </si>
  <si>
    <r>
      <rPr>
        <sz val="10"/>
        <color rgb="FFFF0000"/>
        <rFont val="ＭＳ Ｐゴシック"/>
        <family val="3"/>
        <charset val="128"/>
        <scheme val="major"/>
      </rPr>
      <t>流入経路パートナーID</t>
    </r>
    <r>
      <rPr>
        <sz val="10"/>
        <rFont val="ＭＳ Ｐゴシック"/>
        <family val="3"/>
        <charset val="128"/>
        <scheme val="major"/>
      </rPr>
      <t xml:space="preserve"> (シガーアダプター)</t>
    </r>
    <phoneticPr fontId="3"/>
  </si>
  <si>
    <t>JCB取り扱いブランド</t>
    <rPh sb="3" eb="4">
      <t>ト</t>
    </rPh>
    <rPh sb="5" eb="6">
      <t>アツカ</t>
    </rPh>
    <phoneticPr fontId="4"/>
  </si>
  <si>
    <t>利用する</t>
    <rPh sb="0" eb="2">
      <t>リヨウ</t>
    </rPh>
    <phoneticPr fontId="3"/>
  </si>
  <si>
    <t>ご利用にあたって</t>
    <phoneticPr fontId="3"/>
  </si>
  <si>
    <t>6061:株式会社ハイブリッド</t>
    <rPh sb="5" eb="7">
      <t>カブシキ</t>
    </rPh>
    <rPh sb="7" eb="9">
      <t>カイシャ</t>
    </rPh>
    <phoneticPr fontId="4"/>
  </si>
  <si>
    <t>6064:シンフォニアエンジニアリング株式会社</t>
  </si>
  <si>
    <t>6065:SB C&amp;S株式会社</t>
    <rPh sb="11" eb="13">
      <t>カブシキ</t>
    </rPh>
    <rPh sb="13" eb="15">
      <t>カイシャ</t>
    </rPh>
    <phoneticPr fontId="4"/>
  </si>
  <si>
    <t>1629244</t>
    <phoneticPr fontId="3"/>
  </si>
  <si>
    <t>堀内直也</t>
    <phoneticPr fontId="3"/>
  </si>
  <si>
    <t>1631038</t>
    <phoneticPr fontId="3"/>
  </si>
  <si>
    <t>加藤 秀明</t>
    <phoneticPr fontId="3"/>
  </si>
  <si>
    <t>1627843</t>
  </si>
  <si>
    <t>井出 直希</t>
    <phoneticPr fontId="3"/>
  </si>
  <si>
    <t>1629564</t>
    <phoneticPr fontId="3"/>
  </si>
  <si>
    <t>釘﨑 琢也</t>
    <phoneticPr fontId="3"/>
  </si>
  <si>
    <t>1629452</t>
    <phoneticPr fontId="3"/>
  </si>
  <si>
    <t>大出 智史</t>
    <phoneticPr fontId="3"/>
  </si>
  <si>
    <t>1630786</t>
    <phoneticPr fontId="3"/>
  </si>
  <si>
    <t>1630786</t>
    <phoneticPr fontId="3"/>
  </si>
  <si>
    <t>西山 講平</t>
    <phoneticPr fontId="3"/>
  </si>
  <si>
    <t>1613012</t>
    <phoneticPr fontId="3"/>
  </si>
  <si>
    <t>工藤 宰民</t>
    <phoneticPr fontId="3"/>
  </si>
  <si>
    <t>1603239</t>
    <phoneticPr fontId="3"/>
  </si>
  <si>
    <t>1603239</t>
    <phoneticPr fontId="3"/>
  </si>
  <si>
    <t>三浦 由衣</t>
    <phoneticPr fontId="3"/>
  </si>
  <si>
    <t>1605385</t>
    <phoneticPr fontId="3"/>
  </si>
  <si>
    <t>1605385</t>
    <phoneticPr fontId="3"/>
  </si>
  <si>
    <t>大西 敬二</t>
    <phoneticPr fontId="3"/>
  </si>
  <si>
    <t>決済機関CD</t>
    <rPh sb="0" eb="2">
      <t>ケッサイ</t>
    </rPh>
    <rPh sb="2" eb="4">
      <t>キカン</t>
    </rPh>
    <phoneticPr fontId="3"/>
  </si>
  <si>
    <t>10702</t>
    <phoneticPr fontId="3"/>
  </si>
  <si>
    <t>iD 処理未了分</t>
  </si>
  <si>
    <t>WAON 処理未了分</t>
  </si>
  <si>
    <t>nanaco 処理未了分</t>
  </si>
  <si>
    <t>JCB</t>
  </si>
  <si>
    <t>5411</t>
  </si>
  <si>
    <t>5812</t>
  </si>
  <si>
    <t>7230</t>
  </si>
  <si>
    <t>銀聯</t>
    <rPh sb="0" eb="2">
      <t>ギンレン</t>
    </rPh>
    <phoneticPr fontId="2"/>
  </si>
  <si>
    <t>PZB</t>
  </si>
  <si>
    <t>Q26</t>
  </si>
  <si>
    <t>7011</t>
  </si>
  <si>
    <t>5995</t>
  </si>
  <si>
    <t>←タイトル判定</t>
    <rPh sb="5" eb="7">
      <t>ハンテイ</t>
    </rPh>
    <phoneticPr fontId="3"/>
  </si>
  <si>
    <t>←タイトルKeyNo</t>
  </si>
  <si>
    <t>←タイトルKeyNo</t>
    <phoneticPr fontId="3"/>
  </si>
  <si>
    <t>←コード決済有無(記入シート2)</t>
    <rPh sb="4" eb="6">
      <t>ケッサイ</t>
    </rPh>
    <rPh sb="6" eb="8">
      <t>ウム</t>
    </rPh>
    <rPh sb="9" eb="11">
      <t>キニュウ</t>
    </rPh>
    <phoneticPr fontId="3"/>
  </si>
  <si>
    <t>←コード決済有無</t>
    <rPh sb="4" eb="6">
      <t>ケッサイ</t>
    </rPh>
    <rPh sb="6" eb="8">
      <t>ウム</t>
    </rPh>
    <phoneticPr fontId="3"/>
  </si>
  <si>
    <t>VISA</t>
  </si>
  <si>
    <t>Master</t>
  </si>
  <si>
    <t>10621</t>
  </si>
  <si>
    <t>10622</t>
  </si>
  <si>
    <t>10623</t>
  </si>
  <si>
    <t>10624</t>
  </si>
  <si>
    <t>10631</t>
  </si>
  <si>
    <t>10632</t>
  </si>
  <si>
    <t>10633</t>
  </si>
  <si>
    <t>10634</t>
  </si>
  <si>
    <t>10601</t>
  </si>
  <si>
    <t>15</t>
    <phoneticPr fontId="3"/>
  </si>
  <si>
    <t>申込方法：</t>
    <rPh sb="0" eb="2">
      <t>モウシコミ</t>
    </rPh>
    <rPh sb="2" eb="4">
      <t>ホウホウ</t>
    </rPh>
    <phoneticPr fontId="3"/>
  </si>
  <si>
    <t>包括</t>
  </si>
  <si>
    <t>非</t>
    <rPh sb="0" eb="1">
      <t>ヒ</t>
    </rPh>
    <phoneticPr fontId="3"/>
  </si>
  <si>
    <t>11201</t>
    <phoneticPr fontId="3"/>
  </si>
  <si>
    <t>11202</t>
    <phoneticPr fontId="3"/>
  </si>
  <si>
    <t xml:space="preserve"> ※税抜</t>
    <rPh sb="2" eb="4">
      <t>ゼイヌキ</t>
    </rPh>
    <phoneticPr fontId="3"/>
  </si>
  <si>
    <t>PASMO（東急）1</t>
    <rPh sb="6" eb="8">
      <t>トウキュウ</t>
    </rPh>
    <phoneticPr fontId="3"/>
  </si>
  <si>
    <t>JKOPAY</t>
    <phoneticPr fontId="3"/>
  </si>
  <si>
    <t>商品カテゴリ</t>
    <rPh sb="0" eb="2">
      <t>ショウヒン</t>
    </rPh>
    <phoneticPr fontId="3"/>
  </si>
  <si>
    <t>0000:選択してください</t>
    <rPh sb="5" eb="7">
      <t>センタク</t>
    </rPh>
    <phoneticPr fontId="141"/>
  </si>
  <si>
    <t>●auPAY業種</t>
  </si>
  <si>
    <t>01:コンビニ</t>
  </si>
  <si>
    <t>02:スーパー・飲食料品</t>
  </si>
  <si>
    <t>03:ドラッグストア</t>
  </si>
  <si>
    <t>04:百貨店・ショッピングセンター</t>
  </si>
  <si>
    <t>05:家具・家電量販店</t>
  </si>
  <si>
    <t>06:ファッション</t>
  </si>
  <si>
    <t>07:ホームセンター・ディスカウントストア</t>
  </si>
  <si>
    <t>08:書籍・CD・DVD</t>
  </si>
  <si>
    <t>09:スポーツ用品</t>
  </si>
  <si>
    <t>10:カー用品</t>
  </si>
  <si>
    <t>11:自動販売機</t>
  </si>
  <si>
    <t>12:飲食</t>
  </si>
  <si>
    <t>13:美容</t>
  </si>
  <si>
    <t>14:交通</t>
  </si>
  <si>
    <t>15:旅行・宿泊</t>
  </si>
  <si>
    <t>16:エンタメ・レジャー</t>
  </si>
  <si>
    <t>17:病院・医療</t>
  </si>
  <si>
    <t>18:教育</t>
  </si>
  <si>
    <t>19:保険</t>
  </si>
  <si>
    <t>20:通信</t>
  </si>
  <si>
    <t>21:公共料金・税金</t>
  </si>
  <si>
    <t>22:その他</t>
  </si>
  <si>
    <t>JKOPAY商品1</t>
    <phoneticPr fontId="3"/>
  </si>
  <si>
    <t>JKOPAY1000</t>
    <phoneticPr fontId="3"/>
  </si>
  <si>
    <t>JKOPAY2000</t>
    <phoneticPr fontId="3"/>
  </si>
  <si>
    <t>JKOPAY3000</t>
    <phoneticPr fontId="3"/>
  </si>
  <si>
    <t>JKOPAY4000</t>
    <phoneticPr fontId="3"/>
  </si>
  <si>
    <t>JKOPAY5000</t>
    <phoneticPr fontId="3"/>
  </si>
  <si>
    <t>JKOPAY6000</t>
    <phoneticPr fontId="3"/>
  </si>
  <si>
    <t>JKOPAY0000</t>
    <phoneticPr fontId="3"/>
  </si>
  <si>
    <t>●JKOPAY商品カテゴリ</t>
    <rPh sb="7" eb="9">
      <t>ショウヒン</t>
    </rPh>
    <phoneticPr fontId="3"/>
  </si>
  <si>
    <t>ショッピング</t>
  </si>
  <si>
    <t>美容&amp;リラクゼーション</t>
    <phoneticPr fontId="3"/>
  </si>
  <si>
    <t xml:space="preserve">ペット </t>
  </si>
  <si>
    <t>ライフスタイル</t>
  </si>
  <si>
    <t>スーパー、コンビニ</t>
  </si>
  <si>
    <t>選択してください</t>
    <phoneticPr fontId="3"/>
  </si>
  <si>
    <t>MCC</t>
    <phoneticPr fontId="3"/>
  </si>
  <si>
    <t>0000</t>
    <phoneticPr fontId="3"/>
  </si>
  <si>
    <t>1001:中華料理</t>
  </si>
  <si>
    <t>2001:コスメティックス</t>
  </si>
  <si>
    <t>3001:マッサージ</t>
  </si>
  <si>
    <t>4001:ペットビューティー</t>
  </si>
  <si>
    <t>5001:ホテル、民泊</t>
  </si>
  <si>
    <t>6001:コンビニ</t>
  </si>
  <si>
    <t>5812　　Eating Places and Restaurants</t>
  </si>
  <si>
    <t>2000:ショッピング</t>
  </si>
  <si>
    <t>1002:アメリカフード</t>
  </si>
  <si>
    <t>2002:ファッション、衣服</t>
  </si>
  <si>
    <t>3002:ビューティー、スパ</t>
  </si>
  <si>
    <t>4002:ペットホテル</t>
  </si>
  <si>
    <t>5002:エンターテイメント</t>
  </si>
  <si>
    <t>6002:スーパー</t>
  </si>
  <si>
    <t>7278</t>
  </si>
  <si>
    <t>7278　　Buying and Shopping Services and Clubs</t>
  </si>
  <si>
    <t>3000:美容&amp;リラクゼーション</t>
  </si>
  <si>
    <t>1003:和食</t>
  </si>
  <si>
    <t>2003:日用品</t>
  </si>
  <si>
    <t>3003:ヘアサロン</t>
  </si>
  <si>
    <t>4003:ペット病院</t>
  </si>
  <si>
    <t>5003:ジム、フィットネス</t>
  </si>
  <si>
    <t>7230　　Beauty and Barber Shops</t>
  </si>
  <si>
    <t xml:space="preserve">4000:ペット </t>
  </si>
  <si>
    <t>1004:コーヒー、お茶</t>
  </si>
  <si>
    <t>2004:電子製品</t>
  </si>
  <si>
    <t>3004:マニキュア、美顔</t>
  </si>
  <si>
    <t>5004:交通</t>
  </si>
  <si>
    <t>5995　　Pet Shops, Pet Foods and Supplies Stores</t>
  </si>
  <si>
    <t>5000:ライフスタイル</t>
  </si>
  <si>
    <t>1005:ファーストフード</t>
  </si>
  <si>
    <t>2005:妊婦用品、玩具</t>
  </si>
  <si>
    <t>5005:車用品、修理</t>
  </si>
  <si>
    <t>7011　　Lodging – Hotels, Motels, Resorts, Central Reservation Services (Not Elsewhere Classified)</t>
  </si>
  <si>
    <t>6000:スーパー、コンビニ</t>
  </si>
  <si>
    <t>1006:イタリア料理</t>
  </si>
  <si>
    <t>2006:食品、ベーカリー</t>
  </si>
  <si>
    <t>5006:病院、クリニック</t>
  </si>
  <si>
    <t>5411　　Grocery Stores and Supermarkets</t>
  </si>
  <si>
    <t>1007:タイ料理</t>
  </si>
  <si>
    <t>5007:薬局</t>
  </si>
  <si>
    <t>1008:韓国料理</t>
  </si>
  <si>
    <t>5008:その他</t>
  </si>
  <si>
    <t>1009:香港料理</t>
  </si>
  <si>
    <t>1010:異国料理</t>
  </si>
  <si>
    <t>1011:屋台料理</t>
  </si>
  <si>
    <t>1012:火鍋</t>
  </si>
  <si>
    <t>1013:焼き鳥</t>
  </si>
  <si>
    <t>1014:焼き肉</t>
  </si>
  <si>
    <t>1015:バー、居酒屋</t>
  </si>
  <si>
    <t>1016:ビストロ</t>
  </si>
  <si>
    <t>1017:鉄板焼</t>
  </si>
  <si>
    <t>1018:ベジタリアン</t>
  </si>
  <si>
    <t>1019:テーマレストラン</t>
  </si>
  <si>
    <t>1020:コーヒー</t>
  </si>
  <si>
    <t>1021:飲料</t>
  </si>
  <si>
    <t>1022:アイスクリーム、デザート</t>
  </si>
  <si>
    <t>1023:ベーカリー、ケーキ</t>
  </si>
  <si>
    <t>1024:ブランチ</t>
  </si>
  <si>
    <t>1025:ペットレストラン</t>
  </si>
  <si>
    <t>←JKOPAY判定</t>
  </si>
  <si>
    <t>au PAY</t>
    <phoneticPr fontId="3"/>
  </si>
  <si>
    <t>業種（ジャンル）</t>
    <rPh sb="0" eb="2">
      <t>ギョウシュ</t>
    </rPh>
    <phoneticPr fontId="3"/>
  </si>
  <si>
    <t>使えるお店検索</t>
    <phoneticPr fontId="3"/>
  </si>
  <si>
    <t>表示する</t>
    <phoneticPr fontId="3"/>
  </si>
  <si>
    <t>電話番号のみ非表示</t>
    <phoneticPr fontId="3"/>
  </si>
  <si>
    <t>非表示</t>
    <phoneticPr fontId="3"/>
  </si>
  <si>
    <t>J-Coin Pay</t>
    <phoneticPr fontId="3"/>
  </si>
  <si>
    <t>使えるお店表示</t>
    <rPh sb="0" eb="1">
      <t>ツカ</t>
    </rPh>
    <rPh sb="4" eb="5">
      <t>ミセ</t>
    </rPh>
    <rPh sb="5" eb="7">
      <t>ヒョウジ</t>
    </rPh>
    <phoneticPr fontId="3"/>
  </si>
  <si>
    <t>　表示する</t>
    <rPh sb="1" eb="3">
      <t>ヒョウジ</t>
    </rPh>
    <phoneticPr fontId="3"/>
  </si>
  <si>
    <t>auPAY</t>
    <phoneticPr fontId="3"/>
  </si>
  <si>
    <t>J-Coin Pay</t>
  </si>
  <si>
    <t>標準価格
（税抜）</t>
    <rPh sb="0" eb="2">
      <t>ヒョウジュン</t>
    </rPh>
    <rPh sb="2" eb="4">
      <t>カカク</t>
    </rPh>
    <rPh sb="6" eb="8">
      <t>ゼイヌキ</t>
    </rPh>
    <phoneticPr fontId="3"/>
  </si>
  <si>
    <t>合計金額
（税抜）</t>
    <rPh sb="0" eb="2">
      <t>ゴウケイ</t>
    </rPh>
    <rPh sb="2" eb="4">
      <t>キンガク</t>
    </rPh>
    <rPh sb="6" eb="7">
      <t>ゼイ</t>
    </rPh>
    <rPh sb="7" eb="8">
      <t>ヌ</t>
    </rPh>
    <phoneticPr fontId="3"/>
  </si>
  <si>
    <t>JKOPAY</t>
  </si>
  <si>
    <t>QUICPay</t>
  </si>
  <si>
    <t>QUICPay</t>
    <phoneticPr fontId="3"/>
  </si>
  <si>
    <t>au PAY</t>
  </si>
  <si>
    <t>940</t>
  </si>
  <si>
    <t>943001</t>
  </si>
  <si>
    <t>944001</t>
  </si>
  <si>
    <t>112001</t>
  </si>
  <si>
    <t>QUICPay</t>
    <phoneticPr fontId="3"/>
  </si>
  <si>
    <t>業種(ジャンル)</t>
  </si>
  <si>
    <t>使えるお店検索表示状態</t>
  </si>
  <si>
    <t>1:表示、2:電話番号のみ非表示、3:全て非表示</t>
    <phoneticPr fontId="3"/>
  </si>
  <si>
    <t>94001</t>
  </si>
  <si>
    <t>Q44</t>
  </si>
  <si>
    <t>Q45</t>
  </si>
  <si>
    <t>Q46</t>
  </si>
  <si>
    <t>Q47</t>
  </si>
  <si>
    <t>←auPAYi判定</t>
    <phoneticPr fontId="3"/>
  </si>
  <si>
    <t>メイン商品カテゴリ</t>
    <rPh sb="3" eb="5">
      <t>ショウヒン</t>
    </rPh>
    <phoneticPr fontId="2"/>
  </si>
  <si>
    <t>サブ商品カテゴリ</t>
    <rPh sb="2" eb="4">
      <t>ショウヒン</t>
    </rPh>
    <phoneticPr fontId="2"/>
  </si>
  <si>
    <t>94301</t>
  </si>
  <si>
    <t>Q72</t>
  </si>
  <si>
    <t>Q73</t>
  </si>
  <si>
    <t>Q74</t>
  </si>
  <si>
    <t>Q75</t>
  </si>
  <si>
    <t>Q76</t>
  </si>
  <si>
    <t>Q77</t>
  </si>
  <si>
    <t>Q78</t>
  </si>
  <si>
    <t>Q79</t>
  </si>
  <si>
    <t>94401</t>
  </si>
  <si>
    <t>Q82</t>
  </si>
  <si>
    <t>Q83</t>
  </si>
  <si>
    <t>未使用</t>
    <rPh sb="0" eb="3">
      <t>ミシヨウ</t>
    </rPh>
    <phoneticPr fontId="3"/>
  </si>
  <si>
    <r>
      <rPr>
        <sz val="10"/>
        <color rgb="FFFF0000"/>
        <rFont val="ＭＳ Ｐゴシック"/>
        <family val="3"/>
        <charset val="128"/>
        <scheme val="major"/>
      </rPr>
      <t>【台数】モバイル決済端末（MIURA M010）</t>
    </r>
    <r>
      <rPr>
        <sz val="10"/>
        <rFont val="ＭＳ Ｐゴシック"/>
        <family val="3"/>
        <charset val="128"/>
        <scheme val="major"/>
      </rPr>
      <t>POS連動ケーブル（3m）</t>
    </r>
    <phoneticPr fontId="3"/>
  </si>
  <si>
    <t>Alipay</t>
    <phoneticPr fontId="3"/>
  </si>
  <si>
    <t>WeChat Pay</t>
    <phoneticPr fontId="3"/>
  </si>
  <si>
    <t>銀聯</t>
    <rPh sb="0" eb="2">
      <t>ギンレン</t>
    </rPh>
    <phoneticPr fontId="3"/>
  </si>
  <si>
    <t>JKOPAY</t>
    <phoneticPr fontId="3"/>
  </si>
  <si>
    <t>交通系</t>
  </si>
  <si>
    <t>交通系 処理未了分</t>
  </si>
  <si>
    <t>楽天Edy</t>
  </si>
  <si>
    <t>楽天Edy 処理未了分</t>
  </si>
  <si>
    <t>QUICPay 処理未了分</t>
  </si>
  <si>
    <t>●交通系精算先CD</t>
    <phoneticPr fontId="3"/>
  </si>
  <si>
    <t>店舗名 アルファベットまたは中国語表記</t>
    <rPh sb="0" eb="2">
      <t>テンポ</t>
    </rPh>
    <rPh sb="2" eb="3">
      <t>メイ</t>
    </rPh>
    <rPh sb="14" eb="17">
      <t>チュウゴクゴ</t>
    </rPh>
    <rPh sb="17" eb="19">
      <t>ヒョウキ</t>
    </rPh>
    <phoneticPr fontId="4"/>
  </si>
  <si>
    <t>SBPS商店　银座</t>
    <rPh sb="8" eb="9">
      <t>ザ</t>
    </rPh>
    <phoneticPr fontId="3"/>
  </si>
  <si>
    <t>2004:電子製品</t>
    <phoneticPr fontId="141"/>
  </si>
  <si>
    <t>6055:DiDiモビリティジャパン株式会社</t>
  </si>
  <si>
    <t>6063:ダイイチモビリティネットワークス株式会社</t>
  </si>
  <si>
    <t>6069:株式会社イイガ</t>
  </si>
  <si>
    <t>個人事業主</t>
    <rPh sb="0" eb="2">
      <t>コジン</t>
    </rPh>
    <rPh sb="2" eb="5">
      <t>ジギョウヌシ</t>
    </rPh>
    <phoneticPr fontId="3"/>
  </si>
  <si>
    <t>必要</t>
    <rPh sb="0" eb="2">
      <t>ヒツヨウ</t>
    </rPh>
    <phoneticPr fontId="3"/>
  </si>
  <si>
    <t>ー</t>
    <phoneticPr fontId="3"/>
  </si>
  <si>
    <t>以下のいずれかの確認書類の画像データ
PDFもしくは画像ファイル（jpg、gif、png形式)
①登記簿謄（抄）本
②現在（履歴）事項証明書
※交付日から3ヵ月以内の書類</t>
    <rPh sb="0" eb="2">
      <t>イカ</t>
    </rPh>
    <rPh sb="8" eb="10">
      <t>カクニン</t>
    </rPh>
    <rPh sb="10" eb="12">
      <t>ショルイ</t>
    </rPh>
    <rPh sb="13" eb="15">
      <t>ガゾウ</t>
    </rPh>
    <rPh sb="26" eb="28">
      <t>ガゾウ</t>
    </rPh>
    <rPh sb="44" eb="46">
      <t>ケイシキ</t>
    </rPh>
    <rPh sb="49" eb="52">
      <t>トウキボ</t>
    </rPh>
    <rPh sb="52" eb="53">
      <t>トウ</t>
    </rPh>
    <rPh sb="54" eb="55">
      <t>ショウ</t>
    </rPh>
    <rPh sb="56" eb="57">
      <t>ホン</t>
    </rPh>
    <rPh sb="59" eb="61">
      <t>ゲンザイ</t>
    </rPh>
    <rPh sb="62" eb="64">
      <t>リレキ</t>
    </rPh>
    <rPh sb="65" eb="67">
      <t>ジコウ</t>
    </rPh>
    <rPh sb="67" eb="70">
      <t>ショウメイショ</t>
    </rPh>
    <rPh sb="72" eb="75">
      <t>コウフビ</t>
    </rPh>
    <rPh sb="79" eb="80">
      <t>ゲツ</t>
    </rPh>
    <rPh sb="80" eb="82">
      <t>イナイ</t>
    </rPh>
    <rPh sb="83" eb="85">
      <t>ショルイ</t>
    </rPh>
    <phoneticPr fontId="3"/>
  </si>
  <si>
    <t>各種営業許可証等資格確認書類の画像データ
PDFもしくは画像ファイル（jpg、gif、png形式)</t>
    <phoneticPr fontId="3"/>
  </si>
  <si>
    <t>本人確認書類の画像データ
PDFもしくは画像ファイル（jpg、gif、png形式)</t>
    <phoneticPr fontId="3"/>
  </si>
  <si>
    <t>※「本人確認書類」はこのファイルとは別の宛先となります。メールの送付先を必ずご確認いただき、誤送信のないようご注意ください。</t>
    <rPh sb="18" eb="19">
      <t>ベツ</t>
    </rPh>
    <rPh sb="20" eb="22">
      <t>アテサキ</t>
    </rPh>
    <phoneticPr fontId="3"/>
  </si>
  <si>
    <t>QUICPay</t>
    <phoneticPr fontId="3"/>
  </si>
  <si>
    <r>
      <t xml:space="preserve">QUICPayのお取扱いをご希望の場合、✓をご記入ください。SBPSにてお申し込みのご希望を取次します。
</t>
    </r>
    <r>
      <rPr>
        <sz val="10"/>
        <color rgb="FFFF0000"/>
        <rFont val="Meiryo UI"/>
        <family val="3"/>
        <charset val="128"/>
      </rPr>
      <t>※お取次ぎのみとなりますので、対面取引におけるJCBとの経済条件・審査・精算についてはSBPSとの契約範囲に含まれません。予めご了承ください。
※JCB取り扱いブランドおよびiDとあわせてお申し込みいただく必要があります。</t>
    </r>
    <rPh sb="43" eb="45">
      <t>キボウ</t>
    </rPh>
    <rPh sb="55" eb="57">
      <t>トリツ</t>
    </rPh>
    <rPh sb="68" eb="70">
      <t>タイメン</t>
    </rPh>
    <rPh sb="70" eb="72">
      <t>トリヒキ</t>
    </rPh>
    <rPh sb="81" eb="83">
      <t>ケイザイ</t>
    </rPh>
    <rPh sb="83" eb="85">
      <t>ジョウケン</t>
    </rPh>
    <rPh sb="86" eb="88">
      <t>シンサ</t>
    </rPh>
    <rPh sb="89" eb="91">
      <t>セイサン</t>
    </rPh>
    <rPh sb="102" eb="104">
      <t>ケイヤク</t>
    </rPh>
    <rPh sb="104" eb="106">
      <t>ハンイ</t>
    </rPh>
    <rPh sb="107" eb="108">
      <t>フク</t>
    </rPh>
    <rPh sb="114" eb="115">
      <t>アラカジ</t>
    </rPh>
    <rPh sb="117" eb="119">
      <t>リョウショウ</t>
    </rPh>
    <rPh sb="148" eb="149">
      <t>モウ</t>
    </rPh>
    <rPh sb="150" eb="151">
      <t>コ</t>
    </rPh>
    <rPh sb="156" eb="158">
      <t>ヒツヨウ</t>
    </rPh>
    <phoneticPr fontId="3"/>
  </si>
  <si>
    <t>QUICPay</t>
    <phoneticPr fontId="3"/>
  </si>
  <si>
    <t>QUICPay</t>
    <phoneticPr fontId="3"/>
  </si>
  <si>
    <t>非</t>
    <rPh sb="0" eb="1">
      <t>ヒ</t>
    </rPh>
    <phoneticPr fontId="3"/>
  </si>
  <si>
    <t>SBPS経由</t>
    <phoneticPr fontId="3"/>
  </si>
  <si>
    <t>非</t>
    <rPh sb="0" eb="1">
      <t>ヒ</t>
    </rPh>
    <phoneticPr fontId="3"/>
  </si>
  <si>
    <t>←参照行数</t>
    <rPh sb="1" eb="3">
      <t>サンショウ</t>
    </rPh>
    <rPh sb="3" eb="5">
      <t>ギョウスウ</t>
    </rPh>
    <phoneticPr fontId="3"/>
  </si>
  <si>
    <t>←数式元</t>
    <rPh sb="1" eb="3">
      <t>スウシキ</t>
    </rPh>
    <rPh sb="3" eb="4">
      <t>モト</t>
    </rPh>
    <phoneticPr fontId="3"/>
  </si>
  <si>
    <t>←数式元(2種類)</t>
    <rPh sb="1" eb="3">
      <t>スウシキ</t>
    </rPh>
    <rPh sb="3" eb="4">
      <t>モト</t>
    </rPh>
    <rPh sb="6" eb="8">
      <t>シュルイ</t>
    </rPh>
    <phoneticPr fontId="3"/>
  </si>
  <si>
    <t>←決済申込有無</t>
    <rPh sb="1" eb="3">
      <t>ケッサイ</t>
    </rPh>
    <rPh sb="3" eb="5">
      <t>モウシコミ</t>
    </rPh>
    <rPh sb="5" eb="7">
      <t>ウム</t>
    </rPh>
    <phoneticPr fontId="3"/>
  </si>
  <si>
    <t>株式会社SB商事　　　　（個人事業主の場合：東京　太郎）</t>
    <phoneticPr fontId="3"/>
  </si>
  <si>
    <t>株式会社SB商事　　　　（個人事業主の場合：東京　太郎）</t>
    <phoneticPr fontId="3"/>
  </si>
  <si>
    <t>00000015</t>
    <phoneticPr fontId="3"/>
  </si>
  <si>
    <t>飲食業 スナック　ｸﾗﾌﾞ　ｷｬﾊﾞﾚー</t>
    <phoneticPr fontId="4"/>
  </si>
  <si>
    <t>飲食業 スナック　ｸﾗﾌﾞ　ｷｬﾊﾞﾚー</t>
    <phoneticPr fontId="3"/>
  </si>
  <si>
    <t>はい</t>
  </si>
  <si>
    <t>企画部　汐留一郎</t>
    <rPh sb="0" eb="2">
      <t>キカク</t>
    </rPh>
    <rPh sb="2" eb="3">
      <t>ブ</t>
    </rPh>
    <rPh sb="4" eb="6">
      <t>シオドメ</t>
    </rPh>
    <rPh sb="6" eb="8">
      <t>イチロウ</t>
    </rPh>
    <phoneticPr fontId="3"/>
  </si>
  <si>
    <t>SBPS使用欄</t>
    <phoneticPr fontId="3"/>
  </si>
  <si>
    <t>はい</t>
    <phoneticPr fontId="3"/>
  </si>
  <si>
    <t>SBペイメントサービスの営業担当者宛（又は本エクセルシートの送信者）
にメールにてお送りください</t>
    <rPh sb="12" eb="14">
      <t>エイギョウ</t>
    </rPh>
    <rPh sb="14" eb="16">
      <t>タントウ</t>
    </rPh>
    <rPh sb="16" eb="17">
      <t>シャ</t>
    </rPh>
    <rPh sb="17" eb="18">
      <t>アテ</t>
    </rPh>
    <rPh sb="19" eb="20">
      <t>マタ</t>
    </rPh>
    <rPh sb="21" eb="22">
      <t>ホン</t>
    </rPh>
    <rPh sb="30" eb="33">
      <t>ソウシンシャ</t>
    </rPh>
    <rPh sb="42" eb="43">
      <t>オク</t>
    </rPh>
    <phoneticPr fontId="3"/>
  </si>
  <si>
    <t>選択してください</t>
    <phoneticPr fontId="3"/>
  </si>
  <si>
    <t>ショッピング・小売</t>
  </si>
  <si>
    <t>スポーツ</t>
  </si>
  <si>
    <t>5100:飲食</t>
  </si>
  <si>
    <t>5101:飲食店・レストラン</t>
  </si>
  <si>
    <t>5201:食料品全般</t>
  </si>
  <si>
    <t>5301:アクセサリー・ジュエリー・腕時計</t>
  </si>
  <si>
    <t>5401:スポーツ用品</t>
  </si>
  <si>
    <t>5501:学習塾・進学塾・予備校</t>
  </si>
  <si>
    <t>5601:託児所・ベビーシッター</t>
  </si>
  <si>
    <t>5701:理容店・美容院</t>
  </si>
  <si>
    <t>5801:医院・診療所</t>
  </si>
  <si>
    <t>5901:法律事務所・弁護士事務所</t>
  </si>
  <si>
    <t>6001:住宅設備・リフォーム</t>
  </si>
  <si>
    <t>6101:動物病院</t>
  </si>
  <si>
    <t>6201:ホテル・旅館・ペンション</t>
  </si>
  <si>
    <t>6301:映画館・劇場</t>
  </si>
  <si>
    <t>6401:自動車・バイク販売</t>
  </si>
  <si>
    <t>6501:鉄道</t>
  </si>
  <si>
    <t>6601:銀行・信用金庫・信用組合・労働金庫</t>
  </si>
  <si>
    <t>6701:寺院・神社・教会</t>
  </si>
  <si>
    <t>6801:団体</t>
  </si>
  <si>
    <t>6901:スポーツチーム・団体</t>
  </si>
  <si>
    <t>7001:公共機関・施設</t>
  </si>
  <si>
    <t>7101:児童福祉施設・サービス</t>
  </si>
  <si>
    <t>7201:結婚式場・ブライダルサービス</t>
  </si>
  <si>
    <t>7301:電気</t>
  </si>
  <si>
    <t>7401:放送局</t>
  </si>
  <si>
    <t>7501:建築工事</t>
  </si>
  <si>
    <t>5200:ショッピング・小売</t>
  </si>
  <si>
    <t>5102:デリバリー・ケータリング</t>
  </si>
  <si>
    <t>5202:酒屋</t>
  </si>
  <si>
    <t>5302:靴・かばん</t>
  </si>
  <si>
    <t>5402:スポーツ教室・スポーツレッスン</t>
  </si>
  <si>
    <t>5502:家庭教師</t>
  </si>
  <si>
    <t>5602:幼稚園・保育園</t>
  </si>
  <si>
    <t>5702:ネイル・まつげエクステ</t>
  </si>
  <si>
    <t>5802:総合病院</t>
  </si>
  <si>
    <t>5902:特許事務所</t>
  </si>
  <si>
    <t>6002:不動産</t>
  </si>
  <si>
    <t>6102:ペットショップ</t>
  </si>
  <si>
    <t>6202:ファッションホテル</t>
  </si>
  <si>
    <t>6302:ライブハウス</t>
  </si>
  <si>
    <t>6402:中古車・中古バイク販売・買取</t>
  </si>
  <si>
    <t>6502:路線バス</t>
  </si>
  <si>
    <t>6602:証券会社</t>
  </si>
  <si>
    <t>6702:その他寺院・神社・教会</t>
  </si>
  <si>
    <t>7102:介護施設・サービス</t>
  </si>
  <si>
    <t>7202:結婚相談所</t>
  </si>
  <si>
    <t>7302:ガス</t>
  </si>
  <si>
    <t>7402:新聞社</t>
  </si>
  <si>
    <t>7502:設備工事</t>
  </si>
  <si>
    <t>5300:ファッション</t>
  </si>
  <si>
    <t>5203:スーパー</t>
  </si>
  <si>
    <t>5303:衣料品販売</t>
  </si>
  <si>
    <t>5403:フィットネス・スポーツクラブ・ジム</t>
  </si>
  <si>
    <t>5503:パソコン教室</t>
  </si>
  <si>
    <t>5603:学童保育所</t>
  </si>
  <si>
    <t>5703:リラクゼーションマッサージ</t>
  </si>
  <si>
    <t>5803:歯科</t>
  </si>
  <si>
    <t>5903:司法書士事務所</t>
  </si>
  <si>
    <t>6003:ハウスクリーニング・害虫駆除</t>
  </si>
  <si>
    <t>6103:ペット用品店</t>
  </si>
  <si>
    <t>6303:ディスコ</t>
  </si>
  <si>
    <t>6403:自動車・バイクの部品・カー用品販売</t>
  </si>
  <si>
    <t>6503:観光・貸切バス</t>
  </si>
  <si>
    <t>6603:保険</t>
  </si>
  <si>
    <t>7103:その他福祉施設・サービス</t>
  </si>
  <si>
    <t>7203:葬祭業・葬儀場</t>
  </si>
  <si>
    <t>7303:燃料店</t>
  </si>
  <si>
    <t>7403:通信業</t>
  </si>
  <si>
    <t>5400:スポーツ</t>
  </si>
  <si>
    <t>5204:コンビニエンスストア</t>
  </si>
  <si>
    <t>5304:着物・呉服</t>
  </si>
  <si>
    <t>5404:競技場・体育館・その他スポーツ施設</t>
  </si>
  <si>
    <t>5504:外国語会話・外国語教室</t>
  </si>
  <si>
    <t>5604:インターナショナルスクール</t>
  </si>
  <si>
    <t>5704:アロマテラピーサロン・スクール</t>
  </si>
  <si>
    <t>5804:歯科技工所</t>
  </si>
  <si>
    <t>5904:公認会計士事務所</t>
  </si>
  <si>
    <t>6004:鍵交換・修理</t>
  </si>
  <si>
    <t>6104:ペットサロン・ペットホテル・しつけ・ドッグラン</t>
  </si>
  <si>
    <t>6304:ダンスホール</t>
  </si>
  <si>
    <t>6404:自動車・バイクの整備・車検・修理</t>
  </si>
  <si>
    <t>6504:ハイヤー・タクシー</t>
  </si>
  <si>
    <t>6604:クレジットカード</t>
  </si>
  <si>
    <t>7204:墓石・墓地</t>
  </si>
  <si>
    <t>7304:その他電気・ガス、エネルギー</t>
  </si>
  <si>
    <t>7404:広告制作・代理店</t>
  </si>
  <si>
    <t>5500:教育・習い事</t>
  </si>
  <si>
    <t>5205:百貨店・デパート</t>
  </si>
  <si>
    <t>5305:貸衣しょう</t>
  </si>
  <si>
    <t>5505:幼児教室</t>
  </si>
  <si>
    <t>5605:学校</t>
  </si>
  <si>
    <t>5705:エステティック・美容サロン</t>
  </si>
  <si>
    <t>5805:美容クリニック・美容外科</t>
  </si>
  <si>
    <t>5905:税理士事務所</t>
  </si>
  <si>
    <t>6005:水漏れ・水道修理</t>
  </si>
  <si>
    <t>6105:ペット葬儀・墓地</t>
  </si>
  <si>
    <t>6305:カラオケ</t>
  </si>
  <si>
    <t>6405:自動車解体・廃車</t>
  </si>
  <si>
    <t>6505:運転代行</t>
  </si>
  <si>
    <t>6605:貸金業</t>
  </si>
  <si>
    <t>7205:その他冠婚葬祭</t>
  </si>
  <si>
    <t>7405:映像・音楽制作</t>
  </si>
  <si>
    <t>5600:保育・学校</t>
  </si>
  <si>
    <t>5206:ショッピングセンター・モール</t>
  </si>
  <si>
    <t>5506:そろばん・書道教室</t>
  </si>
  <si>
    <t>5606:大学所属サークル・部活動</t>
  </si>
  <si>
    <t>5806:あんまマッサージ・針灸・整体</t>
  </si>
  <si>
    <t>5906:社会保険労務士・労働衛生コンサルタント</t>
  </si>
  <si>
    <t>6006:各種代行サービス・便利屋・不用品回収</t>
  </si>
  <si>
    <t>6106:その他ペットサービス</t>
  </si>
  <si>
    <t>6306:ゲームセンター</t>
  </si>
  <si>
    <t>6406:レンタカー・レンタルバイク</t>
  </si>
  <si>
    <t>6506:航空</t>
  </si>
  <si>
    <t>6606:質屋</t>
  </si>
  <si>
    <t>7406:その他通信・情報・メディア</t>
  </si>
  <si>
    <t>5700:美容・サロン</t>
  </si>
  <si>
    <t>5207:ホームセンター</t>
  </si>
  <si>
    <t>5507:カルチャースクール</t>
  </si>
  <si>
    <t>5607:同窓会・OB会</t>
  </si>
  <si>
    <t>5807:医療附帯サービス</t>
  </si>
  <si>
    <t>5907:デザイン事務所</t>
  </si>
  <si>
    <t>6007:引越し・宅配サービス</t>
  </si>
  <si>
    <t>6307:ビリヤード</t>
  </si>
  <si>
    <t>6407:ガソリンスタンド</t>
  </si>
  <si>
    <t>6507:その他交通機関・サービス</t>
  </si>
  <si>
    <t>6607:その他金融</t>
  </si>
  <si>
    <t>5800:医療機関・診療所</t>
  </si>
  <si>
    <t>5208:処方薬・ドラッグストア</t>
  </si>
  <si>
    <t>5608:研究機関</t>
  </si>
  <si>
    <t>5808:その他各種療法</t>
  </si>
  <si>
    <t>5908:経営コンサルタント</t>
  </si>
  <si>
    <t>6008:郵便局</t>
  </si>
  <si>
    <t>6308:囲碁・将棋所</t>
  </si>
  <si>
    <t>6408:ロードサービス・レッカー・けん引</t>
  </si>
  <si>
    <t>5900:専門サービス</t>
  </si>
  <si>
    <t>5209:ディスカウントショップ</t>
  </si>
  <si>
    <t>5909:不動産鑑定業</t>
  </si>
  <si>
    <t>6009:各種修理・修繕</t>
  </si>
  <si>
    <t>6309:競輪・競馬・競艇・オートレース</t>
  </si>
  <si>
    <t>6409:駐車場</t>
  </si>
  <si>
    <t>6000:生活関連サービス</t>
  </si>
  <si>
    <t>5210:リサイクルショップ・買取専門店</t>
  </si>
  <si>
    <t>5910:行政書士事務所</t>
  </si>
  <si>
    <t>6010:占い・悩み相談・カウンセリング</t>
  </si>
  <si>
    <t>6310:インターネットカフェ</t>
  </si>
  <si>
    <t>6410:道路情報サービス</t>
  </si>
  <si>
    <t>6100:ペット</t>
  </si>
  <si>
    <t>5211:金券ショップ</t>
  </si>
  <si>
    <t>5911:土地家屋調査士</t>
  </si>
  <si>
    <t>6011:クリーニング</t>
  </si>
  <si>
    <t>6311:その他娯楽・エンタメ</t>
  </si>
  <si>
    <t>6411:自動車教習所</t>
  </si>
  <si>
    <t>6200:宿泊施設</t>
  </si>
  <si>
    <t>5212:プレイガイド・チケット販売</t>
  </si>
  <si>
    <t>5912:興信所・探偵事務所</t>
  </si>
  <si>
    <t>6012:写真店・フォトスタジオ・印刷</t>
  </si>
  <si>
    <t>6312:コンサート・音楽イベント</t>
  </si>
  <si>
    <t>6412:その他自動車・バイク</t>
  </si>
  <si>
    <t>6300:旅行・エンタメ・レジャー</t>
  </si>
  <si>
    <t>5213:ＣＤ・ＤＶＤ・レコード販売</t>
  </si>
  <si>
    <t>5913:警備</t>
  </si>
  <si>
    <t>6013:音楽スタジオ・シェアオフィス・レンタルスペース</t>
  </si>
  <si>
    <t>6313:展示会・博覧会</t>
  </si>
  <si>
    <t>6400:自動車・バイク</t>
  </si>
  <si>
    <t>5214:中古ＣＤ・ＤＶＤ・レコード販売</t>
  </si>
  <si>
    <t>5914:翻訳・通訳</t>
  </si>
  <si>
    <t>6014:レンタルビデオ・CD・貸本</t>
  </si>
  <si>
    <t>6314:その他イベント</t>
  </si>
  <si>
    <t>6500:交通機関・サービス</t>
  </si>
  <si>
    <t>5215:書店・本屋</t>
  </si>
  <si>
    <t>5915:労働者・人材派遣</t>
  </si>
  <si>
    <t>6015:レンタルサービス</t>
  </si>
  <si>
    <t>6315:テーマパーク・遊園地</t>
  </si>
  <si>
    <t>6600:銀行・保険・金融</t>
  </si>
  <si>
    <t>5216:古本屋</t>
  </si>
  <si>
    <t>5916:その他専門サービス業</t>
  </si>
  <si>
    <t>6016:新聞販売店</t>
  </si>
  <si>
    <t>6316:プラネタリウム・天文台</t>
  </si>
  <si>
    <t>6700:寺院・神社・教会</t>
  </si>
  <si>
    <t>5217:電子書籍・デジタルコンテンツ</t>
  </si>
  <si>
    <t>6017:その他生活関連サービス</t>
  </si>
  <si>
    <t>6317:動物園・植物園・水族館</t>
  </si>
  <si>
    <t>6800:団体</t>
  </si>
  <si>
    <t>5218:利殖・副業に関する情報商材</t>
  </si>
  <si>
    <t>6318:銭湯・公衆浴場・温泉浴場</t>
  </si>
  <si>
    <t>6900:スポーツチーム・団体</t>
  </si>
  <si>
    <t>5219:骨董・古美術品</t>
  </si>
  <si>
    <t>6319:歴史的建造物・観光名所</t>
  </si>
  <si>
    <t>7000:公共機関・施設</t>
  </si>
  <si>
    <t>5220:家電・パソコン</t>
  </si>
  <si>
    <t>6320:博物館・美術館・科学館</t>
  </si>
  <si>
    <t>7100:福祉・介護</t>
  </si>
  <si>
    <t>5221:携帯電話・PHS</t>
  </si>
  <si>
    <t>6321:その他レジャー施設</t>
  </si>
  <si>
    <t>7200:冠婚葬祭</t>
  </si>
  <si>
    <t>5222:メガネ・コンタクトレンズ・補聴器</t>
  </si>
  <si>
    <t>6322:観光協会・旅行ガイド</t>
  </si>
  <si>
    <t>7300:電気・ガス・エネルギー</t>
  </si>
  <si>
    <t>5223:化粧品・メイク用品</t>
  </si>
  <si>
    <t>6323:旅行代理店</t>
  </si>
  <si>
    <t>7400:通信・情報・メディア</t>
  </si>
  <si>
    <t>5224:自転車・サイクルショップ</t>
  </si>
  <si>
    <t>6324:ケーブルカー・ロープウェー</t>
  </si>
  <si>
    <t>7500:建設・土木</t>
  </si>
  <si>
    <t>5225:おもちゃ・玩具</t>
  </si>
  <si>
    <t>6325:その他旅行・レジャー</t>
  </si>
  <si>
    <t>5226:子供服・ベビー用品</t>
  </si>
  <si>
    <t>6326:オンラインゲーム</t>
  </si>
  <si>
    <t>5227:事務所・店舗用装備品・文房具</t>
  </si>
  <si>
    <t>5228:生活雑貨・食器・インテリア用品</t>
  </si>
  <si>
    <t>5229:家具</t>
  </si>
  <si>
    <t>5230:花・植木店</t>
  </si>
  <si>
    <t>5231:仏壇・仏具、その他の祭具</t>
  </si>
  <si>
    <t>5232:健康食品・サプリメント・化粧品以外の美容用品</t>
  </si>
  <si>
    <t>5233:その他ショッピング</t>
  </si>
  <si>
    <t>ブランド名(英語)</t>
    <rPh sb="4" eb="5">
      <t>メイ</t>
    </rPh>
    <rPh sb="6" eb="8">
      <t>エイゴ</t>
    </rPh>
    <phoneticPr fontId="2"/>
  </si>
  <si>
    <t>MAP掲載</t>
  </si>
  <si>
    <t>加盟店提示料率</t>
    <rPh sb="0" eb="2">
      <t>カメイ</t>
    </rPh>
    <rPh sb="2" eb="3">
      <t>テン</t>
    </rPh>
    <rPh sb="3" eb="5">
      <t>テイジ</t>
    </rPh>
    <rPh sb="5" eb="7">
      <t>リョウリツ</t>
    </rPh>
    <phoneticPr fontId="2"/>
  </si>
  <si>
    <t>Q3E</t>
  </si>
  <si>
    <t>Q3F</t>
  </si>
  <si>
    <t>Q3G</t>
  </si>
  <si>
    <t>取次経路:</t>
    <phoneticPr fontId="3"/>
  </si>
  <si>
    <t>・日本国旅券（ﾊﾟｽﾎﾟｰﾄ）</t>
  </si>
  <si>
    <t>・住民基本台帳ｶｰﾄﾞ</t>
  </si>
  <si>
    <t>・印鑑登録証明書</t>
  </si>
  <si>
    <t>・在留カード</t>
  </si>
  <si>
    <t>・特別永住者証明書</t>
  </si>
  <si>
    <t>V/M別の場合の</t>
    <rPh sb="3" eb="4">
      <t>ベツ</t>
    </rPh>
    <rPh sb="5" eb="7">
      <t>バアイ</t>
    </rPh>
    <phoneticPr fontId="3"/>
  </si>
  <si>
    <t>精算区分コード</t>
    <rPh sb="0" eb="2">
      <t>セイサン</t>
    </rPh>
    <rPh sb="2" eb="4">
      <t>クブン</t>
    </rPh>
    <phoneticPr fontId="21"/>
  </si>
  <si>
    <t>6076:べスカ株式会社</t>
    <rPh sb="8" eb="10">
      <t>カブシキ</t>
    </rPh>
    <rPh sb="10" eb="12">
      <t>カイシャ</t>
    </rPh>
    <phoneticPr fontId="3"/>
  </si>
  <si>
    <t>6079:NKGRコンサルティング株式会社</t>
  </si>
  <si>
    <t>6080:セイコーソリューションズ株式会社</t>
  </si>
  <si>
    <t>6078:株式会社POSSIBLE</t>
    <rPh sb="5" eb="9">
      <t>カブシキガイシャ</t>
    </rPh>
    <phoneticPr fontId="3"/>
  </si>
  <si>
    <t>ブランド名 アルファベット表記</t>
    <rPh sb="4" eb="5">
      <t>メイ</t>
    </rPh>
    <rPh sb="13" eb="15">
      <t>ヒョウキ</t>
    </rPh>
    <phoneticPr fontId="4"/>
  </si>
  <si>
    <t>ブランド名英字</t>
    <rPh sb="4" eb="5">
      <t>メイ</t>
    </rPh>
    <rPh sb="5" eb="7">
      <t>エイジ</t>
    </rPh>
    <phoneticPr fontId="2"/>
  </si>
  <si>
    <t>Q27</t>
  </si>
  <si>
    <t>Q28</t>
  </si>
  <si>
    <t>6082:株式会社エレクトラム</t>
  </si>
  <si>
    <t>SBPS SHOP</t>
    <phoneticPr fontId="3"/>
  </si>
  <si>
    <t>40101</t>
  </si>
  <si>
    <t>タクシー</t>
  </si>
  <si>
    <t>61</t>
  </si>
  <si>
    <t>50601</t>
  </si>
  <si>
    <t>1001</t>
  </si>
  <si>
    <t>1002</t>
  </si>
  <si>
    <t>1003</t>
  </si>
  <si>
    <t>時計</t>
  </si>
  <si>
    <t>1101</t>
  </si>
  <si>
    <t>1102</t>
  </si>
  <si>
    <t>1201</t>
  </si>
  <si>
    <t>1202</t>
  </si>
  <si>
    <t>1203</t>
  </si>
  <si>
    <t>1204</t>
  </si>
  <si>
    <t>1205</t>
  </si>
  <si>
    <t>1206</t>
  </si>
  <si>
    <t>1207</t>
  </si>
  <si>
    <t>1208</t>
  </si>
  <si>
    <t>1209</t>
  </si>
  <si>
    <t>1210</t>
  </si>
  <si>
    <t>1301</t>
  </si>
  <si>
    <t>1302</t>
  </si>
  <si>
    <t>1303</t>
  </si>
  <si>
    <t>1401</t>
  </si>
  <si>
    <t>1402</t>
  </si>
  <si>
    <t>1501</t>
  </si>
  <si>
    <t>1502</t>
  </si>
  <si>
    <t>1503</t>
  </si>
  <si>
    <t>1504</t>
  </si>
  <si>
    <t>1505</t>
  </si>
  <si>
    <t>1506</t>
  </si>
  <si>
    <t>1507</t>
  </si>
  <si>
    <t>1508</t>
  </si>
  <si>
    <t>1601</t>
  </si>
  <si>
    <t>1602</t>
  </si>
  <si>
    <t>1603</t>
  </si>
  <si>
    <t>1701</t>
  </si>
  <si>
    <t>1702</t>
  </si>
  <si>
    <t>1703</t>
  </si>
  <si>
    <t>1801</t>
  </si>
  <si>
    <t>1802</t>
  </si>
  <si>
    <t>1803</t>
  </si>
  <si>
    <t>1804</t>
  </si>
  <si>
    <t>1901</t>
  </si>
  <si>
    <t>1902</t>
  </si>
  <si>
    <t>1903</t>
  </si>
  <si>
    <t>1904</t>
  </si>
  <si>
    <t>1905</t>
  </si>
  <si>
    <t>1906</t>
  </si>
  <si>
    <t>1907</t>
  </si>
  <si>
    <t>1908</t>
  </si>
  <si>
    <t>001073</t>
  </si>
  <si>
    <t>001074</t>
  </si>
  <si>
    <t>001075</t>
  </si>
  <si>
    <t>自動機利用有無</t>
    <rPh sb="0" eb="2">
      <t>ジドウ</t>
    </rPh>
    <rPh sb="2" eb="3">
      <t>キ</t>
    </rPh>
    <rPh sb="3" eb="5">
      <t>リヨウ</t>
    </rPh>
    <rPh sb="5" eb="7">
      <t>ウム</t>
    </rPh>
    <phoneticPr fontId="3"/>
  </si>
  <si>
    <t>【JCB用】業態シート</t>
    <phoneticPr fontId="3"/>
  </si>
  <si>
    <t>業種</t>
    <rPh sb="0" eb="2">
      <t>ギョウシュ</t>
    </rPh>
    <phoneticPr fontId="86"/>
  </si>
  <si>
    <t>備考</t>
    <rPh sb="0" eb="2">
      <t>ビコウ</t>
    </rPh>
    <phoneticPr fontId="90"/>
  </si>
  <si>
    <t>コード値</t>
    <rPh sb="3" eb="4">
      <t>チ</t>
    </rPh>
    <phoneticPr fontId="86"/>
  </si>
  <si>
    <t>百貨店</t>
    <rPh sb="0" eb="3">
      <t>ヒャッカテン</t>
    </rPh>
    <phoneticPr fontId="86"/>
  </si>
  <si>
    <t>00101</t>
  </si>
  <si>
    <t>00201</t>
  </si>
  <si>
    <t>00202</t>
  </si>
  <si>
    <t>ショッピングセンター</t>
  </si>
  <si>
    <t>駅ビル含む</t>
    <rPh sb="0" eb="1">
      <t>エキ</t>
    </rPh>
    <rPh sb="3" eb="4">
      <t>フク</t>
    </rPh>
    <phoneticPr fontId="86"/>
  </si>
  <si>
    <t>00301</t>
  </si>
  <si>
    <t>商店街</t>
    <rPh sb="0" eb="3">
      <t>ショウテンガイ</t>
    </rPh>
    <phoneticPr fontId="86"/>
  </si>
  <si>
    <t>00304</t>
  </si>
  <si>
    <t>市民生協</t>
    <rPh sb="0" eb="2">
      <t>シミン</t>
    </rPh>
    <rPh sb="2" eb="4">
      <t>セイキョウ</t>
    </rPh>
    <phoneticPr fontId="86"/>
  </si>
  <si>
    <t>00502</t>
  </si>
  <si>
    <t>総合小売業（その他）</t>
    <rPh sb="0" eb="2">
      <t>ソウゴウ</t>
    </rPh>
    <rPh sb="2" eb="5">
      <t>コウリギョウ</t>
    </rPh>
    <rPh sb="8" eb="9">
      <t>タ</t>
    </rPh>
    <phoneticPr fontId="86"/>
  </si>
  <si>
    <t>09999</t>
  </si>
  <si>
    <t>総合衣料</t>
    <rPh sb="0" eb="2">
      <t>ソウゴウ</t>
    </rPh>
    <rPh sb="2" eb="4">
      <t>イリョウ</t>
    </rPh>
    <phoneticPr fontId="86"/>
  </si>
  <si>
    <t>10101</t>
  </si>
  <si>
    <t>呉服</t>
    <rPh sb="0" eb="2">
      <t>ゴフク</t>
    </rPh>
    <phoneticPr fontId="86"/>
  </si>
  <si>
    <t>物品販売業（身装用品）その他</t>
  </si>
  <si>
    <t>19999</t>
  </si>
  <si>
    <t>家電</t>
    <rPh sb="0" eb="2">
      <t>カデン</t>
    </rPh>
    <phoneticPr fontId="86"/>
  </si>
  <si>
    <t>20401</t>
  </si>
  <si>
    <t>医薬品</t>
    <rPh sb="0" eb="3">
      <t>イヤクヒン</t>
    </rPh>
    <phoneticPr fontId="86"/>
  </si>
  <si>
    <t>20501</t>
  </si>
  <si>
    <t>医療機器</t>
    <rPh sb="0" eb="2">
      <t>イリョウ</t>
    </rPh>
    <rPh sb="2" eb="4">
      <t>キキ</t>
    </rPh>
    <phoneticPr fontId="86"/>
  </si>
  <si>
    <t>20503</t>
  </si>
  <si>
    <t>調剤薬局</t>
    <rPh sb="0" eb="2">
      <t>チョウザイ</t>
    </rPh>
    <rPh sb="2" eb="4">
      <t>ヤッキョク</t>
    </rPh>
    <phoneticPr fontId="86"/>
  </si>
  <si>
    <t>ドラッグストア含む</t>
    <rPh sb="7" eb="8">
      <t>フク</t>
    </rPh>
    <phoneticPr fontId="86"/>
  </si>
  <si>
    <t>20504</t>
  </si>
  <si>
    <t>化粧品</t>
    <rPh sb="0" eb="3">
      <t>ケショウヒン</t>
    </rPh>
    <phoneticPr fontId="86"/>
  </si>
  <si>
    <t>20601</t>
  </si>
  <si>
    <t>物品販売業（家庭用品・その他）</t>
  </si>
  <si>
    <t>29999</t>
  </si>
  <si>
    <t>貴金属</t>
    <rPh sb="0" eb="3">
      <t>キキンゾク</t>
    </rPh>
    <phoneticPr fontId="86"/>
  </si>
  <si>
    <t>30101</t>
  </si>
  <si>
    <t>30802</t>
  </si>
  <si>
    <t>ペット用品</t>
    <rPh sb="3" eb="5">
      <t>ヨウヒン</t>
    </rPh>
    <phoneticPr fontId="86"/>
  </si>
  <si>
    <t>30804</t>
  </si>
  <si>
    <t>車両（その他）</t>
    <rPh sb="0" eb="2">
      <t>シャリョウ</t>
    </rPh>
    <rPh sb="5" eb="6">
      <t>タ</t>
    </rPh>
    <phoneticPr fontId="86"/>
  </si>
  <si>
    <t>31099</t>
  </si>
  <si>
    <t>物品販売業（趣味・娯楽、その他）</t>
    <rPh sb="0" eb="4">
      <t>ブッピンハンバイ</t>
    </rPh>
    <rPh sb="4" eb="5">
      <t>ギョウ</t>
    </rPh>
    <rPh sb="6" eb="8">
      <t>シュミ</t>
    </rPh>
    <rPh sb="9" eb="11">
      <t>ゴラク</t>
    </rPh>
    <rPh sb="14" eb="15">
      <t>タ</t>
    </rPh>
    <phoneticPr fontId="86"/>
  </si>
  <si>
    <t>39999</t>
  </si>
  <si>
    <t>健康食品</t>
    <rPh sb="0" eb="2">
      <t>ケンコウ</t>
    </rPh>
    <rPh sb="2" eb="4">
      <t>ショクヒン</t>
    </rPh>
    <phoneticPr fontId="86"/>
  </si>
  <si>
    <t>40210</t>
  </si>
  <si>
    <t>弁当屋</t>
    <rPh sb="0" eb="3">
      <t>ベントウヤ</t>
    </rPh>
    <phoneticPr fontId="86"/>
  </si>
  <si>
    <t>40211</t>
  </si>
  <si>
    <t>食品（その他）</t>
    <rPh sb="0" eb="2">
      <t>ショクヒン</t>
    </rPh>
    <rPh sb="5" eb="6">
      <t>タ</t>
    </rPh>
    <phoneticPr fontId="86"/>
  </si>
  <si>
    <t>40299</t>
  </si>
  <si>
    <t>リサイクルショップ</t>
  </si>
  <si>
    <t>40503</t>
  </si>
  <si>
    <t>質屋</t>
    <rPh sb="0" eb="1">
      <t>シチ</t>
    </rPh>
    <rPh sb="1" eb="2">
      <t>ヤ</t>
    </rPh>
    <phoneticPr fontId="86"/>
  </si>
  <si>
    <t>加盟相談必須</t>
    <rPh sb="0" eb="2">
      <t>カメイ</t>
    </rPh>
    <rPh sb="2" eb="4">
      <t>ソウダン</t>
    </rPh>
    <rPh sb="4" eb="6">
      <t>ヒッス</t>
    </rPh>
    <phoneticPr fontId="86"/>
  </si>
  <si>
    <t>40504</t>
  </si>
  <si>
    <t>電話機販売</t>
    <rPh sb="0" eb="3">
      <t>デンワキ</t>
    </rPh>
    <rPh sb="3" eb="5">
      <t>ハンバイ</t>
    </rPh>
    <phoneticPr fontId="86"/>
  </si>
  <si>
    <t>ＳＩＭ取り扱いは大手または既加盟先のみ可</t>
    <rPh sb="3" eb="4">
      <t>ト</t>
    </rPh>
    <rPh sb="5" eb="6">
      <t>アツカ</t>
    </rPh>
    <rPh sb="8" eb="10">
      <t>オオテ</t>
    </rPh>
    <rPh sb="13" eb="14">
      <t>キ</t>
    </rPh>
    <rPh sb="14" eb="16">
      <t>カメイ</t>
    </rPh>
    <rPh sb="16" eb="17">
      <t>サキ</t>
    </rPh>
    <rPh sb="19" eb="20">
      <t>カ</t>
    </rPh>
    <phoneticPr fontId="86"/>
  </si>
  <si>
    <t>40802</t>
  </si>
  <si>
    <t>鉄砲</t>
    <rPh sb="0" eb="2">
      <t>テッポウ</t>
    </rPh>
    <phoneticPr fontId="86"/>
  </si>
  <si>
    <t>猟銃等販売事業の許認可要</t>
    <rPh sb="0" eb="2">
      <t>リョウジュウ</t>
    </rPh>
    <rPh sb="2" eb="3">
      <t>トウ</t>
    </rPh>
    <rPh sb="3" eb="5">
      <t>ハンバイ</t>
    </rPh>
    <rPh sb="5" eb="7">
      <t>ジギョウ</t>
    </rPh>
    <rPh sb="8" eb="11">
      <t>キョニンカ</t>
    </rPh>
    <rPh sb="11" eb="12">
      <t>ヨウ</t>
    </rPh>
    <phoneticPr fontId="86"/>
  </si>
  <si>
    <t>40901</t>
  </si>
  <si>
    <t>物品販売業（その他）</t>
    <rPh sb="0" eb="2">
      <t>ブッピン</t>
    </rPh>
    <rPh sb="2" eb="4">
      <t>ハンバイ</t>
    </rPh>
    <rPh sb="4" eb="5">
      <t>ギョウ</t>
    </rPh>
    <rPh sb="8" eb="9">
      <t>タ</t>
    </rPh>
    <phoneticPr fontId="86"/>
  </si>
  <si>
    <t>自動販売機含む</t>
    <rPh sb="0" eb="2">
      <t>ジドウ</t>
    </rPh>
    <rPh sb="2" eb="4">
      <t>ハンバイ</t>
    </rPh>
    <rPh sb="4" eb="5">
      <t>キ</t>
    </rPh>
    <rPh sb="5" eb="6">
      <t>フク</t>
    </rPh>
    <phoneticPr fontId="86"/>
  </si>
  <si>
    <t>49999</t>
  </si>
  <si>
    <t>レストラン</t>
  </si>
  <si>
    <t>50403</t>
  </si>
  <si>
    <t>ＳＡ・ＰＡ</t>
  </si>
  <si>
    <t>50404</t>
  </si>
  <si>
    <t>特別料飲食1（その他）</t>
    <rPh sb="0" eb="2">
      <t>トクベツ</t>
    </rPh>
    <rPh sb="2" eb="3">
      <t>リョウ</t>
    </rPh>
    <rPh sb="3" eb="5">
      <t>インショク</t>
    </rPh>
    <rPh sb="9" eb="10">
      <t>タ</t>
    </rPh>
    <phoneticPr fontId="86"/>
  </si>
  <si>
    <t>バー、クラブ、スナック、パブ、キャバレー、ライブハウス・ディスコ、ラウンジ、カフェバーなど</t>
  </si>
  <si>
    <t>50599</t>
  </si>
  <si>
    <t>居酒屋</t>
    <rPh sb="0" eb="3">
      <t>イザカヤ</t>
    </rPh>
    <phoneticPr fontId="86"/>
  </si>
  <si>
    <t>エステティックサロン</t>
  </si>
  <si>
    <t>60103</t>
  </si>
  <si>
    <t>育毛サロン</t>
    <rPh sb="0" eb="2">
      <t>イクモウ</t>
    </rPh>
    <phoneticPr fontId="86"/>
  </si>
  <si>
    <t>加盟相談必須</t>
    <rPh sb="4" eb="6">
      <t>ヒッス</t>
    </rPh>
    <phoneticPr fontId="86"/>
  </si>
  <si>
    <t>60104</t>
  </si>
  <si>
    <t>美容室</t>
    <rPh sb="0" eb="3">
      <t>ビヨウシツ</t>
    </rPh>
    <phoneticPr fontId="86"/>
  </si>
  <si>
    <t>60105</t>
  </si>
  <si>
    <t>理容・美容（その他）</t>
    <rPh sb="0" eb="2">
      <t>リヨウ</t>
    </rPh>
    <rPh sb="3" eb="5">
      <t>ビヨウ</t>
    </rPh>
    <rPh sb="8" eb="9">
      <t>タ</t>
    </rPh>
    <phoneticPr fontId="86"/>
  </si>
  <si>
    <t>医師免許が無い者によるアートメイク、ピアス穿孔は取扱不可（実施する場合、医師免許（写）の提出が必要です）</t>
    <phoneticPr fontId="3"/>
  </si>
  <si>
    <t>60199</t>
  </si>
  <si>
    <t>総合病院</t>
    <rPh sb="0" eb="2">
      <t>ソウゴウ</t>
    </rPh>
    <rPh sb="2" eb="4">
      <t>ビョウイン</t>
    </rPh>
    <phoneticPr fontId="86"/>
  </si>
  <si>
    <t>60201</t>
  </si>
  <si>
    <t>歯科</t>
    <rPh sb="0" eb="2">
      <t>シカ</t>
    </rPh>
    <phoneticPr fontId="86"/>
  </si>
  <si>
    <t>60202</t>
  </si>
  <si>
    <t>マッサージ</t>
  </si>
  <si>
    <t>リラクゼーション系含む</t>
    <rPh sb="8" eb="9">
      <t>ケイ</t>
    </rPh>
    <rPh sb="9" eb="10">
      <t>フク</t>
    </rPh>
    <phoneticPr fontId="86"/>
  </si>
  <si>
    <t>60204</t>
  </si>
  <si>
    <t>獣医</t>
    <rPh sb="0" eb="2">
      <t>ジュウイ</t>
    </rPh>
    <phoneticPr fontId="86"/>
  </si>
  <si>
    <t>60205</t>
  </si>
  <si>
    <t>美容形成</t>
    <rPh sb="0" eb="2">
      <t>ビヨウ</t>
    </rPh>
    <rPh sb="2" eb="4">
      <t>ケイセイ</t>
    </rPh>
    <phoneticPr fontId="86"/>
  </si>
  <si>
    <t>自由診療メイン</t>
    <rPh sb="0" eb="2">
      <t>ジユウ</t>
    </rPh>
    <rPh sb="2" eb="4">
      <t>シンリョウ</t>
    </rPh>
    <phoneticPr fontId="86"/>
  </si>
  <si>
    <t>60206</t>
  </si>
  <si>
    <t>単科病院</t>
    <rPh sb="0" eb="2">
      <t>タンカ</t>
    </rPh>
    <rPh sb="2" eb="4">
      <t>ビョウイン</t>
    </rPh>
    <phoneticPr fontId="86"/>
  </si>
  <si>
    <t>60207</t>
  </si>
  <si>
    <t>接骨・整骨</t>
    <rPh sb="0" eb="2">
      <t>セッコツ</t>
    </rPh>
    <rPh sb="3" eb="5">
      <t>セイコツ</t>
    </rPh>
    <phoneticPr fontId="86"/>
  </si>
  <si>
    <t>鍼灸、カイロプラクティック含む</t>
    <rPh sb="0" eb="2">
      <t>シンキュウ</t>
    </rPh>
    <rPh sb="13" eb="14">
      <t>フク</t>
    </rPh>
    <phoneticPr fontId="86"/>
  </si>
  <si>
    <t>60210</t>
  </si>
  <si>
    <t>医療（その他）</t>
    <rPh sb="0" eb="2">
      <t>イリョウ</t>
    </rPh>
    <rPh sb="5" eb="6">
      <t>タ</t>
    </rPh>
    <phoneticPr fontId="86"/>
  </si>
  <si>
    <t>60299</t>
  </si>
  <si>
    <t>専門学校（学校）</t>
    <rPh sb="0" eb="2">
      <t>センモン</t>
    </rPh>
    <rPh sb="2" eb="4">
      <t>ガッコウ</t>
    </rPh>
    <rPh sb="5" eb="7">
      <t>ガッコウ</t>
    </rPh>
    <phoneticPr fontId="86"/>
  </si>
  <si>
    <t>塾、自治体無認可の専門学校など</t>
    <rPh sb="0" eb="1">
      <t>ジュク</t>
    </rPh>
    <rPh sb="2" eb="5">
      <t>ジチタイ</t>
    </rPh>
    <rPh sb="5" eb="8">
      <t>ムニンカ</t>
    </rPh>
    <rPh sb="9" eb="11">
      <t>センモン</t>
    </rPh>
    <rPh sb="11" eb="13">
      <t>ガッコウ</t>
    </rPh>
    <phoneticPr fontId="86"/>
  </si>
  <si>
    <t>60301</t>
  </si>
  <si>
    <t>自動車教習所</t>
    <rPh sb="0" eb="3">
      <t>ジドウシャ</t>
    </rPh>
    <rPh sb="3" eb="6">
      <t>キョウシュウジョ</t>
    </rPh>
    <phoneticPr fontId="86"/>
  </si>
  <si>
    <t>申込書や約款で「中途解約権」が保証されているむね明記されていること</t>
  </si>
  <si>
    <t>60302</t>
  </si>
  <si>
    <t>カルチャースクール</t>
  </si>
  <si>
    <t>60303</t>
  </si>
  <si>
    <t>保育施設</t>
    <rPh sb="0" eb="2">
      <t>ホイク</t>
    </rPh>
    <rPh sb="2" eb="4">
      <t>シセツ</t>
    </rPh>
    <phoneticPr fontId="86"/>
  </si>
  <si>
    <t>60306</t>
  </si>
  <si>
    <t>学校（その他）</t>
    <rPh sb="0" eb="2">
      <t>ガッコウ</t>
    </rPh>
    <rPh sb="5" eb="6">
      <t>タ</t>
    </rPh>
    <phoneticPr fontId="86"/>
  </si>
  <si>
    <t>60399</t>
  </si>
  <si>
    <t>自動車修理</t>
    <rPh sb="0" eb="3">
      <t>ジドウシャ</t>
    </rPh>
    <rPh sb="3" eb="5">
      <t>シュウリ</t>
    </rPh>
    <phoneticPr fontId="86"/>
  </si>
  <si>
    <t>60401</t>
  </si>
  <si>
    <t>クリーニング</t>
  </si>
  <si>
    <t>コインランドリー含む</t>
    <rPh sb="8" eb="9">
      <t>フク</t>
    </rPh>
    <phoneticPr fontId="86"/>
  </si>
  <si>
    <t>60403</t>
  </si>
  <si>
    <t>ハウスクリーニング</t>
  </si>
  <si>
    <t>60406</t>
  </si>
  <si>
    <t>住宅リフォーム</t>
    <rPh sb="0" eb="2">
      <t>ジュウタク</t>
    </rPh>
    <phoneticPr fontId="86"/>
  </si>
  <si>
    <t>60407</t>
  </si>
  <si>
    <t>結婚相談所</t>
    <rPh sb="0" eb="2">
      <t>ケッコン</t>
    </rPh>
    <rPh sb="2" eb="5">
      <t>ソウダンジョ</t>
    </rPh>
    <phoneticPr fontId="86"/>
  </si>
  <si>
    <t>60501</t>
  </si>
  <si>
    <t>ブライダルサービス</t>
  </si>
  <si>
    <t>60503</t>
  </si>
  <si>
    <t>コンサルティング（その他）</t>
    <rPh sb="11" eb="12">
      <t>タ</t>
    </rPh>
    <phoneticPr fontId="86"/>
  </si>
  <si>
    <t>法律に基づく資格をもってコンサルティング業務を行う事業者のみ
＜対象資格＞
司法書士/行政書士/弁理士/海事代理士/公認会計士/税理士/中小企業診断士/社会保険労務士/ファイナンシャルプランニング技能士/不動産鑑定士/土地家屋/調査士/測量士/建築士/労働安全コンサルタント/消費生活アドバイザー/消費者生活専門相談員</t>
    <rPh sb="25" eb="28">
      <t>ジギョウシャ</t>
    </rPh>
    <phoneticPr fontId="86"/>
  </si>
  <si>
    <t>60599</t>
  </si>
  <si>
    <t>互助会</t>
    <rPh sb="0" eb="3">
      <t>ゴジョカイ</t>
    </rPh>
    <phoneticPr fontId="86"/>
  </si>
  <si>
    <t>60604</t>
  </si>
  <si>
    <t>保険（その他）</t>
    <rPh sb="0" eb="2">
      <t>ホケン</t>
    </rPh>
    <rPh sb="5" eb="6">
      <t>タ</t>
    </rPh>
    <phoneticPr fontId="86"/>
  </si>
  <si>
    <t>60699</t>
  </si>
  <si>
    <t>カウンセリング</t>
  </si>
  <si>
    <t>60702</t>
  </si>
  <si>
    <t>介護サービス</t>
    <rPh sb="0" eb="2">
      <t>カイゴ</t>
    </rPh>
    <phoneticPr fontId="86"/>
  </si>
  <si>
    <t>60801</t>
  </si>
  <si>
    <t>ペットケア・ホテル</t>
  </si>
  <si>
    <t>60803</t>
  </si>
  <si>
    <t>サービス業（人的・その他）</t>
  </si>
  <si>
    <t>探偵・便利屋・占い・霊感商法は加盟相談必須、クラウドファンディングは加盟相談必須</t>
    <rPh sb="0" eb="2">
      <t>タンテイ</t>
    </rPh>
    <rPh sb="3" eb="6">
      <t>ベンリヤ</t>
    </rPh>
    <rPh sb="7" eb="8">
      <t>ウラナ</t>
    </rPh>
    <rPh sb="10" eb="12">
      <t>レイカン</t>
    </rPh>
    <rPh sb="12" eb="14">
      <t>ショウホウ</t>
    </rPh>
    <rPh sb="15" eb="19">
      <t>カメイソウダン</t>
    </rPh>
    <rPh sb="19" eb="21">
      <t>ヒッス</t>
    </rPh>
    <rPh sb="34" eb="36">
      <t>カメイ</t>
    </rPh>
    <rPh sb="36" eb="38">
      <t>ソウダン</t>
    </rPh>
    <rPh sb="38" eb="40">
      <t>ヒッス</t>
    </rPh>
    <phoneticPr fontId="86"/>
  </si>
  <si>
    <t>69999</t>
  </si>
  <si>
    <t>ホテル</t>
  </si>
  <si>
    <t>70206</t>
  </si>
  <si>
    <t>宿泊施設（その他）</t>
    <rPh sb="0" eb="2">
      <t>シュクハク</t>
    </rPh>
    <rPh sb="2" eb="4">
      <t>シセツ</t>
    </rPh>
    <rPh sb="7" eb="8">
      <t>タ</t>
    </rPh>
    <phoneticPr fontId="86"/>
  </si>
  <si>
    <t>民泊など</t>
    <rPh sb="0" eb="2">
      <t>ミンパク</t>
    </rPh>
    <phoneticPr fontId="86"/>
  </si>
  <si>
    <t>70299</t>
  </si>
  <si>
    <t>ゴルフ場</t>
    <rPh sb="3" eb="4">
      <t>ジョウ</t>
    </rPh>
    <phoneticPr fontId="86"/>
  </si>
  <si>
    <t>70301</t>
  </si>
  <si>
    <t>総合スポーツ</t>
    <rPh sb="0" eb="2">
      <t>ソウゴウ</t>
    </rPh>
    <phoneticPr fontId="86"/>
  </si>
  <si>
    <t>70307</t>
  </si>
  <si>
    <t>娯楽施設（その他）</t>
    <rPh sb="0" eb="2">
      <t>ゴラク</t>
    </rPh>
    <rPh sb="2" eb="4">
      <t>シセツ</t>
    </rPh>
    <rPh sb="7" eb="8">
      <t>タ</t>
    </rPh>
    <phoneticPr fontId="86"/>
  </si>
  <si>
    <t>70599</t>
  </si>
  <si>
    <t>結婚式場</t>
    <rPh sb="0" eb="2">
      <t>ケッコン</t>
    </rPh>
    <rPh sb="2" eb="4">
      <t>シキジョウ</t>
    </rPh>
    <phoneticPr fontId="86"/>
  </si>
  <si>
    <t>70601</t>
  </si>
  <si>
    <t>葬儀場</t>
    <rPh sb="0" eb="2">
      <t>ソウギ</t>
    </rPh>
    <rPh sb="2" eb="3">
      <t>ジョウ</t>
    </rPh>
    <phoneticPr fontId="86"/>
  </si>
  <si>
    <t>70602</t>
  </si>
  <si>
    <t>駐車場</t>
    <rPh sb="0" eb="2">
      <t>チュウシャ</t>
    </rPh>
    <rPh sb="2" eb="3">
      <t>ジョウ</t>
    </rPh>
    <phoneticPr fontId="86"/>
  </si>
  <si>
    <t>70701</t>
  </si>
  <si>
    <t>不動産</t>
    <rPh sb="0" eb="3">
      <t>フドウサン</t>
    </rPh>
    <phoneticPr fontId="86"/>
  </si>
  <si>
    <t>・マンション管理費等含む　・マンション管理組合単体の加盟はNG　・「過去の管理費債権」「延滞した管理債権」も取扱不可</t>
    <rPh sb="6" eb="8">
      <t>カンリ</t>
    </rPh>
    <rPh sb="8" eb="9">
      <t>ヒ</t>
    </rPh>
    <rPh sb="9" eb="10">
      <t>トウ</t>
    </rPh>
    <rPh sb="10" eb="11">
      <t>フク</t>
    </rPh>
    <phoneticPr fontId="86"/>
  </si>
  <si>
    <t>70901</t>
  </si>
  <si>
    <t>サービス業（施設・その他）</t>
    <rPh sb="4" eb="5">
      <t>ギョウ</t>
    </rPh>
    <rPh sb="6" eb="8">
      <t>シセツ</t>
    </rPh>
    <rPh sb="11" eb="12">
      <t>タ</t>
    </rPh>
    <phoneticPr fontId="86"/>
  </si>
  <si>
    <t>79999</t>
  </si>
  <si>
    <t>一般旅行業（第1種）</t>
    <rPh sb="0" eb="2">
      <t>イッパン</t>
    </rPh>
    <rPh sb="2" eb="5">
      <t>リョコウギョウ</t>
    </rPh>
    <rPh sb="6" eb="7">
      <t>ダイ</t>
    </rPh>
    <rPh sb="8" eb="9">
      <t>シュ</t>
    </rPh>
    <phoneticPr fontId="86"/>
  </si>
  <si>
    <t>80101</t>
  </si>
  <si>
    <t>国内旅行業（第2種）</t>
    <rPh sb="0" eb="2">
      <t>コクナイ</t>
    </rPh>
    <rPh sb="2" eb="4">
      <t>リョコウ</t>
    </rPh>
    <rPh sb="4" eb="5">
      <t>ギョウ</t>
    </rPh>
    <rPh sb="6" eb="7">
      <t>ダイ</t>
    </rPh>
    <rPh sb="8" eb="9">
      <t>シュ</t>
    </rPh>
    <phoneticPr fontId="86"/>
  </si>
  <si>
    <t>80102</t>
  </si>
  <si>
    <t>旅行代理店業（第3種）</t>
    <rPh sb="0" eb="2">
      <t>リョコウ</t>
    </rPh>
    <rPh sb="2" eb="4">
      <t>ダイリ</t>
    </rPh>
    <rPh sb="4" eb="5">
      <t>テン</t>
    </rPh>
    <rPh sb="5" eb="6">
      <t>ギョウ</t>
    </rPh>
    <rPh sb="7" eb="8">
      <t>ダイ</t>
    </rPh>
    <rPh sb="9" eb="10">
      <t>シュ</t>
    </rPh>
    <phoneticPr fontId="86"/>
  </si>
  <si>
    <t>80104</t>
  </si>
  <si>
    <t>旅行斡旋（その他）</t>
    <rPh sb="0" eb="2">
      <t>リョコウ</t>
    </rPh>
    <rPh sb="2" eb="4">
      <t>アッセン</t>
    </rPh>
    <rPh sb="7" eb="8">
      <t>タ</t>
    </rPh>
    <phoneticPr fontId="86"/>
  </si>
  <si>
    <t>80199</t>
  </si>
  <si>
    <t>運輸（空・海・その他）</t>
    <rPh sb="0" eb="2">
      <t>ウンユ</t>
    </rPh>
    <rPh sb="3" eb="4">
      <t>ソラ</t>
    </rPh>
    <rPh sb="5" eb="6">
      <t>ウミ</t>
    </rPh>
    <rPh sb="9" eb="10">
      <t>タ</t>
    </rPh>
    <phoneticPr fontId="86"/>
  </si>
  <si>
    <t>80299</t>
  </si>
  <si>
    <t>80302</t>
  </si>
  <si>
    <t>運転代行業</t>
    <rPh sb="0" eb="2">
      <t>ウンテン</t>
    </rPh>
    <rPh sb="2" eb="4">
      <t>ダイコウ</t>
    </rPh>
    <rPh sb="4" eb="5">
      <t>ギョウ</t>
    </rPh>
    <phoneticPr fontId="86"/>
  </si>
  <si>
    <t>80305</t>
  </si>
  <si>
    <t>料金所</t>
    <rPh sb="0" eb="2">
      <t>リョウキン</t>
    </rPh>
    <rPh sb="2" eb="3">
      <t>ジョ</t>
    </rPh>
    <phoneticPr fontId="86"/>
  </si>
  <si>
    <t>80308</t>
  </si>
  <si>
    <t>運輸（陸・その他）</t>
    <rPh sb="0" eb="2">
      <t>ウンユ</t>
    </rPh>
    <rPh sb="3" eb="4">
      <t>リク</t>
    </rPh>
    <rPh sb="7" eb="8">
      <t>タ</t>
    </rPh>
    <phoneticPr fontId="86"/>
  </si>
  <si>
    <t>80399</t>
  </si>
  <si>
    <t>貸衣装</t>
    <rPh sb="0" eb="3">
      <t>カシイショウ</t>
    </rPh>
    <phoneticPr fontId="86"/>
  </si>
  <si>
    <t>80502</t>
  </si>
  <si>
    <t>プレイガイド</t>
  </si>
  <si>
    <t>80601</t>
  </si>
  <si>
    <t>サービス業（その他）</t>
    <rPh sb="4" eb="5">
      <t>ギョウ</t>
    </rPh>
    <rPh sb="8" eb="9">
      <t>タ</t>
    </rPh>
    <phoneticPr fontId="86"/>
  </si>
  <si>
    <t>89999</t>
  </si>
  <si>
    <t>税・公的費用（その他）</t>
    <rPh sb="0" eb="1">
      <t>ゼイ</t>
    </rPh>
    <rPh sb="2" eb="4">
      <t>コウテキ</t>
    </rPh>
    <rPh sb="4" eb="6">
      <t>ヒヨウ</t>
    </rPh>
    <rPh sb="9" eb="10">
      <t>タ</t>
    </rPh>
    <phoneticPr fontId="86"/>
  </si>
  <si>
    <t>91099</t>
  </si>
  <si>
    <t>個人輸入代行</t>
    <rPh sb="0" eb="2">
      <t>コジン</t>
    </rPh>
    <rPh sb="2" eb="4">
      <t>ユニュウ</t>
    </rPh>
    <rPh sb="4" eb="6">
      <t>ダイコウ</t>
    </rPh>
    <phoneticPr fontId="86"/>
  </si>
  <si>
    <t>加盟相談要</t>
    <rPh sb="0" eb="2">
      <t>カメイ</t>
    </rPh>
    <rPh sb="2" eb="4">
      <t>ソウダン</t>
    </rPh>
    <rPh sb="4" eb="5">
      <t>ヨウ</t>
    </rPh>
    <phoneticPr fontId="86"/>
  </si>
  <si>
    <t>92508</t>
  </si>
  <si>
    <t>その他</t>
    <rPh sb="2" eb="3">
      <t>タ</t>
    </rPh>
    <phoneticPr fontId="86"/>
  </si>
  <si>
    <t>原則利用不可</t>
    <rPh sb="0" eb="2">
      <t>ゲンソク</t>
    </rPh>
    <rPh sb="2" eb="4">
      <t>リヨウ</t>
    </rPh>
    <rPh sb="4" eb="6">
      <t>フカ</t>
    </rPh>
    <phoneticPr fontId="86"/>
  </si>
  <si>
    <t>99999</t>
  </si>
  <si>
    <t>JCB</t>
    <phoneticPr fontId="3"/>
  </si>
  <si>
    <t>CPM</t>
    <phoneticPr fontId="3"/>
  </si>
  <si>
    <t>MPM</t>
    <phoneticPr fontId="3"/>
  </si>
  <si>
    <t>利用しない</t>
    <rPh sb="0" eb="2">
      <t>リヨウ</t>
    </rPh>
    <phoneticPr fontId="3"/>
  </si>
  <si>
    <t>利用する</t>
    <rPh sb="0" eb="2">
      <t>リヨウ</t>
    </rPh>
    <phoneticPr fontId="3"/>
  </si>
  <si>
    <t>端末設定</t>
    <rPh sb="0" eb="2">
      <t>タンマツ</t>
    </rPh>
    <rPh sb="2" eb="4">
      <t>セッテイ</t>
    </rPh>
    <phoneticPr fontId="3"/>
  </si>
  <si>
    <t>POS連動有無</t>
    <rPh sb="3" eb="5">
      <t>レンドウ</t>
    </rPh>
    <rPh sb="5" eb="7">
      <t>ウム</t>
    </rPh>
    <phoneticPr fontId="3"/>
  </si>
  <si>
    <t>POS会社名</t>
    <rPh sb="3" eb="5">
      <t>カイシャ</t>
    </rPh>
    <rPh sb="5" eb="6">
      <t>メイ</t>
    </rPh>
    <phoneticPr fontId="2"/>
  </si>
  <si>
    <t>POS連動方式</t>
    <rPh sb="3" eb="5">
      <t>レンドウ</t>
    </rPh>
    <rPh sb="5" eb="7">
      <t>ホウシキ</t>
    </rPh>
    <phoneticPr fontId="2"/>
  </si>
  <si>
    <t>POS用途</t>
    <rPh sb="3" eb="5">
      <t>ヨウト</t>
    </rPh>
    <phoneticPr fontId="2"/>
  </si>
  <si>
    <t>POS連動タイプ</t>
    <rPh sb="3" eb="5">
      <t>レンドウ</t>
    </rPh>
    <phoneticPr fontId="2"/>
  </si>
  <si>
    <t>通信方式</t>
    <rPh sb="0" eb="2">
      <t>ツウシン</t>
    </rPh>
    <rPh sb="2" eb="4">
      <t>ホウシキ</t>
    </rPh>
    <phoneticPr fontId="2"/>
  </si>
  <si>
    <t>PINレス・サインレス金額</t>
    <rPh sb="11" eb="13">
      <t>キンガク</t>
    </rPh>
    <phoneticPr fontId="2"/>
  </si>
  <si>
    <t>PINバイパス有無</t>
    <rPh sb="7" eb="9">
      <t>ウム</t>
    </rPh>
    <phoneticPr fontId="2"/>
  </si>
  <si>
    <t>利用しない</t>
    <phoneticPr fontId="3"/>
  </si>
  <si>
    <t>利用する</t>
    <phoneticPr fontId="3"/>
  </si>
  <si>
    <t>金額連動</t>
    <phoneticPr fontId="3"/>
  </si>
  <si>
    <t>金種連動</t>
    <phoneticPr fontId="3"/>
  </si>
  <si>
    <t>LAN</t>
    <phoneticPr fontId="3"/>
  </si>
  <si>
    <t>シリアル</t>
    <phoneticPr fontId="3"/>
  </si>
  <si>
    <t>LAN</t>
    <phoneticPr fontId="3"/>
  </si>
  <si>
    <t>WiFi</t>
    <phoneticPr fontId="3"/>
  </si>
  <si>
    <t>SIM</t>
    <phoneticPr fontId="3"/>
  </si>
  <si>
    <t>磁気読み有無</t>
    <rPh sb="0" eb="2">
      <t>ジキ</t>
    </rPh>
    <rPh sb="2" eb="3">
      <t>ヨ</t>
    </rPh>
    <rPh sb="4" eb="6">
      <t>ウム</t>
    </rPh>
    <phoneticPr fontId="2"/>
  </si>
  <si>
    <t>クレジット</t>
    <phoneticPr fontId="3"/>
  </si>
  <si>
    <t>銀聯</t>
    <phoneticPr fontId="3"/>
  </si>
  <si>
    <t>係員操作型</t>
    <phoneticPr fontId="3"/>
  </si>
  <si>
    <t>顧客操作型</t>
    <phoneticPr fontId="3"/>
  </si>
  <si>
    <t>決済方式</t>
  </si>
  <si>
    <t>自動精算機などの対面決済以外のご利用がある場合は、利用するを選択ください。</t>
    <rPh sb="8" eb="10">
      <t>タイメン</t>
    </rPh>
    <phoneticPr fontId="3"/>
  </si>
  <si>
    <t>※決済方式によりご利用可能な決済手段が異なります。※グレーアウトしている決済手段はお申し込みできません。</t>
    <phoneticPr fontId="3"/>
  </si>
  <si>
    <t>PINレス・サインレス</t>
    <phoneticPr fontId="2"/>
  </si>
  <si>
    <t>利用しない</t>
    <phoneticPr fontId="3"/>
  </si>
  <si>
    <t>利用する</t>
    <phoneticPr fontId="3"/>
  </si>
  <si>
    <t>←判定</t>
    <rPh sb="1" eb="3">
      <t>ハンテイ</t>
    </rPh>
    <phoneticPr fontId="3"/>
  </si>
  <si>
    <t>QR決済方式</t>
    <rPh sb="2" eb="4">
      <t>ケッサイ</t>
    </rPh>
    <rPh sb="4" eb="6">
      <t>ホウシキ</t>
    </rPh>
    <phoneticPr fontId="1"/>
  </si>
  <si>
    <t>S!can識別</t>
  </si>
  <si>
    <t>QR自動機利用有無</t>
    <rPh sb="2" eb="4">
      <t>ジドウ</t>
    </rPh>
    <rPh sb="4" eb="5">
      <t>キ</t>
    </rPh>
    <rPh sb="5" eb="7">
      <t>リヨウ</t>
    </rPh>
    <rPh sb="7" eb="9">
      <t>ウム</t>
    </rPh>
    <phoneticPr fontId="1"/>
  </si>
  <si>
    <t>null</t>
  </si>
  <si>
    <t>1:CPM、2:MPM</t>
  </si>
  <si>
    <t>1:アプリ、2:API</t>
  </si>
  <si>
    <t>001500</t>
  </si>
  <si>
    <t>001501</t>
  </si>
  <si>
    <t>001502</t>
  </si>
  <si>
    <t>001503</t>
  </si>
  <si>
    <t>001504</t>
  </si>
  <si>
    <t>001505</t>
  </si>
  <si>
    <t>001506</t>
  </si>
  <si>
    <t>001507</t>
  </si>
  <si>
    <t>001508</t>
  </si>
  <si>
    <t>001509</t>
  </si>
  <si>
    <t>001510</t>
  </si>
  <si>
    <t>001511</t>
  </si>
  <si>
    <t>リアル代表バックオフィスアカウント</t>
    <rPh sb="3" eb="5">
      <t>ダイヒョウ</t>
    </rPh>
    <phoneticPr fontId="2"/>
  </si>
  <si>
    <t>リアル代表バックオフィスパスワード</t>
    <rPh sb="3" eb="5">
      <t>ダイヒョウ</t>
    </rPh>
    <phoneticPr fontId="2"/>
  </si>
  <si>
    <t>POS連動有無</t>
    <rPh sb="3" eb="5">
      <t>レンドウ</t>
    </rPh>
    <rPh sb="5" eb="7">
      <t>ウム</t>
    </rPh>
    <phoneticPr fontId="2"/>
  </si>
  <si>
    <t>磁気読み有無（クレジット）</t>
    <rPh sb="0" eb="2">
      <t>ジキ</t>
    </rPh>
    <rPh sb="2" eb="3">
      <t>ヨ</t>
    </rPh>
    <rPh sb="4" eb="6">
      <t>ウム</t>
    </rPh>
    <phoneticPr fontId="2"/>
  </si>
  <si>
    <t>磁気読み有無（銀聯）</t>
    <rPh sb="0" eb="2">
      <t>ジキ</t>
    </rPh>
    <rPh sb="2" eb="3">
      <t>ヨ</t>
    </rPh>
    <rPh sb="4" eb="6">
      <t>ウム</t>
    </rPh>
    <rPh sb="7" eb="9">
      <t>ギンレン</t>
    </rPh>
    <phoneticPr fontId="2"/>
  </si>
  <si>
    <t>1:LAN、2:シリアル</t>
  </si>
  <si>
    <t>1:顧客操作型、2:係員操作型</t>
  </si>
  <si>
    <t>1:金額連動、2:金種連動</t>
  </si>
  <si>
    <t>1:LAN、2:SIM、3:WiFi</t>
  </si>
  <si>
    <t>940001</t>
    <phoneticPr fontId="3"/>
  </si>
  <si>
    <t>JCB（リアル）</t>
  </si>
  <si>
    <t>申込方法</t>
  </si>
  <si>
    <t>業態コード</t>
  </si>
  <si>
    <t>店舗オープン日</t>
  </si>
  <si>
    <t>UR1</t>
  </si>
  <si>
    <t>UR3</t>
  </si>
  <si>
    <t>UR4</t>
  </si>
  <si>
    <t>UR5</t>
  </si>
  <si>
    <t>10607</t>
    <phoneticPr fontId="3"/>
  </si>
  <si>
    <t>10607</t>
    <phoneticPr fontId="3"/>
  </si>
  <si>
    <t>10607</t>
    <phoneticPr fontId="3"/>
  </si>
  <si>
    <t>10607</t>
    <phoneticPr fontId="3"/>
  </si>
  <si>
    <t>ミナトク</t>
    <phoneticPr fontId="3"/>
  </si>
  <si>
    <t>ヒガシシンバシ</t>
    <phoneticPr fontId="3"/>
  </si>
  <si>
    <t>1-2-3</t>
    <phoneticPr fontId="3"/>
  </si>
  <si>
    <t>2-3-4</t>
    <phoneticPr fontId="3"/>
  </si>
  <si>
    <t>チュウオウク</t>
    <phoneticPr fontId="3"/>
  </si>
  <si>
    <t>ギンザ</t>
    <phoneticPr fontId="3"/>
  </si>
  <si>
    <t>1-1</t>
    <phoneticPr fontId="3"/>
  </si>
  <si>
    <t>トウキョウ</t>
    <phoneticPr fontId="3"/>
  </si>
  <si>
    <t>タロウ</t>
    <phoneticPr fontId="3"/>
  </si>
  <si>
    <t>東京</t>
    <rPh sb="0" eb="2">
      <t>トウキョウ</t>
    </rPh>
    <phoneticPr fontId="3"/>
  </si>
  <si>
    <t>タロウ</t>
    <phoneticPr fontId="3"/>
  </si>
  <si>
    <t>シンバシ</t>
    <phoneticPr fontId="3"/>
  </si>
  <si>
    <t>ジロウ</t>
    <phoneticPr fontId="3"/>
  </si>
  <si>
    <t>新橋</t>
    <rPh sb="0" eb="2">
      <t>シンバシ</t>
    </rPh>
    <phoneticPr fontId="3"/>
  </si>
  <si>
    <t>次郎</t>
    <rPh sb="0" eb="2">
      <t>ジロウ</t>
    </rPh>
    <phoneticPr fontId="3"/>
  </si>
  <si>
    <t>株式会社システム</t>
    <rPh sb="0" eb="4">
      <t>カブシキガイシャ</t>
    </rPh>
    <phoneticPr fontId="3"/>
  </si>
  <si>
    <t>楽天ペイ1500</t>
    <phoneticPr fontId="3"/>
  </si>
  <si>
    <t>楽天ペイ1700</t>
    <phoneticPr fontId="3"/>
  </si>
  <si>
    <t>●楽天ペイ取扱商品</t>
    <rPh sb="1" eb="3">
      <t>ラクテン</t>
    </rPh>
    <rPh sb="5" eb="9">
      <t>トリアツカイショウヒン</t>
    </rPh>
    <phoneticPr fontId="3"/>
  </si>
  <si>
    <t>大項目</t>
    <rPh sb="0" eb="3">
      <t>ダイコウモク</t>
    </rPh>
    <phoneticPr fontId="3"/>
  </si>
  <si>
    <t>食料、飲料</t>
  </si>
  <si>
    <t>ヘルスケア、ビューティー</t>
  </si>
  <si>
    <t>ファッション、手芸</t>
  </si>
  <si>
    <t>アクセサリー、時計</t>
  </si>
  <si>
    <t>玩具、ホビー、スポーツ</t>
  </si>
  <si>
    <t>電化製品、デジタル機器</t>
  </si>
  <si>
    <t>書籍、事務用品、CD、DVD</t>
  </si>
  <si>
    <t>暮らし、インテリア</t>
  </si>
  <si>
    <t>施設利用料</t>
  </si>
  <si>
    <t>住宅、不動産</t>
  </si>
  <si>
    <t>相談、カウンセリング</t>
  </si>
  <si>
    <t>運輸、交通</t>
  </si>
  <si>
    <t>公共料金・通信費</t>
  </si>
  <si>
    <t>保険料</t>
  </si>
  <si>
    <t>受講料・学費</t>
  </si>
  <si>
    <t>1001:飲食代(スナック・クラブ・キャバレー）</t>
  </si>
  <si>
    <t>1101:食料品販売(飲食店除く）</t>
  </si>
  <si>
    <t>1201:化粧品</t>
  </si>
  <si>
    <t>1301:衣服</t>
  </si>
  <si>
    <t>1401:アクセサリー・宝石・貴金属</t>
  </si>
  <si>
    <t>1501:画廊</t>
  </si>
  <si>
    <t>1601:電化製品</t>
  </si>
  <si>
    <t>1701:事務用品</t>
  </si>
  <si>
    <t>1801:雑貨</t>
  </si>
  <si>
    <t>1901:保育施設</t>
  </si>
  <si>
    <t>2001:リフォーム（インテリアその他）</t>
  </si>
  <si>
    <t>2101:相談費用（結婚相談所）</t>
  </si>
  <si>
    <t>2201:バイク</t>
  </si>
  <si>
    <t>2301:鉄道運賃</t>
  </si>
  <si>
    <t>2401:通話料</t>
  </si>
  <si>
    <t>2501:保険料（生命保険）</t>
  </si>
  <si>
    <t>2601:受講料・学費(自動車教習所）</t>
  </si>
  <si>
    <t>1100:食料、飲料</t>
  </si>
  <si>
    <t>1002:飲食代</t>
  </si>
  <si>
    <t>1102:酒類販売(飲食店除く）</t>
  </si>
  <si>
    <t>1202:医薬品</t>
  </si>
  <si>
    <t>1302:毛皮、生地</t>
  </si>
  <si>
    <t>1402:時計</t>
  </si>
  <si>
    <t>1502:園芸用品</t>
  </si>
  <si>
    <t>1602:カメラ</t>
  </si>
  <si>
    <t>1702:書籍</t>
  </si>
  <si>
    <t>1802:家具</t>
  </si>
  <si>
    <t>1902:介護サービス</t>
  </si>
  <si>
    <t>2002:リフォーム（エクステリアその他）</t>
  </si>
  <si>
    <t>2102:調査、探偵</t>
  </si>
  <si>
    <t>2202:自転車</t>
  </si>
  <si>
    <t>2302:バス運賃</t>
  </si>
  <si>
    <t>2402:プロバイダー利用料</t>
  </si>
  <si>
    <t>2502:保険料（損害保険）</t>
  </si>
  <si>
    <t>2602:受講料・学費（OAスクール）</t>
  </si>
  <si>
    <t>1200:ヘルスケア、ビューティー</t>
  </si>
  <si>
    <t>1003:飲食代(バー・居酒屋）</t>
  </si>
  <si>
    <t>1203:調剤薬局</t>
  </si>
  <si>
    <t>1303:呉服</t>
  </si>
  <si>
    <t>1503:スポーツ用品</t>
  </si>
  <si>
    <t>1603:パソコン関連用品</t>
  </si>
  <si>
    <t>1703:レコード、CD、DVD</t>
  </si>
  <si>
    <t>1803:陶磁器・ガラス・クリスタル</t>
  </si>
  <si>
    <t>1903:宿泊代</t>
  </si>
  <si>
    <t>2003:リフォーム（住宅）</t>
  </si>
  <si>
    <t>2103:相談費用（カウンセリング）</t>
  </si>
  <si>
    <t>2203:中古車（自動車）</t>
  </si>
  <si>
    <t>2303:航空券</t>
  </si>
  <si>
    <t>2403:公共料金（電気）</t>
  </si>
  <si>
    <t>2503:保険料（共済）</t>
  </si>
  <si>
    <t>2603:受講料・学費（学校）</t>
  </si>
  <si>
    <t>1300:ファッション、手芸</t>
  </si>
  <si>
    <t>1204:メガネ</t>
  </si>
  <si>
    <t>1304:鞄、バック</t>
  </si>
  <si>
    <t>1504:おもちゃ（人形、フィギュア含む）</t>
  </si>
  <si>
    <t>1604:パソコン</t>
  </si>
  <si>
    <t>1804:仏具</t>
  </si>
  <si>
    <t>1904:施設利用料（アウトドア　スポーツ　その他）</t>
  </si>
  <si>
    <t>2004:不動産</t>
  </si>
  <si>
    <t>2104:相談費用（弁護士事務所）</t>
  </si>
  <si>
    <t>2204:カー用品</t>
  </si>
  <si>
    <t>2304:乗船券</t>
  </si>
  <si>
    <t>2404:公共料金（その他）</t>
  </si>
  <si>
    <t>2504:保険(その他）</t>
  </si>
  <si>
    <t>2604:受講料・学費（外国語学校）</t>
  </si>
  <si>
    <t>1400:アクセサリー、時計</t>
  </si>
  <si>
    <t>1205:コンタクトレンズ</t>
  </si>
  <si>
    <t>1305:靴</t>
  </si>
  <si>
    <t>1505:ペット</t>
  </si>
  <si>
    <t>1605:Web関連サービス</t>
  </si>
  <si>
    <t>1805:花</t>
  </si>
  <si>
    <t>1905:施設利用料（総合スポーツ　スポーツクラブ）</t>
  </si>
  <si>
    <t>2005:不動産（ウィークリーマンション）</t>
  </si>
  <si>
    <t>2205:新車（自動車）</t>
  </si>
  <si>
    <t>2305:旅行代理店</t>
  </si>
  <si>
    <t>2405:公共料金（ガス）</t>
  </si>
  <si>
    <t>2605:受講料・学費（カルチャースクール）</t>
  </si>
  <si>
    <t>1500:玩具、ホビー、スポーツ</t>
  </si>
  <si>
    <t>1206:美容室</t>
  </si>
  <si>
    <t>1506:楽器</t>
  </si>
  <si>
    <t>1606:携帯電話販売</t>
  </si>
  <si>
    <t>1806:ガソリン、軽油、灯油、プロパンガス</t>
  </si>
  <si>
    <t>1906:施設利用料（サービス業　施設　その他）</t>
  </si>
  <si>
    <t>2206:自動車修理・車検</t>
  </si>
  <si>
    <t>2306:タクシー・ハイヤー</t>
  </si>
  <si>
    <t>2406:公共料金（水道）</t>
  </si>
  <si>
    <t>2606:コンサルティング・セミナー</t>
  </si>
  <si>
    <t>1600:電化製品、デジタル機器</t>
  </si>
  <si>
    <t>1207:理髪店</t>
  </si>
  <si>
    <t>1507:美術品（美術、骨董品）</t>
  </si>
  <si>
    <t>1607:デジタルコンテンツ</t>
  </si>
  <si>
    <t>1807:リサイクルショップ</t>
  </si>
  <si>
    <t>1907:ゴルフプレー</t>
  </si>
  <si>
    <t>2307:運転代行業</t>
  </si>
  <si>
    <t>1700:書籍、事務用品、CD、DVD</t>
  </si>
  <si>
    <t>1208:エステティックサロン</t>
  </si>
  <si>
    <t>1508:美術品（古銭、切手）</t>
  </si>
  <si>
    <t>1808:贈答品</t>
  </si>
  <si>
    <t>1908:ゴルフ練習場</t>
  </si>
  <si>
    <t>2308:レンタカー</t>
  </si>
  <si>
    <t>1800:暮らし、インテリア</t>
  </si>
  <si>
    <t>1209:ネイルサロン</t>
  </si>
  <si>
    <t>1809:修理サービス</t>
  </si>
  <si>
    <t>1909:施設利用料（娯楽施設　その他）</t>
  </si>
  <si>
    <t>2309:運送業（引越し含む）</t>
  </si>
  <si>
    <t>1900:施設利用料</t>
  </si>
  <si>
    <t>1210:まつ毛エクステ</t>
  </si>
  <si>
    <t>1810:クリーニングサービス</t>
  </si>
  <si>
    <t>1910:銭湯・サウナ</t>
  </si>
  <si>
    <t>2000:住宅、不動産</t>
  </si>
  <si>
    <t>1211:医療（病院）</t>
  </si>
  <si>
    <t>1811:レンタルサービス（レンタカー除く）</t>
  </si>
  <si>
    <t>2100:相談、カウンセリング</t>
  </si>
  <si>
    <t>1212:動物病院</t>
  </si>
  <si>
    <t>2200:自動車関連</t>
  </si>
  <si>
    <t>1213:医療（美容整形）</t>
  </si>
  <si>
    <t>2300:運輸、交通</t>
  </si>
  <si>
    <t>1214:マッサージ、カイロプラクティック</t>
  </si>
  <si>
    <t>2400:公共料金・通信費</t>
  </si>
  <si>
    <t>2500:保険料</t>
  </si>
  <si>
    <t>2600:受講料・学費</t>
  </si>
  <si>
    <t>●楽天ペイ業種</t>
    <rPh sb="1" eb="3">
      <t>ラクテン</t>
    </rPh>
    <rPh sb="5" eb="7">
      <t>ギョウシュ</t>
    </rPh>
    <phoneticPr fontId="3"/>
  </si>
  <si>
    <t>大項目ID</t>
    <rPh sb="0" eb="3">
      <t>ダイコウモク</t>
    </rPh>
    <phoneticPr fontId="2"/>
  </si>
  <si>
    <t>大項目</t>
    <rPh sb="0" eb="3">
      <t>ダイコウモク</t>
    </rPh>
    <phoneticPr fontId="29"/>
  </si>
  <si>
    <t>取扱商品ID</t>
    <rPh sb="0" eb="4">
      <t>トリアツカイショウヒン</t>
    </rPh>
    <phoneticPr fontId="2"/>
  </si>
  <si>
    <t>取扱商品</t>
    <rPh sb="0" eb="2">
      <t>トリアツカイ</t>
    </rPh>
    <rPh sb="2" eb="4">
      <t>ショウヒン</t>
    </rPh>
    <phoneticPr fontId="29"/>
  </si>
  <si>
    <t>業種ID</t>
    <rPh sb="0" eb="2">
      <t>ギョウシュ</t>
    </rPh>
    <phoneticPr fontId="2"/>
  </si>
  <si>
    <t>業種</t>
    <rPh sb="0" eb="2">
      <t>ギョウシュ</t>
    </rPh>
    <phoneticPr fontId="29"/>
  </si>
  <si>
    <t>1000</t>
  </si>
  <si>
    <t>飲食代(スナック・クラブ・キャバレー）</t>
    <rPh sb="0" eb="3">
      <t>インショクダイ</t>
    </rPh>
    <phoneticPr fontId="3"/>
  </si>
  <si>
    <t>料亭、遊興飲食店、酒場、ビヤホール</t>
    <rPh sb="0" eb="2">
      <t>リョウテイ</t>
    </rPh>
    <rPh sb="3" eb="5">
      <t>ユウキョウ</t>
    </rPh>
    <rPh sb="5" eb="7">
      <t>インショク</t>
    </rPh>
    <rPh sb="7" eb="8">
      <t>テン</t>
    </rPh>
    <rPh sb="9" eb="11">
      <t>サカバ</t>
    </rPh>
    <phoneticPr fontId="3"/>
  </si>
  <si>
    <t>飲食代</t>
  </si>
  <si>
    <t>飲食業</t>
    <rPh sb="0" eb="3">
      <t>インショクギョウ</t>
    </rPh>
    <phoneticPr fontId="29"/>
  </si>
  <si>
    <t>飲食代(バー・居酒屋）</t>
    <rPh sb="0" eb="2">
      <t>インショク</t>
    </rPh>
    <rPh sb="2" eb="3">
      <t>ダイ</t>
    </rPh>
    <rPh sb="7" eb="10">
      <t>イザカヤ</t>
    </rPh>
    <phoneticPr fontId="3"/>
  </si>
  <si>
    <t>1100</t>
  </si>
  <si>
    <t>食料品販売(飲食店除く）</t>
  </si>
  <si>
    <t>飲食良品小売業</t>
    <rPh sb="0" eb="2">
      <t>インショク</t>
    </rPh>
    <rPh sb="2" eb="4">
      <t>リョウヒン</t>
    </rPh>
    <rPh sb="4" eb="7">
      <t>コウリギョウ</t>
    </rPh>
    <phoneticPr fontId="29"/>
  </si>
  <si>
    <t>酒類販売(飲食店除く）</t>
  </si>
  <si>
    <t>1200</t>
  </si>
  <si>
    <t>化粧品</t>
    <rPh sb="0" eb="3">
      <t>ケショウヒン</t>
    </rPh>
    <phoneticPr fontId="3"/>
  </si>
  <si>
    <t>その他の各種商品小売業</t>
    <rPh sb="2" eb="3">
      <t>タ</t>
    </rPh>
    <rPh sb="4" eb="6">
      <t>カクシュ</t>
    </rPh>
    <rPh sb="6" eb="8">
      <t>ショウヒン</t>
    </rPh>
    <rPh sb="8" eb="11">
      <t>コウリギョウ</t>
    </rPh>
    <phoneticPr fontId="3"/>
  </si>
  <si>
    <t>医薬品</t>
    <rPh sb="0" eb="3">
      <t>イヤクヒン</t>
    </rPh>
    <phoneticPr fontId="3"/>
  </si>
  <si>
    <t>医薬品、化粧品小売業</t>
    <rPh sb="0" eb="3">
      <t>イヤクヒン</t>
    </rPh>
    <rPh sb="4" eb="6">
      <t>ケショウ</t>
    </rPh>
    <rPh sb="6" eb="7">
      <t>ヒン</t>
    </rPh>
    <rPh sb="7" eb="10">
      <t>コウリギョウ</t>
    </rPh>
    <phoneticPr fontId="3"/>
  </si>
  <si>
    <t>調剤薬局</t>
    <rPh sb="0" eb="2">
      <t>チョウザイ</t>
    </rPh>
    <rPh sb="2" eb="4">
      <t>ヤッキョク</t>
    </rPh>
    <phoneticPr fontId="3"/>
  </si>
  <si>
    <t>その他の雑小売業</t>
    <rPh sb="2" eb="3">
      <t>ホカ</t>
    </rPh>
    <rPh sb="4" eb="5">
      <t>ザツ</t>
    </rPh>
    <rPh sb="5" eb="8">
      <t>コウリギョウ</t>
    </rPh>
    <phoneticPr fontId="3"/>
  </si>
  <si>
    <t>メガネ</t>
  </si>
  <si>
    <t>時計、眼鏡、光学機械小売業</t>
    <rPh sb="0" eb="2">
      <t>トケイ</t>
    </rPh>
    <rPh sb="3" eb="5">
      <t>メガネ</t>
    </rPh>
    <rPh sb="6" eb="8">
      <t>コウガク</t>
    </rPh>
    <rPh sb="8" eb="10">
      <t>キカイ</t>
    </rPh>
    <rPh sb="10" eb="13">
      <t>コウリギョウ</t>
    </rPh>
    <phoneticPr fontId="3"/>
  </si>
  <si>
    <t>コンタクトレンズ</t>
  </si>
  <si>
    <t>美容室</t>
    <rPh sb="0" eb="3">
      <t>ビヨウシツ</t>
    </rPh>
    <phoneticPr fontId="3"/>
  </si>
  <si>
    <t>洗濯、理容、公衆浴場業</t>
    <rPh sb="0" eb="2">
      <t>センタク</t>
    </rPh>
    <rPh sb="3" eb="5">
      <t>リヨウ</t>
    </rPh>
    <rPh sb="6" eb="8">
      <t>コウシュウ</t>
    </rPh>
    <rPh sb="8" eb="10">
      <t>ヨクジョウ</t>
    </rPh>
    <rPh sb="10" eb="11">
      <t>ギョウ</t>
    </rPh>
    <phoneticPr fontId="3"/>
  </si>
  <si>
    <t>理髪店</t>
  </si>
  <si>
    <t>理容業、美容業</t>
    <rPh sb="0" eb="2">
      <t>リヨウ</t>
    </rPh>
    <rPh sb="2" eb="3">
      <t>ギョウ</t>
    </rPh>
    <rPh sb="4" eb="6">
      <t>ビヨウ</t>
    </rPh>
    <rPh sb="6" eb="7">
      <t>ギョウ</t>
    </rPh>
    <phoneticPr fontId="29"/>
  </si>
  <si>
    <t>その他のサービス業</t>
    <rPh sb="2" eb="3">
      <t>ホカ</t>
    </rPh>
    <rPh sb="8" eb="9">
      <t>ギョウ</t>
    </rPh>
    <phoneticPr fontId="29"/>
  </si>
  <si>
    <t>ネイルサロン</t>
  </si>
  <si>
    <t>理容業、美容業</t>
    <rPh sb="0" eb="2">
      <t>リヨウ</t>
    </rPh>
    <rPh sb="2" eb="3">
      <t>ギョウ</t>
    </rPh>
    <rPh sb="4" eb="6">
      <t>ビヨウ</t>
    </rPh>
    <rPh sb="6" eb="7">
      <t>ギョウ</t>
    </rPh>
    <phoneticPr fontId="3"/>
  </si>
  <si>
    <t>まつ毛エクステ</t>
  </si>
  <si>
    <t>公衆浴場業</t>
    <rPh sb="0" eb="2">
      <t>コウシュウ</t>
    </rPh>
    <rPh sb="2" eb="4">
      <t>ヨクジョウ</t>
    </rPh>
    <rPh sb="4" eb="5">
      <t>ギョウ</t>
    </rPh>
    <phoneticPr fontId="29"/>
  </si>
  <si>
    <t>1211</t>
  </si>
  <si>
    <t>医療（病院）</t>
    <rPh sb="3" eb="5">
      <t>ビョウイン</t>
    </rPh>
    <phoneticPr fontId="3"/>
  </si>
  <si>
    <t>医療業</t>
    <rPh sb="0" eb="2">
      <t>イリョウ</t>
    </rPh>
    <rPh sb="2" eb="3">
      <t>ギョウ</t>
    </rPh>
    <phoneticPr fontId="3"/>
  </si>
  <si>
    <t>1212</t>
  </si>
  <si>
    <t>動物病院</t>
    <rPh sb="0" eb="2">
      <t>ドウブツ</t>
    </rPh>
    <rPh sb="2" eb="4">
      <t>ビョウイン</t>
    </rPh>
    <phoneticPr fontId="2"/>
  </si>
  <si>
    <t>専門サービス業</t>
    <rPh sb="0" eb="2">
      <t>センモン</t>
    </rPh>
    <rPh sb="6" eb="7">
      <t>ギョウ</t>
    </rPh>
    <phoneticPr fontId="2"/>
  </si>
  <si>
    <t>1213</t>
  </si>
  <si>
    <t>医療（美容整形）</t>
    <rPh sb="0" eb="2">
      <t>イリョウ</t>
    </rPh>
    <rPh sb="3" eb="5">
      <t>ビヨウ</t>
    </rPh>
    <rPh sb="5" eb="7">
      <t>セイケイ</t>
    </rPh>
    <phoneticPr fontId="3"/>
  </si>
  <si>
    <t>その他の医療関連サービス業</t>
    <rPh sb="2" eb="3">
      <t>ホカ</t>
    </rPh>
    <rPh sb="4" eb="6">
      <t>イリョウ</t>
    </rPh>
    <rPh sb="6" eb="8">
      <t>カンレン</t>
    </rPh>
    <rPh sb="12" eb="13">
      <t>ギョウ</t>
    </rPh>
    <phoneticPr fontId="3"/>
  </si>
  <si>
    <t>1214</t>
  </si>
  <si>
    <t>マッサージ、カイロプラクティック</t>
  </si>
  <si>
    <t>1300</t>
  </si>
  <si>
    <t>衣服</t>
  </si>
  <si>
    <t>織物、衣服、装身具小売業</t>
    <rPh sb="0" eb="2">
      <t>オリモノ</t>
    </rPh>
    <rPh sb="3" eb="5">
      <t>イフク</t>
    </rPh>
    <rPh sb="6" eb="9">
      <t>ソウシング</t>
    </rPh>
    <rPh sb="9" eb="12">
      <t>コウリギョウ</t>
    </rPh>
    <phoneticPr fontId="29"/>
  </si>
  <si>
    <t>毛皮、生地</t>
  </si>
  <si>
    <t>呉服</t>
  </si>
  <si>
    <t>1304</t>
  </si>
  <si>
    <t>鞄、バック</t>
  </si>
  <si>
    <t>1305</t>
  </si>
  <si>
    <t>靴</t>
  </si>
  <si>
    <t>1400</t>
  </si>
  <si>
    <t>アクセサリー・宝石・貴金属</t>
  </si>
  <si>
    <t>その他の各種商品小売業</t>
    <rPh sb="2" eb="3">
      <t>タ</t>
    </rPh>
    <rPh sb="4" eb="6">
      <t>カクシュ</t>
    </rPh>
    <rPh sb="6" eb="8">
      <t>ショウヒン</t>
    </rPh>
    <rPh sb="8" eb="11">
      <t>コウリギョウ</t>
    </rPh>
    <phoneticPr fontId="29"/>
  </si>
  <si>
    <t>時計、眼鏡、光学機械小売業</t>
    <rPh sb="0" eb="2">
      <t>トケイ</t>
    </rPh>
    <rPh sb="3" eb="5">
      <t>メガネ</t>
    </rPh>
    <rPh sb="6" eb="8">
      <t>コウガク</t>
    </rPh>
    <rPh sb="8" eb="10">
      <t>キカイ</t>
    </rPh>
    <rPh sb="10" eb="13">
      <t>コウリギョウ</t>
    </rPh>
    <phoneticPr fontId="29"/>
  </si>
  <si>
    <t>1500</t>
  </si>
  <si>
    <t>画廊</t>
    <rPh sb="0" eb="2">
      <t>ガロウ</t>
    </rPh>
    <phoneticPr fontId="3"/>
  </si>
  <si>
    <t>中古品、骨董品小売業</t>
    <rPh sb="0" eb="2">
      <t>チュウコ</t>
    </rPh>
    <rPh sb="2" eb="3">
      <t>ヒン</t>
    </rPh>
    <rPh sb="4" eb="7">
      <t>コットウヒン</t>
    </rPh>
    <rPh sb="7" eb="10">
      <t>コウリギョウ</t>
    </rPh>
    <phoneticPr fontId="3"/>
  </si>
  <si>
    <t>園芸用品</t>
  </si>
  <si>
    <t>花、植木小売業</t>
    <rPh sb="0" eb="1">
      <t>ハナ</t>
    </rPh>
    <rPh sb="2" eb="4">
      <t>ウエキ</t>
    </rPh>
    <rPh sb="4" eb="7">
      <t>コウリギョウ</t>
    </rPh>
    <phoneticPr fontId="29"/>
  </si>
  <si>
    <t>スポーツ用品</t>
  </si>
  <si>
    <t>スポーツ用品小売業</t>
    <rPh sb="4" eb="6">
      <t>ヨウヒン</t>
    </rPh>
    <rPh sb="6" eb="9">
      <t>コウリギョウ</t>
    </rPh>
    <phoneticPr fontId="29"/>
  </si>
  <si>
    <t>おもちゃ（人形、フィギュア含む）</t>
  </si>
  <si>
    <t>玩具、娯楽用品小売業</t>
    <rPh sb="0" eb="2">
      <t>ガング</t>
    </rPh>
    <rPh sb="3" eb="5">
      <t>ゴラク</t>
    </rPh>
    <rPh sb="5" eb="7">
      <t>ヨウヒン</t>
    </rPh>
    <rPh sb="7" eb="10">
      <t>コウリギョウ</t>
    </rPh>
    <phoneticPr fontId="29"/>
  </si>
  <si>
    <t>その他の各種商品小売業</t>
    <rPh sb="2" eb="3">
      <t>ホカ</t>
    </rPh>
    <rPh sb="4" eb="6">
      <t>カクシュ</t>
    </rPh>
    <rPh sb="6" eb="8">
      <t>ショウヒン</t>
    </rPh>
    <rPh sb="8" eb="11">
      <t>コウリギョウ</t>
    </rPh>
    <phoneticPr fontId="29"/>
  </si>
  <si>
    <t>楽器</t>
  </si>
  <si>
    <t>楽器、音盤小売業</t>
    <rPh sb="0" eb="2">
      <t>ガッキ</t>
    </rPh>
    <rPh sb="3" eb="5">
      <t>オンバン</t>
    </rPh>
    <rPh sb="5" eb="8">
      <t>コウリギョウ</t>
    </rPh>
    <phoneticPr fontId="29"/>
  </si>
  <si>
    <t>美術品（美術、骨董品）</t>
    <rPh sb="0" eb="2">
      <t>ビジュツ</t>
    </rPh>
    <rPh sb="2" eb="3">
      <t>ヒン</t>
    </rPh>
    <phoneticPr fontId="3"/>
  </si>
  <si>
    <t>美術品（古銭、切手）</t>
    <rPh sb="0" eb="2">
      <t>ビジュツ</t>
    </rPh>
    <rPh sb="2" eb="3">
      <t>ヒン</t>
    </rPh>
    <phoneticPr fontId="3"/>
  </si>
  <si>
    <t>1600</t>
  </si>
  <si>
    <t>電化製品</t>
  </si>
  <si>
    <t>カメラ</t>
  </si>
  <si>
    <t>写真機、写真材料小売業</t>
    <rPh sb="0" eb="3">
      <t>シャシンキ</t>
    </rPh>
    <rPh sb="4" eb="6">
      <t>シャシン</t>
    </rPh>
    <rPh sb="6" eb="8">
      <t>ザイリョウ</t>
    </rPh>
    <rPh sb="8" eb="11">
      <t>コウリギョウ</t>
    </rPh>
    <phoneticPr fontId="29"/>
  </si>
  <si>
    <t>パソコン関連用品</t>
    <rPh sb="4" eb="6">
      <t>カンレン</t>
    </rPh>
    <rPh sb="6" eb="8">
      <t>ヨウヒン</t>
    </rPh>
    <phoneticPr fontId="3"/>
  </si>
  <si>
    <t>家庭用電気機械器具小売業</t>
    <rPh sb="0" eb="3">
      <t>カテイヨウ</t>
    </rPh>
    <rPh sb="3" eb="5">
      <t>デンキ</t>
    </rPh>
    <rPh sb="5" eb="7">
      <t>キカイ</t>
    </rPh>
    <rPh sb="7" eb="9">
      <t>キグ</t>
    </rPh>
    <rPh sb="9" eb="12">
      <t>コウリギョウ</t>
    </rPh>
    <phoneticPr fontId="3"/>
  </si>
  <si>
    <t>1604</t>
  </si>
  <si>
    <t>パソコン</t>
  </si>
  <si>
    <t>1605</t>
  </si>
  <si>
    <t>Web関連サービス</t>
    <rPh sb="3" eb="5">
      <t>カンレン</t>
    </rPh>
    <phoneticPr fontId="3"/>
  </si>
  <si>
    <t>その他の情報サービス業</t>
    <rPh sb="2" eb="3">
      <t>ホカ</t>
    </rPh>
    <rPh sb="4" eb="6">
      <t>ジョウホウ</t>
    </rPh>
    <rPh sb="10" eb="11">
      <t>ギョウ</t>
    </rPh>
    <phoneticPr fontId="3"/>
  </si>
  <si>
    <t>1606</t>
  </si>
  <si>
    <t>携帯電話販売</t>
  </si>
  <si>
    <t>1607</t>
  </si>
  <si>
    <t>デジタルコンテンツ</t>
  </si>
  <si>
    <t>通信業</t>
    <rPh sb="0" eb="3">
      <t>ツウシンギョウ</t>
    </rPh>
    <phoneticPr fontId="29"/>
  </si>
  <si>
    <t>1700</t>
  </si>
  <si>
    <t>事務用品</t>
  </si>
  <si>
    <t>書籍、文房具小売業</t>
    <rPh sb="0" eb="2">
      <t>ショセキ</t>
    </rPh>
    <rPh sb="3" eb="6">
      <t>ブンボウグ</t>
    </rPh>
    <rPh sb="6" eb="9">
      <t>コウリギョウ</t>
    </rPh>
    <phoneticPr fontId="29"/>
  </si>
  <si>
    <t>書籍</t>
  </si>
  <si>
    <t>レコード、CD、DVD</t>
  </si>
  <si>
    <t>1800</t>
  </si>
  <si>
    <t>雑貨</t>
  </si>
  <si>
    <t>家具</t>
  </si>
  <si>
    <t>家具、建具、什器小売業</t>
    <rPh sb="0" eb="2">
      <t>カグ</t>
    </rPh>
    <rPh sb="3" eb="5">
      <t>タテグ</t>
    </rPh>
    <rPh sb="6" eb="7">
      <t>ジュウ</t>
    </rPh>
    <rPh sb="7" eb="8">
      <t>ウツワ</t>
    </rPh>
    <rPh sb="8" eb="11">
      <t>コウリギョウ</t>
    </rPh>
    <phoneticPr fontId="29"/>
  </si>
  <si>
    <t>陶磁器・ガラス・クリスタル</t>
  </si>
  <si>
    <t>仏具</t>
    <rPh sb="0" eb="2">
      <t>ブツグ</t>
    </rPh>
    <phoneticPr fontId="2"/>
  </si>
  <si>
    <t>家具、建具、什器小売業</t>
    <rPh sb="0" eb="2">
      <t>カグ</t>
    </rPh>
    <rPh sb="3" eb="5">
      <t>タテグ</t>
    </rPh>
    <rPh sb="6" eb="7">
      <t>ジュウ</t>
    </rPh>
    <rPh sb="7" eb="8">
      <t>ウツワ</t>
    </rPh>
    <rPh sb="8" eb="11">
      <t>コウリギョウ</t>
    </rPh>
    <phoneticPr fontId="2"/>
  </si>
  <si>
    <t>1805</t>
  </si>
  <si>
    <t>花</t>
  </si>
  <si>
    <t>1806</t>
  </si>
  <si>
    <t>ガソリン、軽油、灯油、プロパンガス</t>
  </si>
  <si>
    <t>燃料小売業、ガソリンスタンド</t>
    <rPh sb="0" eb="2">
      <t>ネンリョウ</t>
    </rPh>
    <rPh sb="2" eb="5">
      <t>コウリギョウ</t>
    </rPh>
    <phoneticPr fontId="29"/>
  </si>
  <si>
    <t>1807</t>
  </si>
  <si>
    <t>その他の小売業</t>
    <rPh sb="2" eb="3">
      <t>ホカ</t>
    </rPh>
    <rPh sb="4" eb="7">
      <t>コウリギョウ</t>
    </rPh>
    <phoneticPr fontId="3"/>
  </si>
  <si>
    <t>1808</t>
  </si>
  <si>
    <t>贈答品</t>
  </si>
  <si>
    <t>1809</t>
  </si>
  <si>
    <t>修理サービス</t>
  </si>
  <si>
    <t>その他の整備、修理業</t>
    <rPh sb="2" eb="3">
      <t>ホカ</t>
    </rPh>
    <rPh sb="4" eb="6">
      <t>セイビ</t>
    </rPh>
    <rPh sb="7" eb="9">
      <t>シュウリ</t>
    </rPh>
    <rPh sb="9" eb="10">
      <t>ギョウ</t>
    </rPh>
    <phoneticPr fontId="29"/>
  </si>
  <si>
    <t>1810</t>
  </si>
  <si>
    <t>クリーニングサービス</t>
  </si>
  <si>
    <t>家事サービス業</t>
    <rPh sb="0" eb="2">
      <t>カジ</t>
    </rPh>
    <rPh sb="6" eb="7">
      <t>ギョウ</t>
    </rPh>
    <phoneticPr fontId="29"/>
  </si>
  <si>
    <t>1811</t>
  </si>
  <si>
    <t>レンタルサービス（レンタカー除く）</t>
  </si>
  <si>
    <t>1900</t>
  </si>
  <si>
    <t>保育施設</t>
    <rPh sb="0" eb="2">
      <t>ホイク</t>
    </rPh>
    <rPh sb="2" eb="4">
      <t>シセツ</t>
    </rPh>
    <phoneticPr fontId="3"/>
  </si>
  <si>
    <t>教育</t>
    <rPh sb="0" eb="2">
      <t>キョウイク</t>
    </rPh>
    <phoneticPr fontId="3"/>
  </si>
  <si>
    <t>介護サービス</t>
    <rPh sb="0" eb="2">
      <t>カイゴ</t>
    </rPh>
    <phoneticPr fontId="3"/>
  </si>
  <si>
    <t>家事サービス業</t>
    <rPh sb="0" eb="2">
      <t>カジ</t>
    </rPh>
    <rPh sb="6" eb="7">
      <t>ギョウ</t>
    </rPh>
    <phoneticPr fontId="3"/>
  </si>
  <si>
    <t>宿泊代</t>
  </si>
  <si>
    <t>ホテル、旅館、その他の宿泊所</t>
    <rPh sb="4" eb="6">
      <t>リョカン</t>
    </rPh>
    <rPh sb="9" eb="10">
      <t>タ</t>
    </rPh>
    <rPh sb="11" eb="13">
      <t>シュクハク</t>
    </rPh>
    <rPh sb="13" eb="14">
      <t>ジョ</t>
    </rPh>
    <phoneticPr fontId="29"/>
  </si>
  <si>
    <t>施設利用料（アウトドア　スポーツ　その他）</t>
    <rPh sb="19" eb="20">
      <t>タ</t>
    </rPh>
    <phoneticPr fontId="3"/>
  </si>
  <si>
    <t>娯楽業</t>
    <rPh sb="0" eb="3">
      <t>ゴラクギョウ</t>
    </rPh>
    <phoneticPr fontId="3"/>
  </si>
  <si>
    <t>施設利用料（総合スポーツ　スポーツクラブ）</t>
    <rPh sb="6" eb="8">
      <t>ソウゴウ</t>
    </rPh>
    <phoneticPr fontId="3"/>
  </si>
  <si>
    <t>運動競技場</t>
    <rPh sb="0" eb="2">
      <t>ウンドウ</t>
    </rPh>
    <rPh sb="2" eb="4">
      <t>キョウギ</t>
    </rPh>
    <rPh sb="4" eb="5">
      <t>バ</t>
    </rPh>
    <phoneticPr fontId="3"/>
  </si>
  <si>
    <t>施設利用料（サービス業　施設　その他）</t>
    <rPh sb="10" eb="11">
      <t>ギョウ</t>
    </rPh>
    <rPh sb="12" eb="14">
      <t>シセツ</t>
    </rPh>
    <rPh sb="17" eb="18">
      <t>タ</t>
    </rPh>
    <phoneticPr fontId="3"/>
  </si>
  <si>
    <t>その他の娯楽業</t>
    <rPh sb="2" eb="3">
      <t>ホカ</t>
    </rPh>
    <rPh sb="4" eb="7">
      <t>ゴラクギョウ</t>
    </rPh>
    <phoneticPr fontId="3"/>
  </si>
  <si>
    <t>ゴルフプレー</t>
  </si>
  <si>
    <t>娯楽業</t>
    <rPh sb="0" eb="3">
      <t>ゴラクギョウ</t>
    </rPh>
    <phoneticPr fontId="29"/>
  </si>
  <si>
    <t>ゴルフ練習場</t>
    <rPh sb="3" eb="6">
      <t>レンシュウジョウ</t>
    </rPh>
    <phoneticPr fontId="3"/>
  </si>
  <si>
    <t>ゴルフ、バッティング練習場</t>
    <rPh sb="10" eb="13">
      <t>レンシュウジョウ</t>
    </rPh>
    <phoneticPr fontId="3"/>
  </si>
  <si>
    <t>1909</t>
  </si>
  <si>
    <t>施設利用料（娯楽施設　その他）</t>
    <rPh sb="6" eb="8">
      <t>ゴラク</t>
    </rPh>
    <rPh sb="8" eb="10">
      <t>シセツ</t>
    </rPh>
    <rPh sb="13" eb="14">
      <t>タ</t>
    </rPh>
    <phoneticPr fontId="3"/>
  </si>
  <si>
    <t>公園、遊園地</t>
    <rPh sb="0" eb="2">
      <t>コウエン</t>
    </rPh>
    <rPh sb="3" eb="6">
      <t>ユウエンチ</t>
    </rPh>
    <phoneticPr fontId="3"/>
  </si>
  <si>
    <t>1910</t>
  </si>
  <si>
    <t>銭湯・サウナ</t>
  </si>
  <si>
    <t>洗濯、理容、公衆浴場業</t>
    <rPh sb="0" eb="2">
      <t>センタク</t>
    </rPh>
    <rPh sb="3" eb="5">
      <t>リヨウ</t>
    </rPh>
    <rPh sb="6" eb="8">
      <t>コウシュウ</t>
    </rPh>
    <rPh sb="8" eb="10">
      <t>ヨクジョウ</t>
    </rPh>
    <rPh sb="10" eb="11">
      <t>ギョウ</t>
    </rPh>
    <phoneticPr fontId="29"/>
  </si>
  <si>
    <t>2000</t>
  </si>
  <si>
    <t>2001</t>
  </si>
  <si>
    <t>リフォーム（インテリアその他）</t>
    <rPh sb="13" eb="14">
      <t>タ</t>
    </rPh>
    <phoneticPr fontId="3"/>
  </si>
  <si>
    <t>塗装工業</t>
    <rPh sb="0" eb="2">
      <t>トソウ</t>
    </rPh>
    <rPh sb="2" eb="4">
      <t>コウギョウ</t>
    </rPh>
    <phoneticPr fontId="3"/>
  </si>
  <si>
    <t>2002</t>
  </si>
  <si>
    <t>リフォーム（エクステリアその他）</t>
    <rPh sb="14" eb="15">
      <t>タ</t>
    </rPh>
    <phoneticPr fontId="3"/>
  </si>
  <si>
    <t>その他の職別工事業</t>
    <rPh sb="2" eb="3">
      <t>ホカ</t>
    </rPh>
    <rPh sb="4" eb="5">
      <t>ショク</t>
    </rPh>
    <rPh sb="5" eb="6">
      <t>ベツ</t>
    </rPh>
    <rPh sb="6" eb="9">
      <t>コウジギョウ</t>
    </rPh>
    <phoneticPr fontId="3"/>
  </si>
  <si>
    <t>2003</t>
  </si>
  <si>
    <t>リフォーム（住宅）</t>
    <rPh sb="6" eb="8">
      <t>ジュウタク</t>
    </rPh>
    <phoneticPr fontId="3"/>
  </si>
  <si>
    <t>一般土木工事業</t>
    <rPh sb="0" eb="2">
      <t>イッパン</t>
    </rPh>
    <rPh sb="2" eb="4">
      <t>ドボク</t>
    </rPh>
    <rPh sb="4" eb="6">
      <t>コウジ</t>
    </rPh>
    <rPh sb="6" eb="7">
      <t>ギョウ</t>
    </rPh>
    <phoneticPr fontId="3"/>
  </si>
  <si>
    <t>2004</t>
  </si>
  <si>
    <t>不動産</t>
  </si>
  <si>
    <t>不動産業</t>
    <rPh sb="0" eb="3">
      <t>フドウサン</t>
    </rPh>
    <rPh sb="3" eb="4">
      <t>ギョウ</t>
    </rPh>
    <phoneticPr fontId="29"/>
  </si>
  <si>
    <t>2005</t>
  </si>
  <si>
    <t>不動産（ウィークリーマンション）</t>
    <rPh sb="0" eb="3">
      <t>フドウサン</t>
    </rPh>
    <phoneticPr fontId="3"/>
  </si>
  <si>
    <t>賃貸業、貸間業</t>
    <rPh sb="0" eb="3">
      <t>チンタイギョウ</t>
    </rPh>
    <rPh sb="4" eb="6">
      <t>カシマ</t>
    </rPh>
    <rPh sb="6" eb="7">
      <t>ギョウ</t>
    </rPh>
    <phoneticPr fontId="3"/>
  </si>
  <si>
    <t>2100</t>
  </si>
  <si>
    <t>2101</t>
  </si>
  <si>
    <t>相談費用（結婚相談所）</t>
    <rPh sb="0" eb="2">
      <t>ソウダン</t>
    </rPh>
    <rPh sb="2" eb="4">
      <t>ヒヨウ</t>
    </rPh>
    <rPh sb="5" eb="7">
      <t>ケッコン</t>
    </rPh>
    <rPh sb="7" eb="9">
      <t>ソウダン</t>
    </rPh>
    <rPh sb="9" eb="10">
      <t>トコロ</t>
    </rPh>
    <phoneticPr fontId="3"/>
  </si>
  <si>
    <t>情報提供サービス業</t>
    <rPh sb="0" eb="2">
      <t>ジョウホウ</t>
    </rPh>
    <rPh sb="2" eb="4">
      <t>テイキョウ</t>
    </rPh>
    <rPh sb="8" eb="9">
      <t>ギョウ</t>
    </rPh>
    <phoneticPr fontId="3"/>
  </si>
  <si>
    <t>2102</t>
  </si>
  <si>
    <t>調査、探偵</t>
    <rPh sb="0" eb="2">
      <t>チョウサ</t>
    </rPh>
    <rPh sb="3" eb="5">
      <t>タンテイ</t>
    </rPh>
    <phoneticPr fontId="3"/>
  </si>
  <si>
    <t>興信所</t>
    <rPh sb="0" eb="3">
      <t>コウシンジョ</t>
    </rPh>
    <phoneticPr fontId="3"/>
  </si>
  <si>
    <t>2103</t>
  </si>
  <si>
    <t>相談費用（カウンセリング）</t>
    <rPh sb="0" eb="2">
      <t>ソウダン</t>
    </rPh>
    <rPh sb="2" eb="4">
      <t>ヒヨウ</t>
    </rPh>
    <phoneticPr fontId="3"/>
  </si>
  <si>
    <t>2104</t>
  </si>
  <si>
    <t>相談費用（弁護士事務所）</t>
    <rPh sb="0" eb="2">
      <t>ソウダン</t>
    </rPh>
    <rPh sb="2" eb="4">
      <t>ヒヨウ</t>
    </rPh>
    <rPh sb="5" eb="8">
      <t>ベンゴシ</t>
    </rPh>
    <rPh sb="8" eb="10">
      <t>ジム</t>
    </rPh>
    <rPh sb="10" eb="11">
      <t>ショ</t>
    </rPh>
    <phoneticPr fontId="3"/>
  </si>
  <si>
    <t>専門サービス業</t>
    <rPh sb="0" eb="2">
      <t>センモン</t>
    </rPh>
    <rPh sb="6" eb="7">
      <t>ギョウ</t>
    </rPh>
    <phoneticPr fontId="3"/>
  </si>
  <si>
    <t>2200</t>
  </si>
  <si>
    <t>2201</t>
  </si>
  <si>
    <t>バイク</t>
  </si>
  <si>
    <t>自動車、バイク、自転車小売業</t>
    <rPh sb="0" eb="3">
      <t>ジドウシャ</t>
    </rPh>
    <rPh sb="8" eb="11">
      <t>ジテンシャ</t>
    </rPh>
    <rPh sb="11" eb="14">
      <t>コウリギョウ</t>
    </rPh>
    <phoneticPr fontId="29"/>
  </si>
  <si>
    <t>2202</t>
  </si>
  <si>
    <t>自転車</t>
  </si>
  <si>
    <t>2203</t>
  </si>
  <si>
    <t>中古車（自動車）</t>
  </si>
  <si>
    <t>2204</t>
  </si>
  <si>
    <t>カー用品</t>
  </si>
  <si>
    <t>2205</t>
  </si>
  <si>
    <t>新車（自動車）</t>
    <rPh sb="0" eb="2">
      <t>シンシャ</t>
    </rPh>
    <rPh sb="3" eb="6">
      <t>ジドウシャ</t>
    </rPh>
    <phoneticPr fontId="2"/>
  </si>
  <si>
    <t>ディーラー</t>
  </si>
  <si>
    <t>2206</t>
  </si>
  <si>
    <t>自動車修理・車検</t>
  </si>
  <si>
    <t>自動車整備業</t>
    <rPh sb="0" eb="3">
      <t>ジドウシャ</t>
    </rPh>
    <rPh sb="3" eb="5">
      <t>セイビ</t>
    </rPh>
    <rPh sb="5" eb="6">
      <t>ギョウ</t>
    </rPh>
    <phoneticPr fontId="29"/>
  </si>
  <si>
    <t>2300</t>
  </si>
  <si>
    <t>2301</t>
  </si>
  <si>
    <t>鉄道運賃</t>
  </si>
  <si>
    <t>53</t>
  </si>
  <si>
    <t>鉄道旅客運送業</t>
    <rPh sb="0" eb="2">
      <t>テツドウ</t>
    </rPh>
    <rPh sb="2" eb="4">
      <t>リョキャク</t>
    </rPh>
    <rPh sb="4" eb="7">
      <t>ウンソウギョウ</t>
    </rPh>
    <phoneticPr fontId="29"/>
  </si>
  <si>
    <t>2302</t>
  </si>
  <si>
    <t>バス運賃</t>
  </si>
  <si>
    <t>49</t>
  </si>
  <si>
    <t>一般乗合、貸切旅客自動車運送業</t>
    <rPh sb="0" eb="2">
      <t>イッパン</t>
    </rPh>
    <rPh sb="2" eb="4">
      <t>ノリアイ</t>
    </rPh>
    <rPh sb="5" eb="7">
      <t>カシキリ</t>
    </rPh>
    <rPh sb="7" eb="9">
      <t>リョキャク</t>
    </rPh>
    <rPh sb="9" eb="12">
      <t>ジドウシャ</t>
    </rPh>
    <rPh sb="12" eb="15">
      <t>ウンソウギョウ</t>
    </rPh>
    <phoneticPr fontId="29"/>
  </si>
  <si>
    <t>2303</t>
  </si>
  <si>
    <t>航空券</t>
  </si>
  <si>
    <t>2304</t>
  </si>
  <si>
    <t>乗船券</t>
  </si>
  <si>
    <t>海上旅客運送業</t>
    <rPh sb="0" eb="2">
      <t>カイジョウ</t>
    </rPh>
    <rPh sb="2" eb="4">
      <t>リョキャク</t>
    </rPh>
    <rPh sb="4" eb="7">
      <t>ウンソウギョウ</t>
    </rPh>
    <phoneticPr fontId="29"/>
  </si>
  <si>
    <t>2305</t>
  </si>
  <si>
    <t>旅行代理店</t>
  </si>
  <si>
    <t>55</t>
  </si>
  <si>
    <t>旅行斡旋業（旅行代理店）</t>
    <rPh sb="0" eb="2">
      <t>リョコウ</t>
    </rPh>
    <rPh sb="2" eb="5">
      <t>アッセンギョウ</t>
    </rPh>
    <rPh sb="6" eb="8">
      <t>リョコウ</t>
    </rPh>
    <rPh sb="8" eb="10">
      <t>ダイリ</t>
    </rPh>
    <rPh sb="10" eb="11">
      <t>テン</t>
    </rPh>
    <phoneticPr fontId="29"/>
  </si>
  <si>
    <t>2306</t>
  </si>
  <si>
    <t>48</t>
  </si>
  <si>
    <t>一般乗用旅客自動車運送業（タクシー）</t>
    <rPh sb="0" eb="2">
      <t>イッパン</t>
    </rPh>
    <rPh sb="2" eb="4">
      <t>ジョウヨウ</t>
    </rPh>
    <rPh sb="4" eb="6">
      <t>リョカク</t>
    </rPh>
    <rPh sb="6" eb="9">
      <t>ジドウシャ</t>
    </rPh>
    <rPh sb="9" eb="12">
      <t>ウンソウギョウ</t>
    </rPh>
    <phoneticPr fontId="29"/>
  </si>
  <si>
    <t>2307</t>
  </si>
  <si>
    <t>運転代行業</t>
    <rPh sb="0" eb="2">
      <t>ウンテン</t>
    </rPh>
    <rPh sb="2" eb="4">
      <t>ダイコウ</t>
    </rPh>
    <rPh sb="4" eb="5">
      <t>ギョウ</t>
    </rPh>
    <phoneticPr fontId="3"/>
  </si>
  <si>
    <t>52</t>
  </si>
  <si>
    <t>その他の運輸通信業</t>
    <rPh sb="2" eb="3">
      <t>ホカ</t>
    </rPh>
    <rPh sb="4" eb="6">
      <t>ウンユ</t>
    </rPh>
    <rPh sb="6" eb="9">
      <t>ツウシンギョウ</t>
    </rPh>
    <phoneticPr fontId="3"/>
  </si>
  <si>
    <t>2308</t>
  </si>
  <si>
    <t>54</t>
  </si>
  <si>
    <t>物品賃貸業</t>
    <rPh sb="0" eb="2">
      <t>ブッピン</t>
    </rPh>
    <rPh sb="2" eb="5">
      <t>チンタイギョウ</t>
    </rPh>
    <phoneticPr fontId="29"/>
  </si>
  <si>
    <t>2309</t>
  </si>
  <si>
    <t>運送業（引越し含む）</t>
  </si>
  <si>
    <t>51</t>
  </si>
  <si>
    <t>貨物運送業（航空、海上、陸上）</t>
    <rPh sb="0" eb="2">
      <t>カモツ</t>
    </rPh>
    <rPh sb="2" eb="5">
      <t>ウンソウギョウ</t>
    </rPh>
    <rPh sb="6" eb="8">
      <t>コウクウ</t>
    </rPh>
    <rPh sb="9" eb="11">
      <t>カイジョウ</t>
    </rPh>
    <rPh sb="12" eb="14">
      <t>リクジョウ</t>
    </rPh>
    <phoneticPr fontId="29"/>
  </si>
  <si>
    <t>2400</t>
  </si>
  <si>
    <t>2401</t>
  </si>
  <si>
    <t>通話料</t>
  </si>
  <si>
    <t>2402</t>
  </si>
  <si>
    <t>プロバイダー利用料</t>
  </si>
  <si>
    <t>2403</t>
  </si>
  <si>
    <t>公共料金（電気）</t>
    <rPh sb="5" eb="7">
      <t>デンキ</t>
    </rPh>
    <phoneticPr fontId="3"/>
  </si>
  <si>
    <t>2404</t>
  </si>
  <si>
    <t>公共料金（その他）</t>
    <rPh sb="7" eb="8">
      <t>タ</t>
    </rPh>
    <phoneticPr fontId="3"/>
  </si>
  <si>
    <t>2405</t>
  </si>
  <si>
    <t>公共料金（ガス）</t>
  </si>
  <si>
    <t>その他のサービス業</t>
    <rPh sb="2" eb="3">
      <t>ホカ</t>
    </rPh>
    <rPh sb="8" eb="9">
      <t>ギョウ</t>
    </rPh>
    <phoneticPr fontId="3"/>
  </si>
  <si>
    <t>2406</t>
  </si>
  <si>
    <t>公共料金（水道）</t>
    <rPh sb="5" eb="7">
      <t>スイドウ</t>
    </rPh>
    <phoneticPr fontId="3"/>
  </si>
  <si>
    <t>2500</t>
  </si>
  <si>
    <t>2501</t>
  </si>
  <si>
    <t>保険料（生命保険）</t>
    <rPh sb="4" eb="6">
      <t>セイメイ</t>
    </rPh>
    <rPh sb="6" eb="8">
      <t>ホケン</t>
    </rPh>
    <phoneticPr fontId="3"/>
  </si>
  <si>
    <t>56</t>
  </si>
  <si>
    <t>生命保険業</t>
    <rPh sb="0" eb="2">
      <t>セイメイ</t>
    </rPh>
    <rPh sb="2" eb="4">
      <t>ホケン</t>
    </rPh>
    <rPh sb="4" eb="5">
      <t>ギョウ</t>
    </rPh>
    <phoneticPr fontId="3"/>
  </si>
  <si>
    <t>2502</t>
  </si>
  <si>
    <t>保険料（損害保険）</t>
    <rPh sb="0" eb="3">
      <t>ホケンリョウ</t>
    </rPh>
    <rPh sb="4" eb="6">
      <t>ソンガイ</t>
    </rPh>
    <rPh sb="6" eb="8">
      <t>ホケン</t>
    </rPh>
    <phoneticPr fontId="3"/>
  </si>
  <si>
    <t>57</t>
  </si>
  <si>
    <t>損害保険業</t>
    <rPh sb="0" eb="2">
      <t>ソンガイ</t>
    </rPh>
    <rPh sb="2" eb="4">
      <t>ホケン</t>
    </rPh>
    <rPh sb="4" eb="5">
      <t>ギョウ</t>
    </rPh>
    <phoneticPr fontId="3"/>
  </si>
  <si>
    <t>2503</t>
  </si>
  <si>
    <t>保険料（共済）</t>
    <rPh sb="0" eb="3">
      <t>ホケンリョウ</t>
    </rPh>
    <rPh sb="4" eb="6">
      <t>キョウサイ</t>
    </rPh>
    <phoneticPr fontId="3"/>
  </si>
  <si>
    <t>2504</t>
  </si>
  <si>
    <t>保険(その他）</t>
    <rPh sb="0" eb="2">
      <t>ホケン</t>
    </rPh>
    <rPh sb="5" eb="6">
      <t>タ</t>
    </rPh>
    <phoneticPr fontId="3"/>
  </si>
  <si>
    <t>2600</t>
  </si>
  <si>
    <t>2601</t>
  </si>
  <si>
    <t>受講料・学費(自動車教習所）</t>
    <rPh sb="7" eb="10">
      <t>ジドウシャ</t>
    </rPh>
    <rPh sb="10" eb="13">
      <t>キョウシュウジョ</t>
    </rPh>
    <phoneticPr fontId="3"/>
  </si>
  <si>
    <t>その他の教育施設</t>
    <rPh sb="2" eb="3">
      <t>ホカ</t>
    </rPh>
    <rPh sb="4" eb="6">
      <t>キョウイク</t>
    </rPh>
    <rPh sb="6" eb="8">
      <t>シセツ</t>
    </rPh>
    <phoneticPr fontId="3"/>
  </si>
  <si>
    <t>2602</t>
  </si>
  <si>
    <t>受講料・学費（OAスクール）</t>
  </si>
  <si>
    <t>教育</t>
    <rPh sb="0" eb="2">
      <t>キョウイク</t>
    </rPh>
    <phoneticPr fontId="29"/>
  </si>
  <si>
    <t>2603</t>
  </si>
  <si>
    <t>受講料・学費（学校）</t>
    <rPh sb="7" eb="9">
      <t>ガッコウ</t>
    </rPh>
    <phoneticPr fontId="3"/>
  </si>
  <si>
    <t>59</t>
  </si>
  <si>
    <t>学校教育（義務教育、高等教育）</t>
    <rPh sb="0" eb="2">
      <t>ガッコウ</t>
    </rPh>
    <rPh sb="2" eb="4">
      <t>キョウイク</t>
    </rPh>
    <rPh sb="5" eb="7">
      <t>ギム</t>
    </rPh>
    <rPh sb="7" eb="9">
      <t>キョウイク</t>
    </rPh>
    <rPh sb="10" eb="12">
      <t>コウトウ</t>
    </rPh>
    <rPh sb="12" eb="14">
      <t>キョウイク</t>
    </rPh>
    <phoneticPr fontId="3"/>
  </si>
  <si>
    <t>2604</t>
  </si>
  <si>
    <t>受講料・学費（外国語学校）</t>
    <rPh sb="7" eb="10">
      <t>ガイコクゴ</t>
    </rPh>
    <rPh sb="10" eb="12">
      <t>ガッコウ</t>
    </rPh>
    <phoneticPr fontId="3"/>
  </si>
  <si>
    <t>58</t>
  </si>
  <si>
    <t>各種学校、専修学校</t>
    <rPh sb="0" eb="2">
      <t>カクシュ</t>
    </rPh>
    <rPh sb="2" eb="4">
      <t>ガッコウ</t>
    </rPh>
    <rPh sb="5" eb="7">
      <t>センシュウ</t>
    </rPh>
    <rPh sb="7" eb="9">
      <t>ガッコウ</t>
    </rPh>
    <phoneticPr fontId="3"/>
  </si>
  <si>
    <t>2605</t>
  </si>
  <si>
    <t>受講料・学費（カルチャースクール）</t>
  </si>
  <si>
    <t>その他の教育施設</t>
    <rPh sb="2" eb="3">
      <t>ホカ</t>
    </rPh>
    <rPh sb="4" eb="6">
      <t>キョウイク</t>
    </rPh>
    <rPh sb="6" eb="8">
      <t>シセツ</t>
    </rPh>
    <phoneticPr fontId="29"/>
  </si>
  <si>
    <t>2606</t>
  </si>
  <si>
    <t>コンサルティング・セミナー</t>
  </si>
  <si>
    <t>楽天ペイ大項目</t>
    <phoneticPr fontId="3"/>
  </si>
  <si>
    <t>楽天ペイ1000</t>
    <phoneticPr fontId="3"/>
  </si>
  <si>
    <t>楽天ペイ1100</t>
    <phoneticPr fontId="3"/>
  </si>
  <si>
    <t>楽天ペイ1200</t>
    <phoneticPr fontId="3"/>
  </si>
  <si>
    <t>楽天ペイ1300</t>
    <phoneticPr fontId="3"/>
  </si>
  <si>
    <t>楽天ペイ1400</t>
    <phoneticPr fontId="3"/>
  </si>
  <si>
    <t>楽天ペイ1600</t>
    <phoneticPr fontId="3"/>
  </si>
  <si>
    <t>楽天ペイ1800</t>
    <phoneticPr fontId="3"/>
  </si>
  <si>
    <t>楽天ペイ1900</t>
    <phoneticPr fontId="3"/>
  </si>
  <si>
    <t>楽天ペイ2000</t>
    <phoneticPr fontId="3"/>
  </si>
  <si>
    <t>楽天ペイ2100</t>
    <phoneticPr fontId="3"/>
  </si>
  <si>
    <t>楽天ペイ2200</t>
    <phoneticPr fontId="3"/>
  </si>
  <si>
    <t>楽天ペイ2300</t>
    <phoneticPr fontId="3"/>
  </si>
  <si>
    <t>楽天ペイ2400</t>
    <phoneticPr fontId="3"/>
  </si>
  <si>
    <t>楽天ペイ2500</t>
    <phoneticPr fontId="3"/>
  </si>
  <si>
    <t>楽天ペイ2600</t>
    <phoneticPr fontId="3"/>
  </si>
  <si>
    <t>楽天ペイ0000</t>
    <phoneticPr fontId="3"/>
  </si>
  <si>
    <t>　PayPay Map</t>
    <phoneticPr fontId="3"/>
  </si>
  <si>
    <t>←楽天ペイ判定</t>
  </si>
  <si>
    <t>業種</t>
  </si>
  <si>
    <t>Q14</t>
  </si>
  <si>
    <t>取扱商品</t>
  </si>
  <si>
    <t>Q15</t>
  </si>
  <si>
    <t>　お取り扱い商品</t>
    <rPh sb="2" eb="3">
      <t>ト</t>
    </rPh>
    <rPh sb="4" eb="5">
      <t>アツカ</t>
    </rPh>
    <rPh sb="6" eb="8">
      <t>ショウヒン</t>
    </rPh>
    <phoneticPr fontId="3"/>
  </si>
  <si>
    <t>5203793</t>
  </si>
  <si>
    <t>霜田 つばさ</t>
  </si>
  <si>
    <t>申込端末(1)</t>
    <rPh sb="0" eb="2">
      <t>モウシコミ</t>
    </rPh>
    <rPh sb="2" eb="4">
      <t>タンマツ</t>
    </rPh>
    <phoneticPr fontId="1"/>
  </si>
  <si>
    <t>申込端末(2)</t>
    <rPh sb="0" eb="2">
      <t>モウシコミ</t>
    </rPh>
    <rPh sb="2" eb="4">
      <t>タンマツ</t>
    </rPh>
    <phoneticPr fontId="1"/>
  </si>
  <si>
    <t>申込端末(3)</t>
    <rPh sb="0" eb="2">
      <t>モウシコミ</t>
    </rPh>
    <rPh sb="2" eb="4">
      <t>タンマツ</t>
    </rPh>
    <phoneticPr fontId="1"/>
  </si>
  <si>
    <t>申込端末(4)</t>
    <rPh sb="0" eb="2">
      <t>モウシコミ</t>
    </rPh>
    <rPh sb="2" eb="4">
      <t>タンマツ</t>
    </rPh>
    <phoneticPr fontId="1"/>
  </si>
  <si>
    <t>申込端末(5)</t>
    <rPh sb="0" eb="2">
      <t>モウシコミ</t>
    </rPh>
    <rPh sb="2" eb="4">
      <t>タンマツ</t>
    </rPh>
    <phoneticPr fontId="1"/>
  </si>
  <si>
    <t>端末備考(1)</t>
    <rPh sb="0" eb="2">
      <t>タンマツ</t>
    </rPh>
    <rPh sb="2" eb="4">
      <t>ビコウ</t>
    </rPh>
    <phoneticPr fontId="1"/>
  </si>
  <si>
    <t>端末備考(2)</t>
    <rPh sb="0" eb="2">
      <t>タンマツ</t>
    </rPh>
    <rPh sb="2" eb="4">
      <t>ビコウ</t>
    </rPh>
    <phoneticPr fontId="1"/>
  </si>
  <si>
    <t>②</t>
    <phoneticPr fontId="3"/>
  </si>
  <si>
    <t>初期費用</t>
    <rPh sb="0" eb="2">
      <t>ショキ</t>
    </rPh>
    <rPh sb="2" eb="4">
      <t>ヒヨウ</t>
    </rPh>
    <phoneticPr fontId="3"/>
  </si>
  <si>
    <t>利用有無</t>
    <rPh sb="0" eb="2">
      <t>リヨウ</t>
    </rPh>
    <rPh sb="2" eb="4">
      <t>ウム</t>
    </rPh>
    <phoneticPr fontId="3"/>
  </si>
  <si>
    <t>　　・クレジットカードおよび銀聯カードによる決済において、万が一、第三者が不正に入手したカード情報を利用したことにより生じる未回収金は、「SBPSクレジットカード加盟店規約&lt;対面取引用&gt;」に従って</t>
  </si>
  <si>
    <t xml:space="preserve">     チャージバック（立替代金の支払い取消）を行いますので、加盟店さまのご負担となります。</t>
  </si>
  <si>
    <t>申し込みする決済手段毎に適用される「「端末決済サービス」に関する規約および</t>
  </si>
  <si>
    <t xml:space="preserve">クレジットカード加盟店規約&lt;対面取引用&gt;（関連規約を含む、以下「加盟店規約」）の内容を確認し、承認のうえ申し込みいたします。 </t>
  </si>
  <si>
    <t>Visa・MasterCard</t>
    <phoneticPr fontId="3"/>
  </si>
  <si>
    <t>銀聯</t>
    <phoneticPr fontId="3"/>
  </si>
  <si>
    <t>非</t>
    <rPh sb="0" eb="1">
      <t>ヒ</t>
    </rPh>
    <phoneticPr fontId="3"/>
  </si>
  <si>
    <t>【iD・WAON用】業種シート</t>
    <rPh sb="10" eb="12">
      <t>ギョウシュ</t>
    </rPh>
    <phoneticPr fontId="3"/>
  </si>
  <si>
    <t>園芸サービス業</t>
    <rPh sb="0" eb="2">
      <t>エンゲイ</t>
    </rPh>
    <rPh sb="6" eb="7">
      <t>ギョウ</t>
    </rPh>
    <phoneticPr fontId="4"/>
  </si>
  <si>
    <t>一般官工事業</t>
    <rPh sb="0" eb="2">
      <t>イッパン</t>
    </rPh>
    <rPh sb="2" eb="3">
      <t>カン</t>
    </rPh>
    <rPh sb="3" eb="6">
      <t>コウジギョウ</t>
    </rPh>
    <phoneticPr fontId="4"/>
  </si>
  <si>
    <t>印刷業</t>
    <rPh sb="0" eb="2">
      <t>インサツ</t>
    </rPh>
    <rPh sb="2" eb="3">
      <t>ギョウ</t>
    </rPh>
    <phoneticPr fontId="4"/>
  </si>
  <si>
    <t>タクシー（オフライン）</t>
  </si>
  <si>
    <t>タクシー（オンライン）</t>
  </si>
  <si>
    <t>自動車旅客運送業</t>
    <rPh sb="0" eb="3">
      <t>ジドウシャ</t>
    </rPh>
    <rPh sb="3" eb="5">
      <t>リョキャク</t>
    </rPh>
    <rPh sb="5" eb="8">
      <t>ウンソウギョウ</t>
    </rPh>
    <phoneticPr fontId="4"/>
  </si>
  <si>
    <t>引越し</t>
    <rPh sb="0" eb="2">
      <t>ヒッコ</t>
    </rPh>
    <phoneticPr fontId="4"/>
  </si>
  <si>
    <t>宅配</t>
    <rPh sb="0" eb="2">
      <t>タクハイ</t>
    </rPh>
    <phoneticPr fontId="4"/>
  </si>
  <si>
    <t>道路貨物運送業</t>
    <rPh sb="0" eb="2">
      <t>ドウロ</t>
    </rPh>
    <rPh sb="2" eb="4">
      <t>カモツ</t>
    </rPh>
    <rPh sb="4" eb="7">
      <t>ウンソウギョウ</t>
    </rPh>
    <phoneticPr fontId="4"/>
  </si>
  <si>
    <t>海運運送業</t>
    <rPh sb="0" eb="2">
      <t>カイウン</t>
    </rPh>
    <rPh sb="2" eb="5">
      <t>ウンソウギョウ</t>
    </rPh>
    <phoneticPr fontId="4"/>
  </si>
  <si>
    <t>航空運送業</t>
    <rPh sb="0" eb="2">
      <t>コウクウ</t>
    </rPh>
    <rPh sb="2" eb="5">
      <t>ウンソウギョウ</t>
    </rPh>
    <phoneticPr fontId="4"/>
  </si>
  <si>
    <t>旅行代理店</t>
    <rPh sb="0" eb="2">
      <t>リョコウ</t>
    </rPh>
    <rPh sb="2" eb="4">
      <t>ダイリ</t>
    </rPh>
    <rPh sb="4" eb="5">
      <t>テン</t>
    </rPh>
    <phoneticPr fontId="4"/>
  </si>
  <si>
    <t>その他運送業</t>
    <rPh sb="2" eb="3">
      <t>タ</t>
    </rPh>
    <rPh sb="3" eb="6">
      <t>ウンソウギョウ</t>
    </rPh>
    <phoneticPr fontId="4"/>
  </si>
  <si>
    <t>第一種電機通信事業者</t>
    <rPh sb="0" eb="1">
      <t>ダイ</t>
    </rPh>
    <rPh sb="1" eb="3">
      <t>イッシュ</t>
    </rPh>
    <rPh sb="3" eb="5">
      <t>デンキ</t>
    </rPh>
    <rPh sb="5" eb="7">
      <t>ツウシン</t>
    </rPh>
    <rPh sb="7" eb="9">
      <t>ジギョウ</t>
    </rPh>
    <rPh sb="9" eb="10">
      <t>シャ</t>
    </rPh>
    <phoneticPr fontId="4"/>
  </si>
  <si>
    <t>通信</t>
    <rPh sb="0" eb="2">
      <t>ツウシン</t>
    </rPh>
    <phoneticPr fontId="4"/>
  </si>
  <si>
    <t>百貨店</t>
    <rPh sb="0" eb="3">
      <t>ヒャッカテン</t>
    </rPh>
    <phoneticPr fontId="4"/>
  </si>
  <si>
    <t>ファッションビル</t>
  </si>
  <si>
    <t>ホームセンター</t>
  </si>
  <si>
    <t>ディスカウントショップ</t>
  </si>
  <si>
    <t>スーパー（ＳＭ）</t>
  </si>
  <si>
    <t>スーパー（量販店）</t>
    <rPh sb="5" eb="8">
      <t>リョウハンテン</t>
    </rPh>
    <phoneticPr fontId="4"/>
  </si>
  <si>
    <t>ホームセンター（小規模）</t>
    <rPh sb="8" eb="11">
      <t>ショウキボ</t>
    </rPh>
    <phoneticPr fontId="4"/>
  </si>
  <si>
    <t>アウトレットモール</t>
  </si>
  <si>
    <t>ハイパーマーケット</t>
  </si>
  <si>
    <t>呉服・服地</t>
    <rPh sb="0" eb="2">
      <t>ゴフク</t>
    </rPh>
    <rPh sb="3" eb="5">
      <t>フクジ</t>
    </rPh>
    <phoneticPr fontId="4"/>
  </si>
  <si>
    <t>寝具</t>
    <rPh sb="0" eb="2">
      <t>シング</t>
    </rPh>
    <phoneticPr fontId="4"/>
  </si>
  <si>
    <t>紳士服</t>
    <rPh sb="0" eb="3">
      <t>シンシフク</t>
    </rPh>
    <phoneticPr fontId="4"/>
  </si>
  <si>
    <t>子供服</t>
    <rPh sb="0" eb="3">
      <t>コドモフク</t>
    </rPh>
    <phoneticPr fontId="4"/>
  </si>
  <si>
    <t>婦人服</t>
    <rPh sb="0" eb="3">
      <t>フジンフク</t>
    </rPh>
    <phoneticPr fontId="4"/>
  </si>
  <si>
    <t>くつ</t>
  </si>
  <si>
    <t>カバン</t>
  </si>
  <si>
    <t>輸入品・雑貨</t>
    <rPh sb="0" eb="2">
      <t>ユニュウ</t>
    </rPh>
    <rPh sb="2" eb="3">
      <t>ヒン</t>
    </rPh>
    <rPh sb="4" eb="6">
      <t>ザッカ</t>
    </rPh>
    <phoneticPr fontId="4"/>
  </si>
  <si>
    <t>洋品雑貨</t>
    <rPh sb="0" eb="2">
      <t>ヨウヒン</t>
    </rPh>
    <rPh sb="2" eb="4">
      <t>ザッカ</t>
    </rPh>
    <phoneticPr fontId="4"/>
  </si>
  <si>
    <t>食料品・雑貨</t>
    <rPh sb="0" eb="3">
      <t>ショクリョウヒン</t>
    </rPh>
    <rPh sb="4" eb="6">
      <t>ザッカ</t>
    </rPh>
    <phoneticPr fontId="4"/>
  </si>
  <si>
    <t>服飾　雑貨</t>
    <rPh sb="0" eb="2">
      <t>フクショク</t>
    </rPh>
    <rPh sb="3" eb="5">
      <t>ザッカ</t>
    </rPh>
    <phoneticPr fontId="4"/>
  </si>
  <si>
    <t>自動車・バイク小売業</t>
    <rPh sb="0" eb="3">
      <t>ジドウシャ</t>
    </rPh>
    <phoneticPr fontId="4"/>
  </si>
  <si>
    <t>自転車小売業</t>
    <rPh sb="0" eb="3">
      <t>ジテンシャ</t>
    </rPh>
    <rPh sb="3" eb="6">
      <t>コウリギョウ</t>
    </rPh>
    <phoneticPr fontId="4"/>
  </si>
  <si>
    <t>家具・インテリア</t>
    <rPh sb="0" eb="2">
      <t>カグ</t>
    </rPh>
    <phoneticPr fontId="4"/>
  </si>
  <si>
    <t>家電品</t>
    <rPh sb="0" eb="3">
      <t>カデンヒン</t>
    </rPh>
    <phoneticPr fontId="4"/>
  </si>
  <si>
    <t>0191</t>
  </si>
  <si>
    <t>パソコン・OA機器</t>
    <rPh sb="7" eb="9">
      <t>キキ</t>
    </rPh>
    <phoneticPr fontId="4"/>
  </si>
  <si>
    <t>医薬品・医療用品</t>
    <rPh sb="0" eb="3">
      <t>イヤクヒン</t>
    </rPh>
    <rPh sb="4" eb="6">
      <t>イリョウ</t>
    </rPh>
    <rPh sb="6" eb="8">
      <t>ヨウヒン</t>
    </rPh>
    <phoneticPr fontId="4"/>
  </si>
  <si>
    <t>化粧品</t>
    <rPh sb="0" eb="3">
      <t>ケショウヒン</t>
    </rPh>
    <phoneticPr fontId="4"/>
  </si>
  <si>
    <t>書籍</t>
    <rPh sb="0" eb="2">
      <t>ショセキ</t>
    </rPh>
    <phoneticPr fontId="4"/>
  </si>
  <si>
    <t>事務用品</t>
    <rPh sb="0" eb="2">
      <t>ジム</t>
    </rPh>
    <rPh sb="2" eb="4">
      <t>ヨウヒン</t>
    </rPh>
    <phoneticPr fontId="4"/>
  </si>
  <si>
    <t>新聞販売</t>
    <rPh sb="0" eb="2">
      <t>シンブン</t>
    </rPh>
    <rPh sb="2" eb="4">
      <t>ハンバイ</t>
    </rPh>
    <phoneticPr fontId="4"/>
  </si>
  <si>
    <t>スポーツ用品</t>
    <rPh sb="4" eb="6">
      <t>ヨウヒン</t>
    </rPh>
    <phoneticPr fontId="4"/>
  </si>
  <si>
    <t>ゴルフ用品</t>
    <rPh sb="3" eb="5">
      <t>ヨウヒン</t>
    </rPh>
    <phoneticPr fontId="4"/>
  </si>
  <si>
    <t>釣り具</t>
    <rPh sb="0" eb="1">
      <t>ツ</t>
    </rPh>
    <rPh sb="2" eb="3">
      <t>グ</t>
    </rPh>
    <phoneticPr fontId="4"/>
  </si>
  <si>
    <t>玩具</t>
    <rPh sb="0" eb="2">
      <t>ガング</t>
    </rPh>
    <phoneticPr fontId="4"/>
  </si>
  <si>
    <t>楽器</t>
    <rPh sb="0" eb="2">
      <t>ガッキ</t>
    </rPh>
    <phoneticPr fontId="4"/>
  </si>
  <si>
    <t>ＣＤ・ビデオ販売</t>
    <rPh sb="6" eb="8">
      <t>ハンバイ</t>
    </rPh>
    <phoneticPr fontId="4"/>
  </si>
  <si>
    <t>眼鏡</t>
    <rPh sb="0" eb="2">
      <t>メガネ</t>
    </rPh>
    <phoneticPr fontId="4"/>
  </si>
  <si>
    <t>時計</t>
    <rPh sb="0" eb="2">
      <t>トケイ</t>
    </rPh>
    <phoneticPr fontId="4"/>
  </si>
  <si>
    <t>貴金属・宝石</t>
    <rPh sb="0" eb="3">
      <t>キキンゾク</t>
    </rPh>
    <rPh sb="4" eb="6">
      <t>ホウセキ</t>
    </rPh>
    <phoneticPr fontId="4"/>
  </si>
  <si>
    <t>駅売店</t>
    <rPh sb="0" eb="1">
      <t>エキ</t>
    </rPh>
    <rPh sb="1" eb="3">
      <t>バイテン</t>
    </rPh>
    <rPh sb="2" eb="3">
      <t>テン</t>
    </rPh>
    <phoneticPr fontId="4"/>
  </si>
  <si>
    <t>携帯電話</t>
    <rPh sb="0" eb="2">
      <t>ケイタイ</t>
    </rPh>
    <rPh sb="2" eb="4">
      <t>デンワ</t>
    </rPh>
    <phoneticPr fontId="4"/>
  </si>
  <si>
    <t>木材・木製品</t>
    <rPh sb="0" eb="2">
      <t>モクザイ</t>
    </rPh>
    <rPh sb="3" eb="6">
      <t>モクセイヒン</t>
    </rPh>
    <phoneticPr fontId="4"/>
  </si>
  <si>
    <t>仏具・雑貨</t>
    <rPh sb="0" eb="2">
      <t>ブツグ</t>
    </rPh>
    <rPh sb="3" eb="5">
      <t>ザッカ</t>
    </rPh>
    <phoneticPr fontId="4"/>
  </si>
  <si>
    <t>花・植木小売業</t>
    <rPh sb="0" eb="1">
      <t>ハナ</t>
    </rPh>
    <rPh sb="2" eb="4">
      <t>ウエキ</t>
    </rPh>
    <rPh sb="4" eb="7">
      <t>コウリギョウ</t>
    </rPh>
    <phoneticPr fontId="4"/>
  </si>
  <si>
    <t>ペットショップ</t>
  </si>
  <si>
    <t>チケット販売</t>
    <rPh sb="4" eb="6">
      <t>ハンバイ</t>
    </rPh>
    <phoneticPr fontId="4"/>
  </si>
  <si>
    <t>通信販売（TV・新聞）</t>
    <rPh sb="0" eb="2">
      <t>ツウシン</t>
    </rPh>
    <rPh sb="2" eb="4">
      <t>ハンバイ</t>
    </rPh>
    <rPh sb="8" eb="10">
      <t>シンブン</t>
    </rPh>
    <phoneticPr fontId="4"/>
  </si>
  <si>
    <t>通信販売（その他）</t>
    <rPh sb="0" eb="2">
      <t>ツウシン</t>
    </rPh>
    <rPh sb="2" eb="4">
      <t>ハンバイ</t>
    </rPh>
    <rPh sb="7" eb="8">
      <t>タ</t>
    </rPh>
    <phoneticPr fontId="4"/>
  </si>
  <si>
    <t>和食</t>
    <rPh sb="0" eb="2">
      <t>ワショク</t>
    </rPh>
    <phoneticPr fontId="4"/>
  </si>
  <si>
    <t>洋食</t>
    <rPh sb="0" eb="2">
      <t>ヨウショク</t>
    </rPh>
    <phoneticPr fontId="4"/>
  </si>
  <si>
    <t>中華</t>
    <rPh sb="0" eb="2">
      <t>チュウカ</t>
    </rPh>
    <phoneticPr fontId="4"/>
  </si>
  <si>
    <t>その他飲食</t>
    <rPh sb="2" eb="3">
      <t>タ</t>
    </rPh>
    <rPh sb="3" eb="5">
      <t>インショク</t>
    </rPh>
    <phoneticPr fontId="4"/>
  </si>
  <si>
    <t>居酒屋</t>
    <rPh sb="0" eb="3">
      <t>イザカヤ</t>
    </rPh>
    <phoneticPr fontId="4"/>
  </si>
  <si>
    <t>自動販売機</t>
    <rPh sb="0" eb="2">
      <t>ジドウ</t>
    </rPh>
    <rPh sb="2" eb="5">
      <t>ハンバイキ</t>
    </rPh>
    <phoneticPr fontId="4"/>
  </si>
  <si>
    <t>普通銀行</t>
    <rPh sb="0" eb="2">
      <t>フツウ</t>
    </rPh>
    <rPh sb="2" eb="4">
      <t>ギンコウ</t>
    </rPh>
    <phoneticPr fontId="4"/>
  </si>
  <si>
    <t>生命保険</t>
    <rPh sb="0" eb="2">
      <t>セイメイ</t>
    </rPh>
    <rPh sb="2" eb="4">
      <t>ホケン</t>
    </rPh>
    <phoneticPr fontId="4"/>
  </si>
  <si>
    <t>損害保険</t>
    <rPh sb="0" eb="2">
      <t>ソンガイ</t>
    </rPh>
    <rPh sb="2" eb="4">
      <t>ホケン</t>
    </rPh>
    <phoneticPr fontId="4"/>
  </si>
  <si>
    <t>損害保険代理店</t>
    <rPh sb="0" eb="2">
      <t>ソンガイ</t>
    </rPh>
    <rPh sb="2" eb="4">
      <t>ホケン</t>
    </rPh>
    <rPh sb="4" eb="7">
      <t>ダイリテン</t>
    </rPh>
    <phoneticPr fontId="4"/>
  </si>
  <si>
    <t>理容・美容（かつら）</t>
    <rPh sb="0" eb="2">
      <t>リヨウ</t>
    </rPh>
    <rPh sb="3" eb="5">
      <t>ビヨウ</t>
    </rPh>
    <phoneticPr fontId="4"/>
  </si>
  <si>
    <t>ＤＰＥ</t>
  </si>
  <si>
    <t>葬祭業・催事</t>
    <rPh sb="0" eb="2">
      <t>ソウサイ</t>
    </rPh>
    <rPh sb="2" eb="3">
      <t>ギョウ</t>
    </rPh>
    <rPh sb="4" eb="6">
      <t>サイジ</t>
    </rPh>
    <phoneticPr fontId="4"/>
  </si>
  <si>
    <t>宴会場</t>
    <rPh sb="0" eb="3">
      <t>エンカイジョウ</t>
    </rPh>
    <phoneticPr fontId="4"/>
  </si>
  <si>
    <t>結婚式場</t>
    <rPh sb="0" eb="2">
      <t>ケッコン</t>
    </rPh>
    <rPh sb="2" eb="4">
      <t>シキジョウ</t>
    </rPh>
    <phoneticPr fontId="4"/>
  </si>
  <si>
    <t>映画館・興行</t>
    <rPh sb="0" eb="2">
      <t>エイガ</t>
    </rPh>
    <rPh sb="2" eb="3">
      <t>カン</t>
    </rPh>
    <rPh sb="4" eb="6">
      <t>コウギョウ</t>
    </rPh>
    <phoneticPr fontId="4"/>
  </si>
  <si>
    <t>劇場・野球場</t>
    <rPh sb="0" eb="2">
      <t>ゲキジョウ</t>
    </rPh>
    <rPh sb="3" eb="6">
      <t>ヤキュウジョウ</t>
    </rPh>
    <phoneticPr fontId="4"/>
  </si>
  <si>
    <t>ゴルフ場・競技場</t>
    <rPh sb="3" eb="4">
      <t>ジョウ</t>
    </rPh>
    <rPh sb="5" eb="8">
      <t>キョウギジョウ</t>
    </rPh>
    <phoneticPr fontId="4"/>
  </si>
  <si>
    <t>遊園地・娯楽施設</t>
    <rPh sb="0" eb="3">
      <t>ユウエンチ</t>
    </rPh>
    <rPh sb="4" eb="6">
      <t>ゴラク</t>
    </rPh>
    <rPh sb="6" eb="8">
      <t>シセツ</t>
    </rPh>
    <phoneticPr fontId="4"/>
  </si>
  <si>
    <t>カラオケ</t>
  </si>
  <si>
    <t>映画館（ワーナー）</t>
  </si>
  <si>
    <t>映画館</t>
    <rPh sb="0" eb="3">
      <t>エイガカン</t>
    </rPh>
    <phoneticPr fontId="4"/>
  </si>
  <si>
    <t>ゴルフ練習場</t>
    <rPh sb="3" eb="6">
      <t>レンシュウジョウ</t>
    </rPh>
    <phoneticPr fontId="4"/>
  </si>
  <si>
    <t>サウナ</t>
  </si>
  <si>
    <t>テーマパーク</t>
  </si>
  <si>
    <t>駐車場</t>
    <rPh sb="0" eb="3">
      <t>チュウシャジョウ</t>
    </rPh>
    <phoneticPr fontId="4"/>
  </si>
  <si>
    <t>自動車・車検・整備</t>
    <rPh sb="0" eb="3">
      <t>ジドウシャ</t>
    </rPh>
    <rPh sb="4" eb="6">
      <t>シャケン</t>
    </rPh>
    <rPh sb="7" eb="9">
      <t>セイビ</t>
    </rPh>
    <phoneticPr fontId="4"/>
  </si>
  <si>
    <t>鍵修理業</t>
    <rPh sb="0" eb="1">
      <t>カギ</t>
    </rPh>
    <rPh sb="1" eb="3">
      <t>シュウリ</t>
    </rPh>
    <rPh sb="3" eb="4">
      <t>ギョウ</t>
    </rPh>
    <phoneticPr fontId="4"/>
  </si>
  <si>
    <t>専門店会・商店会</t>
    <rPh sb="0" eb="2">
      <t>センモン</t>
    </rPh>
    <rPh sb="2" eb="3">
      <t>テン</t>
    </rPh>
    <rPh sb="3" eb="4">
      <t>カイ</t>
    </rPh>
    <rPh sb="5" eb="7">
      <t>ショウテン</t>
    </rPh>
    <rPh sb="7" eb="8">
      <t>カイ</t>
    </rPh>
    <phoneticPr fontId="4"/>
  </si>
  <si>
    <t>農林漁業協同組合</t>
    <rPh sb="0" eb="2">
      <t>ノウリン</t>
    </rPh>
    <rPh sb="2" eb="4">
      <t>ギョギョウ</t>
    </rPh>
    <rPh sb="4" eb="6">
      <t>キョウドウ</t>
    </rPh>
    <rPh sb="6" eb="8">
      <t>クミアイ</t>
    </rPh>
    <phoneticPr fontId="4"/>
  </si>
  <si>
    <t>CS/BS/CATV</t>
  </si>
  <si>
    <t>放送・広告</t>
    <rPh sb="0" eb="2">
      <t>ホウソウ</t>
    </rPh>
    <rPh sb="3" eb="5">
      <t>コウコク</t>
    </rPh>
    <phoneticPr fontId="4"/>
  </si>
  <si>
    <t>公共放送</t>
    <rPh sb="0" eb="2">
      <t>コウキョウ</t>
    </rPh>
    <rPh sb="2" eb="4">
      <t>ホウソウ</t>
    </rPh>
    <phoneticPr fontId="4"/>
  </si>
  <si>
    <t>病院・医療</t>
    <rPh sb="0" eb="2">
      <t>ビョウイン</t>
    </rPh>
    <rPh sb="3" eb="5">
      <t>イリョウ</t>
    </rPh>
    <phoneticPr fontId="4"/>
  </si>
  <si>
    <t>整体・接骨院</t>
    <rPh sb="0" eb="2">
      <t>セイタイ</t>
    </rPh>
    <rPh sb="3" eb="5">
      <t>セッコツ</t>
    </rPh>
    <rPh sb="5" eb="6">
      <t>イン</t>
    </rPh>
    <phoneticPr fontId="4"/>
  </si>
  <si>
    <t>動物病院</t>
    <rPh sb="0" eb="2">
      <t>ドウブツ</t>
    </rPh>
    <rPh sb="2" eb="4">
      <t>ビョウイン</t>
    </rPh>
    <phoneticPr fontId="4"/>
  </si>
  <si>
    <t>歯科</t>
    <rPh sb="0" eb="2">
      <t>シカ</t>
    </rPh>
    <phoneticPr fontId="4"/>
  </si>
  <si>
    <t>教育（英会話・予備校）</t>
    <rPh sb="0" eb="2">
      <t>キョウイク</t>
    </rPh>
    <rPh sb="3" eb="6">
      <t>エイカイワ</t>
    </rPh>
    <rPh sb="7" eb="10">
      <t>ヨビコウ</t>
    </rPh>
    <phoneticPr fontId="4"/>
  </si>
  <si>
    <t>郵便貯金会館</t>
    <rPh sb="0" eb="2">
      <t>ユウビン</t>
    </rPh>
    <rPh sb="2" eb="4">
      <t>チョキン</t>
    </rPh>
    <rPh sb="4" eb="6">
      <t>カイカン</t>
    </rPh>
    <phoneticPr fontId="4"/>
  </si>
  <si>
    <t>高速道路</t>
    <rPh sb="0" eb="2">
      <t>コウソク</t>
    </rPh>
    <rPh sb="2" eb="4">
      <t>ドウロ</t>
    </rPh>
    <phoneticPr fontId="4"/>
  </si>
  <si>
    <t>公共事業</t>
    <rPh sb="0" eb="2">
      <t>コウキョウ</t>
    </rPh>
    <rPh sb="2" eb="4">
      <t>ジギョウ</t>
    </rPh>
    <phoneticPr fontId="4"/>
  </si>
  <si>
    <t>非営利団体</t>
    <rPh sb="0" eb="3">
      <t>ヒエイリ</t>
    </rPh>
    <rPh sb="3" eb="5">
      <t>ダンタイ</t>
    </rPh>
    <phoneticPr fontId="4"/>
  </si>
  <si>
    <t>国民年金保険料</t>
    <rPh sb="0" eb="2">
      <t>コクミン</t>
    </rPh>
    <rPh sb="2" eb="4">
      <t>ネンキン</t>
    </rPh>
    <rPh sb="4" eb="7">
      <t>ホケンリョウ</t>
    </rPh>
    <phoneticPr fontId="4"/>
  </si>
  <si>
    <t>ボーリング場</t>
  </si>
  <si>
    <t>セキュリティーサービス</t>
  </si>
  <si>
    <t>技術サービス</t>
  </si>
  <si>
    <t>信販（メーカー系・地域）</t>
  </si>
  <si>
    <t>不動産賃貸</t>
  </si>
  <si>
    <t>リース</t>
  </si>
  <si>
    <t>スポーツクラブ</t>
  </si>
  <si>
    <t>スポーツクラブ（イオングループ）</t>
  </si>
  <si>
    <t>ホテル・旅館（ホテル協会）</t>
  </si>
  <si>
    <t>ホテル・旅館</t>
  </si>
  <si>
    <t>衣服リフォーム</t>
  </si>
  <si>
    <t>CD・ビデオレンタル</t>
    <phoneticPr fontId="3"/>
  </si>
  <si>
    <t>バー・クラブ</t>
  </si>
  <si>
    <t>ファミリーレストラン</t>
  </si>
  <si>
    <t>ファーストフード（ﾏｸﾄﾞ限定）</t>
    <rPh sb="13" eb="15">
      <t>ゲンテイ</t>
    </rPh>
    <phoneticPr fontId="4"/>
  </si>
  <si>
    <t>通信販売（リンク）</t>
  </si>
  <si>
    <t>通信販売（パソコン通信）</t>
  </si>
  <si>
    <t>通信販売（インターネット）</t>
  </si>
  <si>
    <t>通信販売（カタログ・チラシ）</t>
  </si>
  <si>
    <t>大型ディスカウントストア</t>
  </si>
  <si>
    <t>メンバー系チェーンストア</t>
  </si>
  <si>
    <t>会員制ホールセールクラブ</t>
  </si>
  <si>
    <t>インターネットプロバイダー</t>
  </si>
  <si>
    <t>クレジットカード
ICリスクパラメータ</t>
    <phoneticPr fontId="3"/>
  </si>
  <si>
    <t>最大目標パーセンテージ</t>
    <phoneticPr fontId="3"/>
  </si>
  <si>
    <t>目標パーセンテージ</t>
    <phoneticPr fontId="3"/>
  </si>
  <si>
    <t>端末フロアリミット</t>
    <phoneticPr fontId="3"/>
  </si>
  <si>
    <t>しきい値</t>
    <phoneticPr fontId="3"/>
  </si>
  <si>
    <r>
      <t xml:space="preserve">支払方法
</t>
    </r>
    <r>
      <rPr>
        <sz val="9"/>
        <color theme="1"/>
        <rFont val="Meiryo UI"/>
        <family val="3"/>
        <charset val="128"/>
      </rPr>
      <t>（Visa/Mastercard/JCB/AMEX
/Diners/DISCOVER）</t>
    </r>
    <r>
      <rPr>
        <sz val="10"/>
        <rFont val="Meiryo UI"/>
        <family val="3"/>
        <charset val="128"/>
      </rPr>
      <t xml:space="preserve">
</t>
    </r>
    <r>
      <rPr>
        <sz val="10"/>
        <color rgb="FFFF0000"/>
        <rFont val="Meiryo UI"/>
        <family val="3"/>
        <charset val="128"/>
      </rPr>
      <t>※「1回払い」以外の支払い方法をご利用　　希望の場合は、右欄に✓をご記入ください。</t>
    </r>
    <rPh sb="0" eb="2">
      <t>シハラ</t>
    </rPh>
    <rPh sb="2" eb="4">
      <t>ホウホウ</t>
    </rPh>
    <phoneticPr fontId="4"/>
  </si>
  <si>
    <r>
      <rPr>
        <sz val="14"/>
        <rFont val="Meiryo UI"/>
        <family val="3"/>
        <charset val="128"/>
      </rPr>
      <t>JCB</t>
    </r>
    <r>
      <rPr>
        <sz val="12"/>
        <rFont val="Meiryo UI"/>
        <family val="3"/>
        <charset val="128"/>
      </rPr>
      <t>･AMEX･Diners･DISCOVER</t>
    </r>
    <phoneticPr fontId="3"/>
  </si>
  <si>
    <t>JCB</t>
    <phoneticPr fontId="3"/>
  </si>
  <si>
    <t>Visa/MasterCard</t>
    <phoneticPr fontId="3"/>
  </si>
  <si>
    <t>00</t>
    <phoneticPr fontId="3"/>
  </si>
  <si>
    <t>00</t>
    <phoneticPr fontId="3"/>
  </si>
  <si>
    <t>0000000</t>
    <phoneticPr fontId="3"/>
  </si>
  <si>
    <t>0000000</t>
    <phoneticPr fontId="3"/>
  </si>
  <si>
    <t>0000000</t>
    <phoneticPr fontId="3"/>
  </si>
  <si>
    <t>0000000</t>
    <phoneticPr fontId="3"/>
  </si>
  <si>
    <t>00</t>
    <phoneticPr fontId="3"/>
  </si>
  <si>
    <t>申込端末(6)</t>
    <rPh sb="0" eb="2">
      <t>モウシコミ</t>
    </rPh>
    <rPh sb="2" eb="4">
      <t>タンマツ</t>
    </rPh>
    <phoneticPr fontId="1"/>
  </si>
  <si>
    <t>クレードル費用</t>
  </si>
  <si>
    <t>セットアップ費用</t>
  </si>
  <si>
    <t>電子マネーセットアップ費用</t>
  </si>
  <si>
    <t>POS連動ケーブル費用</t>
  </si>
  <si>
    <t>/台</t>
  </si>
  <si>
    <t>台</t>
  </si>
  <si>
    <t>台</t>
    <phoneticPr fontId="3"/>
  </si>
  <si>
    <t>値引き</t>
    <rPh sb="0" eb="2">
      <t>ネビ</t>
    </rPh>
    <phoneticPr fontId="3"/>
  </si>
  <si>
    <t>管理画面</t>
    <rPh sb="0" eb="2">
      <t>カンリ</t>
    </rPh>
    <rPh sb="2" eb="4">
      <t>ガメン</t>
    </rPh>
    <phoneticPr fontId="3"/>
  </si>
  <si>
    <t>コード決済　利用方式</t>
    <phoneticPr fontId="4"/>
  </si>
  <si>
    <t>利用有無</t>
    <rPh sb="0" eb="2">
      <t>リヨウ</t>
    </rPh>
    <rPh sb="2" eb="4">
      <t>ウム</t>
    </rPh>
    <phoneticPr fontId="3"/>
  </si>
  <si>
    <t>代表アカウント</t>
    <phoneticPr fontId="3"/>
  </si>
  <si>
    <t>接続元
固定IPアドレス</t>
    <phoneticPr fontId="3"/>
  </si>
  <si>
    <t>利用する（接続元IP制限あり）</t>
    <phoneticPr fontId="3"/>
  </si>
  <si>
    <t>利用する（接続元IP制限なし）</t>
    <phoneticPr fontId="3"/>
  </si>
  <si>
    <t>①</t>
    <phoneticPr fontId="3"/>
  </si>
  <si>
    <t>④</t>
    <phoneticPr fontId="3"/>
  </si>
  <si>
    <t>②</t>
    <phoneticPr fontId="3"/>
  </si>
  <si>
    <t>③</t>
    <phoneticPr fontId="3"/>
  </si>
  <si>
    <t>⑥</t>
    <phoneticPr fontId="3"/>
  </si>
  <si>
    <t>⑤</t>
    <phoneticPr fontId="3"/>
  </si>
  <si>
    <t>月額固定費</t>
    <rPh sb="0" eb="2">
      <t>ゲツガク</t>
    </rPh>
    <rPh sb="2" eb="5">
      <t>コテイヒ</t>
    </rPh>
    <phoneticPr fontId="3"/>
  </si>
  <si>
    <t>共通決済ｻｰﾋﾞｽ利用料（Type-L）</t>
  </si>
  <si>
    <t>共通決済ｻｰﾋﾞｽ利用料（Type-M）</t>
  </si>
  <si>
    <t>電子ﾏﾈｰ利用料</t>
  </si>
  <si>
    <t>決済管理画面利用料</t>
  </si>
  <si>
    <t>ｺｰﾄﾞ決済利用料</t>
  </si>
  <si>
    <t>月額固定費合計</t>
    <rPh sb="5" eb="7">
      <t>ゴウケイ</t>
    </rPh>
    <phoneticPr fontId="3"/>
  </si>
  <si>
    <t>(税抜)</t>
    <rPh sb="1" eb="2">
      <t>ゼイ</t>
    </rPh>
    <rPh sb="2" eb="3">
      <t>ヌ</t>
    </rPh>
    <phoneticPr fontId="3"/>
  </si>
  <si>
    <t>10624</t>
    <phoneticPr fontId="3"/>
  </si>
  <si>
    <t>ACS（iD）</t>
    <phoneticPr fontId="3"/>
  </si>
  <si>
    <t>業種(ACS)</t>
    <phoneticPr fontId="3"/>
  </si>
  <si>
    <t>315</t>
    <phoneticPr fontId="3"/>
  </si>
  <si>
    <t>10902</t>
    <phoneticPr fontId="3"/>
  </si>
  <si>
    <t>ACS（WAON）</t>
    <phoneticPr fontId="3"/>
  </si>
  <si>
    <t>324</t>
    <phoneticPr fontId="3"/>
  </si>
  <si>
    <t>11002</t>
    <phoneticPr fontId="3"/>
  </si>
  <si>
    <t>クレ（自社センタ）</t>
  </si>
  <si>
    <t>UR8</t>
  </si>
  <si>
    <t>UR8</t>
    <phoneticPr fontId="3"/>
  </si>
  <si>
    <t>UR9</t>
  </si>
  <si>
    <t>UR9</t>
    <phoneticPr fontId="3"/>
  </si>
  <si>
    <t>URA</t>
  </si>
  <si>
    <t>URA</t>
    <phoneticPr fontId="3"/>
  </si>
  <si>
    <t>URB</t>
  </si>
  <si>
    <t>URB</t>
    <phoneticPr fontId="3"/>
  </si>
  <si>
    <t>ICﾘｽｸﾊﾟﾗﾒｰﾀ：最大目標パーセンテージ</t>
  </si>
  <si>
    <t>ICﾘｽｸﾊﾟﾗﾒｰﾀ：目標パーセンテージ</t>
  </si>
  <si>
    <t>ICﾘｽｸﾊﾟﾗﾒｰﾀ：端末フロアリミット</t>
  </si>
  <si>
    <t>ICﾘｽｸﾊﾟﾗﾒｰﾀ：しきい値</t>
  </si>
  <si>
    <t>　【楽天Edy用記入シート】業種シート から業種をご選択ください。</t>
  </si>
  <si>
    <t>※【JCB用記入シート】業態シート　のご入力が必要です。</t>
  </si>
  <si>
    <t>※【iD・WAON用記入シート】業種シート　のご入力が必要です。</t>
  </si>
  <si>
    <t>コード決済　利用方式</t>
    <phoneticPr fontId="4"/>
  </si>
  <si>
    <t>←XTEN反映金額</t>
    <rPh sb="5" eb="7">
      <t>ハンエイ</t>
    </rPh>
    <rPh sb="7" eb="9">
      <t>キンガク</t>
    </rPh>
    <phoneticPr fontId="3"/>
  </si>
  <si>
    <t>A920SB</t>
    <phoneticPr fontId="3"/>
  </si>
  <si>
    <t>/店舗</t>
    <rPh sb="1" eb="3">
      <t>テンポ</t>
    </rPh>
    <phoneticPr fontId="3"/>
  </si>
  <si>
    <t>/台</t>
    <phoneticPr fontId="3"/>
  </si>
  <si>
    <t>/台</t>
    <phoneticPr fontId="3"/>
  </si>
  <si>
    <t>/台</t>
    <phoneticPr fontId="3"/>
  </si>
  <si>
    <t>/台</t>
    <phoneticPr fontId="3"/>
  </si>
  <si>
    <t>/台</t>
    <phoneticPr fontId="3"/>
  </si>
  <si>
    <t>JCB</t>
    <phoneticPr fontId="3"/>
  </si>
  <si>
    <t>/本</t>
    <rPh sb="1" eb="2">
      <t>ホン</t>
    </rPh>
    <phoneticPr fontId="3"/>
  </si>
  <si>
    <t>/箱</t>
    <rPh sb="1" eb="2">
      <t>ハコ</t>
    </rPh>
    <phoneticPr fontId="3"/>
  </si>
  <si>
    <t>レシートロール費用（10巻/箱）</t>
    <phoneticPr fontId="3"/>
  </si>
  <si>
    <t>0000</t>
  </si>
  <si>
    <t>業種区分</t>
  </si>
  <si>
    <t>2</t>
  </si>
  <si>
    <t>SmartCode</t>
  </si>
  <si>
    <t>6084:株式会社ポストシステムズ</t>
  </si>
  <si>
    <t>6085:TIS株式会社</t>
    <rPh sb="8" eb="10">
      <t>カブシキ</t>
    </rPh>
    <rPh sb="10" eb="12">
      <t>カイシャ</t>
    </rPh>
    <phoneticPr fontId="3"/>
  </si>
  <si>
    <t>6086:株式会社コード・アール</t>
  </si>
  <si>
    <t>6107:株式会社ホスピタルネット</t>
  </si>
  <si>
    <t>6108:旭精工株式会社</t>
  </si>
  <si>
    <t>規約同意</t>
    <rPh sb="0" eb="4">
      <t>キヤクドウイ</t>
    </rPh>
    <phoneticPr fontId="3"/>
  </si>
  <si>
    <t>アプリプラットフォーム規約の内容を確認し、承認のうえ申し込みいたします。</t>
    <phoneticPr fontId="3"/>
  </si>
  <si>
    <t>　　　　上記内容を承諾いたしました。</t>
    <phoneticPr fontId="3"/>
  </si>
  <si>
    <t>【追加アプリ用記入シート】チェックシートでお申し込みいただくアプリの記入をお願いいたします。</t>
    <phoneticPr fontId="3"/>
  </si>
  <si>
    <t>【追加アプリ用】チェックシート</t>
    <phoneticPr fontId="3"/>
  </si>
  <si>
    <t>お申し込みいただくアプリについてご記入ください。</t>
    <phoneticPr fontId="3"/>
  </si>
  <si>
    <t>シンクロライフ</t>
  </si>
  <si>
    <t>株式会社GINKAN</t>
  </si>
  <si>
    <t>Qナビ</t>
  </si>
  <si>
    <t>株式会社グローバー</t>
  </si>
  <si>
    <t>ブレイン株式会社</t>
    <rPh sb="4" eb="6">
      <t>カブシキ</t>
    </rPh>
    <rPh sb="6" eb="8">
      <t>カイシャ</t>
    </rPh>
    <phoneticPr fontId="5"/>
  </si>
  <si>
    <t>株式会社J&amp;J Tax Free</t>
    <rPh sb="0" eb="2">
      <t>カブシキ</t>
    </rPh>
    <rPh sb="2" eb="4">
      <t>カイシャ</t>
    </rPh>
    <phoneticPr fontId="5"/>
  </si>
  <si>
    <t>アプリ情報</t>
    <rPh sb="3" eb="5">
      <t>ジョウホウ</t>
    </rPh>
    <phoneticPr fontId="3"/>
  </si>
  <si>
    <t>申込</t>
    <rPh sb="0" eb="2">
      <t>モウシコミ</t>
    </rPh>
    <phoneticPr fontId="3"/>
  </si>
  <si>
    <t>月額 アプリ利用料</t>
    <phoneticPr fontId="3"/>
  </si>
  <si>
    <t>アプリ説明</t>
    <phoneticPr fontId="3"/>
  </si>
  <si>
    <t>食いしん坊たちが愛するグルメSNS「シンクロライフ」の店舗向けアプリです。
グルメSNS「シンクロライフ」での地域ユーザーへのPRから、常連顧客を自動で育成する全自動CRMにて手間なく既存顧客からの売上増が可能です。</t>
    <rPh sb="27" eb="29">
      <t>テンポ</t>
    </rPh>
    <rPh sb="29" eb="30">
      <t>ム</t>
    </rPh>
    <phoneticPr fontId="5"/>
  </si>
  <si>
    <t>店舗で急なトラブルが発生した時に、簡単に、早く、希望の修理業者と繋がることのできるアプリです。水回り、電気設備、厨房機器、カギ、ガラスなどあらゆる困りごとに対応します。</t>
    <rPh sb="0" eb="2">
      <t>テンポ</t>
    </rPh>
    <rPh sb="3" eb="4">
      <t>キュウ</t>
    </rPh>
    <rPh sb="10" eb="12">
      <t>ハッセイ</t>
    </rPh>
    <rPh sb="14" eb="15">
      <t>トキ</t>
    </rPh>
    <rPh sb="17" eb="19">
      <t>カンタン</t>
    </rPh>
    <rPh sb="21" eb="22">
      <t>ハヤ</t>
    </rPh>
    <rPh sb="24" eb="26">
      <t>キボウ</t>
    </rPh>
    <rPh sb="27" eb="29">
      <t>シュウリ</t>
    </rPh>
    <rPh sb="29" eb="31">
      <t>ギョウシャ</t>
    </rPh>
    <rPh sb="32" eb="33">
      <t>ツナ</t>
    </rPh>
    <phoneticPr fontId="5"/>
  </si>
  <si>
    <r>
      <t xml:space="preserve">無料
</t>
    </r>
    <r>
      <rPr>
        <sz val="11"/>
        <color theme="1"/>
        <rFont val="Meiryo UI"/>
        <family val="3"/>
        <charset val="128"/>
      </rPr>
      <t>※別途、サービス利用料有</t>
    </r>
    <phoneticPr fontId="3"/>
  </si>
  <si>
    <t>無料</t>
    <phoneticPr fontId="3"/>
  </si>
  <si>
    <t>←アプリ申込有無</t>
    <rPh sb="4" eb="6">
      <t>モウシコミ</t>
    </rPh>
    <rPh sb="6" eb="8">
      <t>ウム</t>
    </rPh>
    <phoneticPr fontId="3"/>
  </si>
  <si>
    <t>申込方法：</t>
    <phoneticPr fontId="3"/>
  </si>
  <si>
    <t>直接</t>
  </si>
  <si>
    <t>SmartCode</t>
    <phoneticPr fontId="3"/>
  </si>
  <si>
    <t>0：利用しない　2：利用する</t>
  </si>
  <si>
    <t>945001</t>
    <phoneticPr fontId="3"/>
  </si>
  <si>
    <t>JCoin業種</t>
    <rPh sb="5" eb="7">
      <t>ギョウシュ</t>
    </rPh>
    <phoneticPr fontId="3"/>
  </si>
  <si>
    <t>JCoin1000</t>
  </si>
  <si>
    <t>JCoin1100</t>
  </si>
  <si>
    <t>JCoin1200</t>
  </si>
  <si>
    <t>JCoin1300</t>
  </si>
  <si>
    <t>JCoin1400</t>
  </si>
  <si>
    <t>JCoin1500</t>
  </si>
  <si>
    <t>JCoin1600</t>
  </si>
  <si>
    <t>JCoin1700</t>
  </si>
  <si>
    <t>JCoin1800</t>
  </si>
  <si>
    <t>JCoin1900</t>
  </si>
  <si>
    <t>JCoin2000</t>
  </si>
  <si>
    <t>JCoin2100</t>
  </si>
  <si>
    <t>JCoin2200</t>
  </si>
  <si>
    <t>JCoin2300</t>
  </si>
  <si>
    <t>JCoin2400</t>
  </si>
  <si>
    <t>JCoin0000</t>
    <phoneticPr fontId="3"/>
  </si>
  <si>
    <t>●J-Coin Pay取扱商品</t>
    <rPh sb="11" eb="15">
      <t>トリアツカイショウヒン</t>
    </rPh>
    <phoneticPr fontId="3"/>
  </si>
  <si>
    <t>業種カテゴリ</t>
    <rPh sb="0" eb="2">
      <t>ギョウシュ</t>
    </rPh>
    <phoneticPr fontId="3"/>
  </si>
  <si>
    <t>飲食店</t>
  </si>
  <si>
    <t>ショッピング:総合</t>
  </si>
  <si>
    <t>ショッピング:アパレル</t>
  </si>
  <si>
    <t>ショッピング:趣味/娯楽</t>
  </si>
  <si>
    <t>ショッピング:家電</t>
  </si>
  <si>
    <t>ショッピング:医療関連</t>
  </si>
  <si>
    <t>ショッピング:ホーム/オフィス</t>
  </si>
  <si>
    <t>ショッピング:専門</t>
  </si>
  <si>
    <t>ショッピング:その他</t>
  </si>
  <si>
    <t>サービス:趣味/娯楽</t>
  </si>
  <si>
    <t>サービス:専門</t>
  </si>
  <si>
    <t>医療施設</t>
  </si>
  <si>
    <t>自動車/船舶</t>
  </si>
  <si>
    <t>交通/流通</t>
  </si>
  <si>
    <t>教育関連</t>
  </si>
  <si>
    <t>1000:飲食店</t>
  </si>
  <si>
    <t>1001:日本料理</t>
  </si>
  <si>
    <t>1101:ディスカウントショップ</t>
  </si>
  <si>
    <t>1201:紳士用品</t>
  </si>
  <si>
    <t>1301:書籍・文具</t>
  </si>
  <si>
    <t>1401:家電</t>
  </si>
  <si>
    <t>1501:化粧品</t>
  </si>
  <si>
    <t>1601:家具</t>
  </si>
  <si>
    <t>1701:古物商</t>
  </si>
  <si>
    <t>1801:郷土品（土産品）</t>
  </si>
  <si>
    <t>1901:ビデオ</t>
  </si>
  <si>
    <t>2001:サウナ</t>
  </si>
  <si>
    <t>2101:調剤薬局</t>
  </si>
  <si>
    <t>2201:ガソリンスタンド</t>
  </si>
  <si>
    <t>2301:エアーライン</t>
  </si>
  <si>
    <t>2401:専門学校（学校）</t>
  </si>
  <si>
    <t>1100:ショッピング:総合</t>
  </si>
  <si>
    <t>1002:割烹</t>
  </si>
  <si>
    <t>1102:１００円ショップ</t>
  </si>
  <si>
    <t>1202:紳士服（テーラー）</t>
  </si>
  <si>
    <t>1302:書籍</t>
  </si>
  <si>
    <t>1402:照明</t>
  </si>
  <si>
    <t>1502:医薬品</t>
  </si>
  <si>
    <t>1602:カーペット</t>
  </si>
  <si>
    <t>1702:質屋</t>
  </si>
  <si>
    <t>1802:ギフトショップ</t>
  </si>
  <si>
    <t>1902:劇場</t>
  </si>
  <si>
    <t>2002:観光施設（温泉）</t>
  </si>
  <si>
    <t>2102:総合病院</t>
  </si>
  <si>
    <t>2202:レンタカー</t>
  </si>
  <si>
    <t>2302:カーフェリー</t>
  </si>
  <si>
    <t>2402:外国語学校</t>
  </si>
  <si>
    <t>1200:ショッピング:アパレル</t>
  </si>
  <si>
    <t>1003:料亭</t>
  </si>
  <si>
    <t>1103:香水</t>
  </si>
  <si>
    <t>1203:オーダーメイド</t>
  </si>
  <si>
    <t>1303:スポーツ用品</t>
  </si>
  <si>
    <t>1403:無線機</t>
  </si>
  <si>
    <t>1503:漢方薬</t>
  </si>
  <si>
    <t>1603:カーテン</t>
  </si>
  <si>
    <t>1703:酒屋</t>
  </si>
  <si>
    <t>1803:リサイクルショップ</t>
  </si>
  <si>
    <t>1903:映画館</t>
  </si>
  <si>
    <t>2003:理容</t>
  </si>
  <si>
    <t>2103:人間ドッグ</t>
  </si>
  <si>
    <t>2203:駐車場</t>
  </si>
  <si>
    <t>2303:遊覧船</t>
  </si>
  <si>
    <t>2403:カルチャースクール</t>
  </si>
  <si>
    <t>1300:ショッピング:趣味/娯楽</t>
  </si>
  <si>
    <t>1004:天ぷら</t>
  </si>
  <si>
    <t>1104:家庭雑貨</t>
  </si>
  <si>
    <t>1204:婦人用品</t>
  </si>
  <si>
    <t>1304:ゴルフ用品</t>
  </si>
  <si>
    <t>1404:電話機販売</t>
  </si>
  <si>
    <t>1504:メガネ</t>
  </si>
  <si>
    <t>1604:総合インテリア</t>
  </si>
  <si>
    <t>1704:米屋</t>
  </si>
  <si>
    <t>1804:硝子</t>
  </si>
  <si>
    <t>1904:カラオケ</t>
  </si>
  <si>
    <t>2004:美容室</t>
  </si>
  <si>
    <t>2104:単科病院</t>
  </si>
  <si>
    <t>2204:自動車修理</t>
  </si>
  <si>
    <t>2304:客船</t>
  </si>
  <si>
    <t>2404:ＯＡスクール</t>
  </si>
  <si>
    <t>1400:ショッピング:家電</t>
  </si>
  <si>
    <t>1005:うなぎ</t>
  </si>
  <si>
    <t>1105:食器</t>
  </si>
  <si>
    <t>1205:婦人服（ブティック）</t>
  </si>
  <si>
    <t>1305:テニス用品</t>
  </si>
  <si>
    <t>1405:カメラ</t>
  </si>
  <si>
    <t>1505:コンタクトレンズ</t>
  </si>
  <si>
    <t>1605:寝具</t>
  </si>
  <si>
    <t>1705:食品（食料品）</t>
  </si>
  <si>
    <t>1805:文具</t>
  </si>
  <si>
    <t>1905:遊園地</t>
  </si>
  <si>
    <t>2005:エステティック　サロン</t>
  </si>
  <si>
    <t>2105:東洋医療</t>
  </si>
  <si>
    <t>2205:車検サービス提携工場</t>
  </si>
  <si>
    <t>2305:鉄道</t>
  </si>
  <si>
    <t>2405:自動車教習所</t>
  </si>
  <si>
    <t>1500:ショッピング:医療関連</t>
  </si>
  <si>
    <t>1006:とんかつ・串かつ</t>
  </si>
  <si>
    <t>1106:金物</t>
  </si>
  <si>
    <t>1206:ランジェリー</t>
  </si>
  <si>
    <t>1306:スキー用品</t>
  </si>
  <si>
    <t>1406:ＯＡ機器</t>
  </si>
  <si>
    <t>1606:エクステリア</t>
  </si>
  <si>
    <t>1706:果物屋</t>
  </si>
  <si>
    <t>1806:事務用品</t>
  </si>
  <si>
    <t>1906:一般旅行業（第１種）</t>
  </si>
  <si>
    <t>2006:美容</t>
  </si>
  <si>
    <t>2106:歯科</t>
  </si>
  <si>
    <t>2206:ディーラー</t>
  </si>
  <si>
    <t>2306:貨物運送</t>
  </si>
  <si>
    <t>1600:ショッピング:ホーム/オフィス</t>
  </si>
  <si>
    <t>1007:日本料理（その他）</t>
  </si>
  <si>
    <t>1107:雑貨</t>
  </si>
  <si>
    <t>1207:子供用品</t>
  </si>
  <si>
    <t>1307:マリーンスポーツ用品</t>
  </si>
  <si>
    <t>1407:パソコン</t>
  </si>
  <si>
    <t>1607:石屋</t>
  </si>
  <si>
    <t>1707:茶</t>
  </si>
  <si>
    <t>1807:新聞購読料</t>
  </si>
  <si>
    <t>1907:国内旅行業（第２種）</t>
  </si>
  <si>
    <t>2007:マッサージ</t>
  </si>
  <si>
    <t>2107:針　灸</t>
  </si>
  <si>
    <t>2207:中古車</t>
  </si>
  <si>
    <t>2307:バス</t>
  </si>
  <si>
    <t>1700:ショッピング:専門</t>
  </si>
  <si>
    <t>1008:小料理</t>
  </si>
  <si>
    <t>1108:防犯グッズ</t>
  </si>
  <si>
    <t>1208:子供服</t>
  </si>
  <si>
    <t>1308:釣り具</t>
  </si>
  <si>
    <t>1408:コンピュータソフト販売</t>
  </si>
  <si>
    <t>1608:日曜大工</t>
  </si>
  <si>
    <t>1708:日本食料品店</t>
  </si>
  <si>
    <t>1808:美術品</t>
  </si>
  <si>
    <t>1908:旅行代理店業（第３種）</t>
  </si>
  <si>
    <t>2008:美容形成</t>
  </si>
  <si>
    <t>2108:整骨・接骨</t>
  </si>
  <si>
    <t>2208:カー用品</t>
  </si>
  <si>
    <t>2308:タクシー</t>
  </si>
  <si>
    <t>1800:ショッピング:その他</t>
  </si>
  <si>
    <t>1009:焼鳥</t>
  </si>
  <si>
    <t>1209:ベビー用品</t>
  </si>
  <si>
    <t>1309:トレーニング機器</t>
  </si>
  <si>
    <t>1609:ＤＩＹ</t>
  </si>
  <si>
    <t>1709:ハム</t>
  </si>
  <si>
    <t>1809:画廊（ギャラリー）</t>
  </si>
  <si>
    <t>1909:レンタルビデオ・ＣＤ</t>
  </si>
  <si>
    <t>2009:リラクゼーション</t>
  </si>
  <si>
    <t>2109:整体・カイロプラクティック</t>
  </si>
  <si>
    <t>2209:オートバイ</t>
  </si>
  <si>
    <t>2309:ハイヤー（リムジン）</t>
  </si>
  <si>
    <t>1900:サービス:趣味/娯楽</t>
  </si>
  <si>
    <t>1010:寿司</t>
  </si>
  <si>
    <t>1210:呉服</t>
  </si>
  <si>
    <t>1310:アウトドア用品</t>
  </si>
  <si>
    <t>1610:ペンキ</t>
  </si>
  <si>
    <t>1710:弁当屋</t>
  </si>
  <si>
    <t>1810:額ぶち</t>
  </si>
  <si>
    <t>1910:国民宿舎</t>
  </si>
  <si>
    <t>2010:保育施設</t>
  </si>
  <si>
    <t>2110:獣医</t>
  </si>
  <si>
    <t>2210:オートバイ用品</t>
  </si>
  <si>
    <t>2310:引越</t>
  </si>
  <si>
    <t>2000:サービス:専門</t>
  </si>
  <si>
    <t>1011:居酒屋</t>
  </si>
  <si>
    <t>1211:毛皮</t>
  </si>
  <si>
    <t>1311:麻雀荘</t>
  </si>
  <si>
    <t>1711:菓子・パン</t>
  </si>
  <si>
    <t>1811:民芸品</t>
  </si>
  <si>
    <t>1911:民宿</t>
  </si>
  <si>
    <t>2011:クリーニング</t>
  </si>
  <si>
    <t>2111:介護サービス</t>
  </si>
  <si>
    <t>2211:燃料店　　　　　　　　　　　　</t>
  </si>
  <si>
    <t>2311:宅配便</t>
  </si>
  <si>
    <t>2100:医療施設</t>
  </si>
  <si>
    <t>1012:フランス料理</t>
  </si>
  <si>
    <t>1212:革製品</t>
  </si>
  <si>
    <t>1312:ビリヤード</t>
  </si>
  <si>
    <t>1712:チョコレート</t>
  </si>
  <si>
    <t>1812:工芸品</t>
  </si>
  <si>
    <t>1912:ペンション</t>
  </si>
  <si>
    <t>2012:貸衣装</t>
  </si>
  <si>
    <t>2112:医療機器</t>
  </si>
  <si>
    <t>2312:高速道路</t>
  </si>
  <si>
    <t>2200:自動車/船舶</t>
  </si>
  <si>
    <t>1013:イタリー料理</t>
  </si>
  <si>
    <t>1213:カバン</t>
  </si>
  <si>
    <t>1313:囲碁・将棋</t>
  </si>
  <si>
    <t>1713:健康食品</t>
  </si>
  <si>
    <t>1813:園芸</t>
  </si>
  <si>
    <t>1913:カプセルホテル</t>
  </si>
  <si>
    <t>2013:レンタル</t>
  </si>
  <si>
    <t>2313:運転代行業</t>
  </si>
  <si>
    <t>2300:交通/流通</t>
  </si>
  <si>
    <t>1014:ラーメン</t>
  </si>
  <si>
    <t>1214:靴・履物</t>
  </si>
  <si>
    <t>1314:自転車</t>
  </si>
  <si>
    <t>1714:ミシン</t>
  </si>
  <si>
    <t>1814:花屋</t>
  </si>
  <si>
    <t>1914:ホテル</t>
  </si>
  <si>
    <t>2014:リース</t>
  </si>
  <si>
    <t>2400:教育関連</t>
  </si>
  <si>
    <t>1015:中国料理</t>
  </si>
  <si>
    <t>1215:帽子</t>
  </si>
  <si>
    <t>1315:玩具・ホビー</t>
  </si>
  <si>
    <t>1715:トロフィー</t>
  </si>
  <si>
    <t>1815:ドライフラワー</t>
  </si>
  <si>
    <t>1915:旅館</t>
  </si>
  <si>
    <t>2015:増改築</t>
  </si>
  <si>
    <t>1016:外国料理</t>
  </si>
  <si>
    <t>1216:傘</t>
  </si>
  <si>
    <t>1316:ファンシー　グッズ</t>
  </si>
  <si>
    <t>1716:ビジネスクーポン</t>
  </si>
  <si>
    <t>1816:動物美容</t>
  </si>
  <si>
    <t>1916:ビジネスホテル</t>
  </si>
  <si>
    <t>2016:住宅リフォーム</t>
  </si>
  <si>
    <t>1017:ドイツ料理</t>
  </si>
  <si>
    <t>1217:アクセサリー</t>
  </si>
  <si>
    <t>1317:ファミコン</t>
  </si>
  <si>
    <t>1717:印章</t>
  </si>
  <si>
    <t>1817:ペット用品</t>
  </si>
  <si>
    <t>1917:ファッションホテル</t>
  </si>
  <si>
    <t>2017:管工事業</t>
  </si>
  <si>
    <t>1018:ロシア料理</t>
  </si>
  <si>
    <t>1218:洋装雑貨</t>
  </si>
  <si>
    <t>1318:人形（ぬいぐるみ・人形）</t>
  </si>
  <si>
    <t>1718:刃物屋</t>
  </si>
  <si>
    <t>1818:ペットケア・ホテル</t>
  </si>
  <si>
    <t>1918:ゴルフ場（ショートコース）</t>
  </si>
  <si>
    <t>2018:印刷</t>
  </si>
  <si>
    <t>1019:韓国料理</t>
  </si>
  <si>
    <t>1219:総合衣料</t>
  </si>
  <si>
    <t>1319:楽器・音響</t>
  </si>
  <si>
    <t>1719:鉄砲</t>
  </si>
  <si>
    <t>1819:犬・猫</t>
  </si>
  <si>
    <t>1919:ゴルフ練習場</t>
  </si>
  <si>
    <t>2019:畳</t>
  </si>
  <si>
    <t>1020:インド料理</t>
  </si>
  <si>
    <t>1220:ジーンズ</t>
  </si>
  <si>
    <t>1320:レコード・ＣＤ</t>
  </si>
  <si>
    <t>1720:免税店</t>
  </si>
  <si>
    <t>1820:ペット</t>
  </si>
  <si>
    <t>1920:ゴルフ場</t>
  </si>
  <si>
    <t>2020:ガス器具</t>
  </si>
  <si>
    <t>1021:コンチネンタル料理</t>
  </si>
  <si>
    <t>1221:Ｔシャツ</t>
  </si>
  <si>
    <t>1321:楽器</t>
  </si>
  <si>
    <t>1721:外貨販売</t>
  </si>
  <si>
    <t>1821:熱帯魚</t>
  </si>
  <si>
    <t>1921:スケート場</t>
  </si>
  <si>
    <t>2021:ハウスクリーニング</t>
  </si>
  <si>
    <t>1022:スペイン料理</t>
  </si>
  <si>
    <t>1222:水着</t>
  </si>
  <si>
    <t>1322:ビデオテープ</t>
  </si>
  <si>
    <t>1722:結婚式場</t>
  </si>
  <si>
    <t>1822:仏具</t>
  </si>
  <si>
    <t>1922:アスレチック</t>
  </si>
  <si>
    <t>2022:写真現像</t>
  </si>
  <si>
    <t>1023:東南アジア料理</t>
  </si>
  <si>
    <t>1223:セーター・ニット</t>
  </si>
  <si>
    <t>1823:アンティーク</t>
  </si>
  <si>
    <t>1923:ボーリング場</t>
  </si>
  <si>
    <t>2023:フォトスタジオ</t>
  </si>
  <si>
    <t>1024:無国籍料理</t>
  </si>
  <si>
    <t>1224:古着</t>
  </si>
  <si>
    <t>1824:喫煙具</t>
  </si>
  <si>
    <t>1924:スキー場</t>
  </si>
  <si>
    <t>2024:電話利用（通話）</t>
  </si>
  <si>
    <t>1025:外国料理（その他）</t>
  </si>
  <si>
    <t>1225:和装小物</t>
  </si>
  <si>
    <t>1925:テニスクラブ</t>
  </si>
  <si>
    <t>2025:葬儀場</t>
  </si>
  <si>
    <t>1026:焼肉</t>
  </si>
  <si>
    <t>1226:空調機器</t>
  </si>
  <si>
    <t>1926:マリーンスポーツクラブ</t>
  </si>
  <si>
    <t>2026:貸会議室</t>
  </si>
  <si>
    <t>1027:ファミリーレストラン</t>
  </si>
  <si>
    <t>1227:ＡＶ機器</t>
  </si>
  <si>
    <t>1927:乗馬クラブ</t>
  </si>
  <si>
    <t>2027:ウィークリーマンション</t>
  </si>
  <si>
    <t>1028:ステーキ</t>
  </si>
  <si>
    <t>1228:輸入雑貨</t>
  </si>
  <si>
    <t>1928:総合スポーツ</t>
  </si>
  <si>
    <t>2028:トランクルーム</t>
  </si>
  <si>
    <t>1029:シーフード</t>
  </si>
  <si>
    <t>1229:貴金属</t>
  </si>
  <si>
    <t>2029:レンタルオフィス</t>
  </si>
  <si>
    <t>1030:レストラン</t>
  </si>
  <si>
    <t>1230:時計</t>
  </si>
  <si>
    <t>2030:住宅販売</t>
  </si>
  <si>
    <t>1031:ビアホール</t>
  </si>
  <si>
    <t>1231:宝石</t>
  </si>
  <si>
    <t>2031:不動産</t>
  </si>
  <si>
    <t>1032:カフェバー</t>
  </si>
  <si>
    <t>1232:手芸品（ハンドクラフト）</t>
  </si>
  <si>
    <t>2032:損害保険（代理店）</t>
  </si>
  <si>
    <t>1033:ダイニング・バー</t>
  </si>
  <si>
    <t>1233:かつら</t>
  </si>
  <si>
    <t>2033:損害保険</t>
  </si>
  <si>
    <t>1034:喫茶店・カフェ</t>
  </si>
  <si>
    <t>1234:育毛サロン</t>
  </si>
  <si>
    <t>2034:生命保険（保険）</t>
  </si>
  <si>
    <t>1035:パーラー</t>
  </si>
  <si>
    <t>2035:仕出し業</t>
  </si>
  <si>
    <t>1036:お好み焼き</t>
  </si>
  <si>
    <t>2036:法律相談所</t>
  </si>
  <si>
    <t>1037:ファーストフード</t>
  </si>
  <si>
    <t>2037:洗車業</t>
  </si>
  <si>
    <t>1038:バー</t>
  </si>
  <si>
    <t>2038:結婚相談所</t>
  </si>
  <si>
    <t>1039:クラブ</t>
  </si>
  <si>
    <t>2039:カウンセリング</t>
  </si>
  <si>
    <t>1040:スナック・パブ</t>
  </si>
  <si>
    <t>2040:ベビーシッター</t>
  </si>
  <si>
    <t>1041:ラウンジ</t>
  </si>
  <si>
    <t>2041:ロードサービス</t>
  </si>
  <si>
    <t>1042:キャバレー</t>
  </si>
  <si>
    <t>2042:レッカー</t>
  </si>
  <si>
    <t>1043:ライブハウス・ディスコ</t>
  </si>
  <si>
    <t>2043:プレイガイド</t>
  </si>
  <si>
    <t>1044:ＳＡ・ＰＡ</t>
  </si>
  <si>
    <t>2044:共済</t>
  </si>
  <si>
    <t>1045:ブライダルサービス</t>
  </si>
  <si>
    <t>1046:ホテル宴会</t>
  </si>
  <si>
    <t>1047:婚礼宴会</t>
  </si>
  <si>
    <t>1048:レストランウェディング</t>
  </si>
  <si>
    <t>1049:一般宴会</t>
  </si>
  <si>
    <t>●J-Coin Pay申込業種</t>
    <rPh sb="11" eb="13">
      <t>モウシコミ</t>
    </rPh>
    <rPh sb="13" eb="15">
      <t>ギョウシュ</t>
    </rPh>
    <phoneticPr fontId="3"/>
  </si>
  <si>
    <t>2:サービス</t>
  </si>
  <si>
    <t>1:物品</t>
  </si>
  <si>
    <t>←J-Coin Pay有無(記入シート2)</t>
    <rPh sb="11" eb="13">
      <t>ウム</t>
    </rPh>
    <rPh sb="14" eb="16">
      <t>キニュウ</t>
    </rPh>
    <phoneticPr fontId="3"/>
  </si>
  <si>
    <t>業種カテゴリ</t>
    <phoneticPr fontId="3"/>
  </si>
  <si>
    <t>取扱商品</t>
    <phoneticPr fontId="3"/>
  </si>
  <si>
    <t>マップ掲載</t>
    <phoneticPr fontId="3"/>
  </si>
  <si>
    <t>掲載する</t>
    <rPh sb="0" eb="2">
      <t>ケイサイ</t>
    </rPh>
    <phoneticPr fontId="3"/>
  </si>
  <si>
    <t>掲載しない</t>
    <rPh sb="0" eb="2">
      <t>ケイサイ</t>
    </rPh>
    <phoneticPr fontId="3"/>
  </si>
  <si>
    <t>←J-Coin判定</t>
    <rPh sb="7" eb="9">
      <t>ハンテイ</t>
    </rPh>
    <phoneticPr fontId="3"/>
  </si>
  <si>
    <t>商材区分(ブランド名英字)</t>
  </si>
  <si>
    <t>申込業種</t>
  </si>
  <si>
    <t>1:物品、2:サービス</t>
  </si>
  <si>
    <t>マップ掲載</t>
  </si>
  <si>
    <t>1:包括代理、2:業務代行、3:取次、4:直接契約</t>
  </si>
  <si>
    <t>Q87</t>
  </si>
  <si>
    <t>Q88</t>
  </si>
  <si>
    <t>Q89</t>
  </si>
  <si>
    <t>Q8A</t>
  </si>
  <si>
    <t>Q8B</t>
  </si>
  <si>
    <t>Q04</t>
  </si>
  <si>
    <t>端末コード(自動機利用有無)</t>
  </si>
  <si>
    <t>取扱商品</t>
    <rPh sb="0" eb="4">
      <t>トリアツカイショウヒン</t>
    </rPh>
    <phoneticPr fontId="3"/>
  </si>
  <si>
    <t xml:space="preserve"> ※非課税</t>
    <phoneticPr fontId="3"/>
  </si>
  <si>
    <t xml:space="preserve"> ※1回払いのみ。※非課税</t>
    <phoneticPr fontId="3"/>
  </si>
  <si>
    <t>初期費用</t>
    <phoneticPr fontId="3"/>
  </si>
  <si>
    <t>月額固定費</t>
    <phoneticPr fontId="3"/>
  </si>
  <si>
    <t>手数料</t>
    <phoneticPr fontId="3"/>
  </si>
  <si>
    <t>決済サービス
利用料</t>
    <phoneticPr fontId="3"/>
  </si>
  <si>
    <t>トランザクション費</t>
    <phoneticPr fontId="3"/>
  </si>
  <si>
    <t>事前調整番号：</t>
    <phoneticPr fontId="3"/>
  </si>
  <si>
    <t>事前調整番号</t>
  </si>
  <si>
    <t>URC</t>
  </si>
  <si>
    <t>申込端末合計台数</t>
  </si>
  <si>
    <t>TID採番区分</t>
  </si>
  <si>
    <t>1：物販、2：飲食、3：宿泊、4：旅行、5：その他</t>
  </si>
  <si>
    <t>センター識別</t>
  </si>
  <si>
    <t>1=自社センタ、2=その他</t>
    <phoneticPr fontId="3"/>
  </si>
  <si>
    <t>001660</t>
  </si>
  <si>
    <t>001661</t>
  </si>
  <si>
    <t>001662</t>
  </si>
  <si>
    <t>001663</t>
  </si>
  <si>
    <t>AEON（リアル）</t>
  </si>
  <si>
    <t>3</t>
  </si>
  <si>
    <t>決済機関：</t>
    <rPh sb="0" eb="4">
      <t>ケッサイキカン</t>
    </rPh>
    <phoneticPr fontId="3"/>
  </si>
  <si>
    <t>決済機関：</t>
    <phoneticPr fontId="3"/>
  </si>
  <si>
    <t>イオン</t>
    <phoneticPr fontId="3"/>
  </si>
  <si>
    <t>JCB</t>
    <phoneticPr fontId="3"/>
  </si>
  <si>
    <t>クレジットカード決済</t>
    <rPh sb="8" eb="10">
      <t>ケッサイ</t>
    </rPh>
    <phoneticPr fontId="4"/>
  </si>
  <si>
    <t>　クレジットカード決済をご利用しない場合、✓をご記入ください。</t>
    <rPh sb="9" eb="11">
      <t>ケッサイ</t>
    </rPh>
    <rPh sb="13" eb="15">
      <t>リヨウ</t>
    </rPh>
    <rPh sb="18" eb="20">
      <t>バアイ</t>
    </rPh>
    <rPh sb="24" eb="26">
      <t>キニュウ</t>
    </rPh>
    <phoneticPr fontId="3"/>
  </si>
  <si>
    <t>←クレジット＆電マネ申し込みあり</t>
    <rPh sb="7" eb="8">
      <t>デン</t>
    </rPh>
    <rPh sb="10" eb="11">
      <t>モウ</t>
    </rPh>
    <rPh sb="12" eb="13">
      <t>コ</t>
    </rPh>
    <phoneticPr fontId="3"/>
  </si>
  <si>
    <t>月額固定費（1台あたり）</t>
    <rPh sb="7" eb="8">
      <t>ダイ</t>
    </rPh>
    <phoneticPr fontId="3"/>
  </si>
  <si>
    <t>JCBｱｸﾜｲｱﾗﾌﾗｸﾞ</t>
  </si>
  <si>
    <t>AMEXｱｸﾜｲｱﾗﾌﾗｸﾞ</t>
  </si>
  <si>
    <t>DINERｱｸﾜｲｱﾗﾌﾗｸﾞ</t>
  </si>
  <si>
    <t>DISCOVERｱｸﾜｲｱﾗﾌﾗｸﾞ</t>
  </si>
  <si>
    <t>JCB（交通系）</t>
    <phoneticPr fontId="3"/>
  </si>
  <si>
    <t>申込方法</t>
    <phoneticPr fontId="3"/>
  </si>
  <si>
    <t>JCB（楽天Edy）</t>
    <phoneticPr fontId="3"/>
  </si>
  <si>
    <t>JCB（WAON）</t>
    <phoneticPr fontId="3"/>
  </si>
  <si>
    <t>JCB（nanaco)</t>
    <phoneticPr fontId="3"/>
  </si>
  <si>
    <t>nanaco上位端末ID頭9桁</t>
    <phoneticPr fontId="3"/>
  </si>
  <si>
    <t>11201</t>
    <phoneticPr fontId="3"/>
  </si>
  <si>
    <t>344</t>
    <phoneticPr fontId="3"/>
  </si>
  <si>
    <t>10607</t>
    <phoneticPr fontId="3"/>
  </si>
  <si>
    <t>UQ6</t>
  </si>
  <si>
    <t>UQ7</t>
  </si>
  <si>
    <t>UQX</t>
  </si>
  <si>
    <t>UQY</t>
  </si>
  <si>
    <t>10704</t>
    <phoneticPr fontId="3"/>
  </si>
  <si>
    <t>2Z7</t>
    <phoneticPr fontId="3"/>
  </si>
  <si>
    <t>10802</t>
    <phoneticPr fontId="3"/>
  </si>
  <si>
    <t>30B</t>
    <phoneticPr fontId="3"/>
  </si>
  <si>
    <t>11003</t>
    <phoneticPr fontId="3"/>
  </si>
  <si>
    <t>326</t>
    <phoneticPr fontId="3"/>
  </si>
  <si>
    <t>11102</t>
    <phoneticPr fontId="3"/>
  </si>
  <si>
    <t>334</t>
    <phoneticPr fontId="3"/>
  </si>
  <si>
    <t>335</t>
    <phoneticPr fontId="3"/>
  </si>
  <si>
    <t>交通系(西武鉄道)</t>
    <phoneticPr fontId="3"/>
  </si>
  <si>
    <t>10701</t>
  </si>
  <si>
    <t>10627</t>
    <phoneticPr fontId="3"/>
  </si>
  <si>
    <t>ブレインモバイルレジスター</t>
    <phoneticPr fontId="3"/>
  </si>
  <si>
    <t>J-TaxFreeシステム</t>
    <phoneticPr fontId="3"/>
  </si>
  <si>
    <t>飲食店6500店舗で稼働中のPOSレジです。
直感的でわかりやすいインターフェイスのためすぐに慣れます。自動集計される管理画面などオーナー様の欲しい機能をシンプルに実装しています。</t>
    <phoneticPr fontId="5"/>
  </si>
  <si>
    <t>消費税免税手続の電子化対応システムです。
消費税免税販売店において、訪日外国人旅行者向けの免税手続電子化に対応し、様々な「困った」を解消します！</t>
    <phoneticPr fontId="5"/>
  </si>
  <si>
    <t>6171:合同会社Glassy</t>
  </si>
  <si>
    <t>リアレジ</t>
    <phoneticPr fontId="3"/>
  </si>
  <si>
    <t>株式会社ビジコム</t>
    <phoneticPr fontId="3"/>
  </si>
  <si>
    <t>【初月無料・月額4,180円】「リアレジ」は、小売店・飲食店などに必要な販売や日報などの機能が使えるPOSアプリです。
現金決済だけでなく「PAX」のキャッシュレス決済を連携してご利用いただけます。</t>
    <phoneticPr fontId="3"/>
  </si>
  <si>
    <t>yoboca</t>
    <phoneticPr fontId="3"/>
  </si>
  <si>
    <t>株式会社ブレイブテクノロジー</t>
    <phoneticPr fontId="3"/>
  </si>
  <si>
    <t>別途お見積り</t>
    <phoneticPr fontId="3"/>
  </si>
  <si>
    <t>「yoboca｜ヨボカ」はLINE友だち獲得に優れた呼び出し通知システムです。
フードコート等で利用されている呼び出しベルとの大きな違いは、お客様のスマートフォンを利用する点です。また、LINE公式アカウントと合わせて利用するとyoboca利用者をLINE公式アカウントの友だちとして獲得することができます。</t>
    <phoneticPr fontId="3"/>
  </si>
  <si>
    <t>サービス申し込みに必要な書類について</t>
    <rPh sb="4" eb="5">
      <t>モウ</t>
    </rPh>
    <rPh sb="6" eb="7">
      <t>コ</t>
    </rPh>
    <rPh sb="9" eb="11">
      <t>ヒツヨウ</t>
    </rPh>
    <rPh sb="12" eb="14">
      <t>ショルイ</t>
    </rPh>
    <phoneticPr fontId="3"/>
  </si>
  <si>
    <t>CBD製品を取り扱う業種</t>
    <rPh sb="3" eb="5">
      <t>セイヒン</t>
    </rPh>
    <rPh sb="6" eb="7">
      <t>ト</t>
    </rPh>
    <rPh sb="8" eb="9">
      <t>アツカ</t>
    </rPh>
    <rPh sb="10" eb="12">
      <t>ギョウシュ</t>
    </rPh>
    <phoneticPr fontId="3"/>
  </si>
  <si>
    <t>健康食品店、オイル販売店、VAPE販売店　等</t>
    <rPh sb="0" eb="2">
      <t>ケンコウ</t>
    </rPh>
    <rPh sb="2" eb="4">
      <t>ショクヒン</t>
    </rPh>
    <rPh sb="4" eb="5">
      <t>テン</t>
    </rPh>
    <rPh sb="9" eb="11">
      <t>ハンバイ</t>
    </rPh>
    <rPh sb="11" eb="12">
      <t>テン</t>
    </rPh>
    <rPh sb="17" eb="20">
      <t>ハンバイテン</t>
    </rPh>
    <rPh sb="21" eb="22">
      <t>トウ</t>
    </rPh>
    <phoneticPr fontId="3"/>
  </si>
  <si>
    <t>THCを含まない旨記載の検査機関発行の署名付きの成分分析書</t>
    <rPh sb="4" eb="5">
      <t>フク</t>
    </rPh>
    <rPh sb="8" eb="9">
      <t>ムネ</t>
    </rPh>
    <rPh sb="9" eb="11">
      <t>キサイ</t>
    </rPh>
    <rPh sb="12" eb="14">
      <t>ケンサ</t>
    </rPh>
    <rPh sb="14" eb="16">
      <t>キカン</t>
    </rPh>
    <rPh sb="16" eb="18">
      <t>ハッコウ</t>
    </rPh>
    <rPh sb="19" eb="21">
      <t>ショメイ</t>
    </rPh>
    <rPh sb="21" eb="22">
      <t>ツ</t>
    </rPh>
    <rPh sb="24" eb="26">
      <t>セイブン</t>
    </rPh>
    <rPh sb="26" eb="28">
      <t>ブンセキ</t>
    </rPh>
    <rPh sb="28" eb="29">
      <t>ショ</t>
    </rPh>
    <phoneticPr fontId="3"/>
  </si>
  <si>
    <t>３．サービス概要資料</t>
    <rPh sb="6" eb="8">
      <t>ガイヨウ</t>
    </rPh>
    <rPh sb="8" eb="10">
      <t>シリョウ</t>
    </rPh>
    <phoneticPr fontId="3"/>
  </si>
  <si>
    <t>お申込みのサービス（お取扱いの商材や価格等）が確認できるサイトURLがない場合や、サイト内で商材、価格などのサービス内容が確認できない場合、</t>
    <phoneticPr fontId="3"/>
  </si>
  <si>
    <t>別途サービスの概要資料や画像のご提出が必要となります。　PDFもしくは画像ファイル（jpg、gif、png形式)でのご提出をお願いいたします。</t>
    <phoneticPr fontId="3"/>
  </si>
  <si>
    <t>その場合送信頂くアドレスが端末決済サービスエントリーシートとは異なります。</t>
    <rPh sb="2" eb="4">
      <t>バアイ</t>
    </rPh>
    <rPh sb="4" eb="6">
      <t>ソウシン</t>
    </rPh>
    <rPh sb="6" eb="7">
      <t>イタダ</t>
    </rPh>
    <rPh sb="31" eb="32">
      <t>コト</t>
    </rPh>
    <phoneticPr fontId="3"/>
  </si>
  <si>
    <t>添付するデータには個人情報が含まれることもあるため、メールの送付先をご確認いただき、誤送信のないようご注意ください。</t>
    <phoneticPr fontId="3"/>
  </si>
  <si>
    <t>法人のお申込者様につきましては、エントリーシートと上記書類をセットの上、営業担当まで送信をお願いいたします。</t>
    <rPh sb="0" eb="2">
      <t>ホウジン</t>
    </rPh>
    <rPh sb="4" eb="6">
      <t>モウシコミ</t>
    </rPh>
    <rPh sb="6" eb="7">
      <t>シャ</t>
    </rPh>
    <rPh sb="7" eb="8">
      <t>サマ</t>
    </rPh>
    <rPh sb="25" eb="27">
      <t>ジョウキ</t>
    </rPh>
    <rPh sb="27" eb="29">
      <t>ショルイ</t>
    </rPh>
    <rPh sb="34" eb="35">
      <t>ウエ</t>
    </rPh>
    <rPh sb="36" eb="38">
      <t>エイギョウ</t>
    </rPh>
    <rPh sb="38" eb="40">
      <t>タントウ</t>
    </rPh>
    <rPh sb="42" eb="44">
      <t>ソウシン</t>
    </rPh>
    <rPh sb="46" eb="47">
      <t>ネガ</t>
    </rPh>
    <phoneticPr fontId="3"/>
  </si>
  <si>
    <t>1630836</t>
  </si>
  <si>
    <t>鈴木 虎太郎</t>
  </si>
  <si>
    <t>1630837</t>
  </si>
  <si>
    <t>原田 良美</t>
  </si>
  <si>
    <t>1630839</t>
  </si>
  <si>
    <t>林 美里</t>
  </si>
  <si>
    <t>1631039</t>
  </si>
  <si>
    <t>中林 景</t>
  </si>
  <si>
    <t>1631191</t>
  </si>
  <si>
    <t>岩崎 修典</t>
  </si>
  <si>
    <t>1634001</t>
  </si>
  <si>
    <t>吉田 翼</t>
  </si>
  <si>
    <t>1635120</t>
  </si>
  <si>
    <t>溝口 一成</t>
  </si>
  <si>
    <t>1635121</t>
  </si>
  <si>
    <t>菅原 正太</t>
  </si>
  <si>
    <t>1635122</t>
  </si>
  <si>
    <t>松島 愛</t>
  </si>
  <si>
    <t>1635134</t>
  </si>
  <si>
    <t>細川 幸一</t>
  </si>
  <si>
    <t>1636207</t>
  </si>
  <si>
    <t>菱田 剛史</t>
  </si>
  <si>
    <t>1636613</t>
  </si>
  <si>
    <t>小澤 卓史</t>
  </si>
  <si>
    <t>1637228</t>
  </si>
  <si>
    <t>田子 則隆</t>
  </si>
  <si>
    <t>1637385</t>
  </si>
  <si>
    <t>山本 将史</t>
  </si>
  <si>
    <t>1638086</t>
  </si>
  <si>
    <t>倉上 結衣</t>
  </si>
  <si>
    <t>1640519</t>
  </si>
  <si>
    <t>小澤 一成</t>
  </si>
  <si>
    <t>1641022</t>
  </si>
  <si>
    <t>坂西 啓介</t>
  </si>
  <si>
    <t>1641023</t>
  </si>
  <si>
    <t>湯川 創</t>
  </si>
  <si>
    <t>1641024</t>
  </si>
  <si>
    <t>石川 智也</t>
  </si>
  <si>
    <t>1641039</t>
  </si>
  <si>
    <t>東森 翔</t>
  </si>
  <si>
    <t>1641206</t>
  </si>
  <si>
    <t>星野 宏介</t>
  </si>
  <si>
    <t>1641216</t>
  </si>
  <si>
    <t>上山 集平</t>
  </si>
  <si>
    <t>1641275</t>
  </si>
  <si>
    <t>神田 剛史</t>
  </si>
  <si>
    <t>1641293</t>
  </si>
  <si>
    <t>後藤 真也</t>
  </si>
  <si>
    <t>1641627</t>
  </si>
  <si>
    <t>市 朋晃</t>
  </si>
  <si>
    <t>1641750</t>
  </si>
  <si>
    <t>村松 惟那</t>
  </si>
  <si>
    <t>5202680</t>
  </si>
  <si>
    <t>新垣 結花</t>
  </si>
  <si>
    <t>←法人/個人</t>
    <rPh sb="1" eb="3">
      <t>ホウジン</t>
    </rPh>
    <rPh sb="4" eb="6">
      <t>コジン</t>
    </rPh>
    <phoneticPr fontId="3"/>
  </si>
  <si>
    <r>
      <rPr>
        <b/>
        <sz val="12"/>
        <rFont val="Meiryo UI"/>
        <family val="3"/>
        <charset val="128"/>
      </rPr>
      <t>【同意事項】</t>
    </r>
    <r>
      <rPr>
        <b/>
        <sz val="12"/>
        <color rgb="FF0000FF"/>
        <rFont val="Meiryo UI"/>
        <family val="3"/>
        <charset val="128"/>
      </rPr>
      <t xml:space="preserve">
</t>
    </r>
    <r>
      <rPr>
        <b/>
        <sz val="12"/>
        <rFont val="Meiryo UI"/>
        <family val="3"/>
        <charset val="128"/>
      </rPr>
      <t>　</t>
    </r>
    <r>
      <rPr>
        <sz val="12"/>
        <rFont val="Meiryo UI"/>
        <family val="3"/>
        <charset val="128"/>
      </rPr>
      <t>このたびは、SBペイメントサービス株式会社（以下、「SBPS」）が提供する「端末決済サービス」（以下、「本サービス」）にお申し込み希望をいただき、
  誠にありがとうございます。下記事項にご同意のうえ、お申し込みください。</t>
    </r>
    <r>
      <rPr>
        <sz val="11"/>
        <rFont val="Meiryo UI"/>
        <family val="3"/>
        <charset val="128"/>
      </rPr>
      <t xml:space="preserve">
　　・本サービスのご契約には、各規約・特約に基づくSBPSによる審査が必要となります。お申し込み内容により、ご契約いただけない場合がございます。
　　　（各規約・特約については右記サイト内より必要なものをダウンロードの上、ご確認ください。　https://www.sbpayment.jp/service/device/contract/　）
　　  また、本サービスご利用開始日について、上記審査や決済端末の出荷状況により、お日にちのご希望に沿えない場合がございますので、予めご了承ください。
　　・「端末決済サービス」は、屋号単位でのお申し込みとなります。複数屋号の使い分けをご希望される場合は、本書をご利用希望屋号分ご記入のうえお申し込みください。</t>
    </r>
    <rPh sb="84" eb="85">
      <t>マコト</t>
    </rPh>
    <rPh sb="135" eb="138">
      <t>カクキヤク</t>
    </rPh>
    <rPh sb="139" eb="141">
      <t>トクヤク</t>
    </rPh>
    <rPh sb="142" eb="143">
      <t>モト</t>
    </rPh>
    <rPh sb="299" eb="300">
      <t>ホン</t>
    </rPh>
    <rPh sb="315" eb="317">
      <t>ジョウキ</t>
    </rPh>
    <rPh sb="334" eb="335">
      <t>ヒ</t>
    </rPh>
    <rPh sb="357" eb="358">
      <t>アラカジ</t>
    </rPh>
    <rPh sb="360" eb="362">
      <t>リョウショウ</t>
    </rPh>
    <rPh sb="383" eb="385">
      <t>ヤゴウ</t>
    </rPh>
    <rPh sb="402" eb="404">
      <t>ヤゴウ</t>
    </rPh>
    <rPh sb="405" eb="406">
      <t>ツカ</t>
    </rPh>
    <rPh sb="407" eb="408">
      <t>ワ</t>
    </rPh>
    <rPh sb="428" eb="430">
      <t>ヤゴウ</t>
    </rPh>
    <phoneticPr fontId="4"/>
  </si>
  <si>
    <t>LBBCloud</t>
    <phoneticPr fontId="3"/>
  </si>
  <si>
    <t>株式会社LBB</t>
    <phoneticPr fontId="3"/>
  </si>
  <si>
    <t>QR Order</t>
    <phoneticPr fontId="3"/>
  </si>
  <si>
    <t>株式会社BlueIsland</t>
    <phoneticPr fontId="3"/>
  </si>
  <si>
    <t>飲食店のテーブル注文・テイクアウトからイベント・小売店まで、幅広い業種でご利用いただけるモバイルオーダーアプリです。</t>
    <phoneticPr fontId="3"/>
  </si>
  <si>
    <t>QR Orderは、専用タブレットも専用アプリのダウンロードも要らない、とことんシンプルなセルフオーダーサービスです。
※ご契約は1店舗＋1端末からとなります。</t>
    <phoneticPr fontId="3"/>
  </si>
  <si>
    <t>←申込有無　※追加時、要数式修正</t>
    <rPh sb="1" eb="3">
      <t>モウシコミ</t>
    </rPh>
    <rPh sb="3" eb="5">
      <t>ウム</t>
    </rPh>
    <rPh sb="7" eb="10">
      <t>ツイカジ</t>
    </rPh>
    <rPh sb="11" eb="12">
      <t>ヨウ</t>
    </rPh>
    <rPh sb="12" eb="14">
      <t>スウシキ</t>
    </rPh>
    <rPh sb="14" eb="16">
      <t>シュウセイ</t>
    </rPh>
    <phoneticPr fontId="3"/>
  </si>
  <si>
    <t>UNITEインボイス</t>
    <phoneticPr fontId="3"/>
  </si>
  <si>
    <t>株式会社ソリマチ技研</t>
    <phoneticPr fontId="3"/>
  </si>
  <si>
    <t>\500(税込)/月</t>
    <phoneticPr fontId="3"/>
  </si>
  <si>
    <t>簡単にインボイス対応の領収書を発行することができるアプリです。
領収書に印字する店舗情報を事前に登録。
発行時には必要項目を入力するだけで簡単に領収書が発行できます。</t>
    <phoneticPr fontId="3"/>
  </si>
  <si>
    <t>←VM手数料</t>
    <rPh sb="3" eb="6">
      <t>テスウリョウ</t>
    </rPh>
    <phoneticPr fontId="3"/>
  </si>
  <si>
    <t>SBPS使用欄</t>
    <phoneticPr fontId="3"/>
  </si>
  <si>
    <t>6035:ColossalTech株式会社</t>
  </si>
  <si>
    <t>6112:株式会社アセプト</t>
  </si>
  <si>
    <t>6196:ColossalTech株式会社</t>
  </si>
  <si>
    <t>6197:ColossalTech株式会社</t>
  </si>
  <si>
    <t>6216:ボストンクレジット株式会社</t>
  </si>
  <si>
    <t>KING OF TIME</t>
    <phoneticPr fontId="3"/>
  </si>
  <si>
    <t>株式会社ヒューマンテクノロジーズ</t>
    <phoneticPr fontId="3"/>
  </si>
  <si>
    <t xml:space="preserve"> 1人あたり \300/月</t>
    <phoneticPr fontId="3"/>
  </si>
  <si>
    <t>店舗で働く従業員が手軽に利用できるクラウド型勤怠管理システムです。 
手集計で苦労している勤怠管理がKING OF TIMEによって楽に管理できるようになります。決済端末を打刻機器として利用でき、打刻データはクラウドに保管され、リアルタイムで労働時間の集計ができます。</t>
    <phoneticPr fontId="3"/>
  </si>
  <si>
    <t>\5,000/月</t>
    <phoneticPr fontId="3"/>
  </si>
  <si>
    <t>\3,000/月</t>
    <phoneticPr fontId="3"/>
  </si>
  <si>
    <t>\3,800/月</t>
    <phoneticPr fontId="3"/>
  </si>
  <si>
    <r>
      <t xml:space="preserve">\8,000/月
</t>
    </r>
    <r>
      <rPr>
        <sz val="11"/>
        <color theme="1"/>
        <rFont val="Meiryo UI"/>
        <family val="3"/>
        <charset val="128"/>
      </rPr>
      <t>※1店舗あたり、台数制限なし</t>
    </r>
    <phoneticPr fontId="3"/>
  </si>
  <si>
    <t>1店舗あたり \9,800/月
＋1端末あたり \500/月</t>
    <phoneticPr fontId="3"/>
  </si>
  <si>
    <t>コンタクトレンズ販売業</t>
    <rPh sb="8" eb="11">
      <t>ハンバイギョウ</t>
    </rPh>
    <phoneticPr fontId="3"/>
  </si>
  <si>
    <t>コンタクトレンズ販売店　等</t>
    <rPh sb="8" eb="11">
      <t>ハンバイテン</t>
    </rPh>
    <rPh sb="12" eb="13">
      <t>トウ</t>
    </rPh>
    <phoneticPr fontId="3"/>
  </si>
  <si>
    <t>高度医療機器取扱免許証</t>
    <rPh sb="0" eb="2">
      <t>コウド</t>
    </rPh>
    <rPh sb="2" eb="4">
      <t>イリョウ</t>
    </rPh>
    <rPh sb="4" eb="6">
      <t>キキ</t>
    </rPh>
    <rPh sb="6" eb="8">
      <t>トリアツカイ</t>
    </rPh>
    <rPh sb="8" eb="11">
      <t>メンキョショウ</t>
    </rPh>
    <phoneticPr fontId="3"/>
  </si>
  <si>
    <t>6073:株式会社アップルヒル</t>
  </si>
  <si>
    <t>6231:リブオン・エンタープライズ株式会社</t>
  </si>
  <si>
    <t>平均役務期間</t>
    <phoneticPr fontId="3"/>
  </si>
  <si>
    <t>service4_reserve</t>
    <phoneticPr fontId="3"/>
  </si>
  <si>
    <t>nRegi-mini</t>
    <phoneticPr fontId="3"/>
  </si>
  <si>
    <t>エヌフィード株式会社</t>
    <phoneticPr fontId="3"/>
  </si>
  <si>
    <r>
      <t xml:space="preserve">サブスク \780/月
売り切り \9,800
</t>
    </r>
    <r>
      <rPr>
        <sz val="10"/>
        <color theme="1"/>
        <rFont val="Meiryo UI"/>
        <family val="3"/>
        <charset val="128"/>
      </rPr>
      <t>※その他 有料オプションあり</t>
    </r>
    <phoneticPr fontId="3"/>
  </si>
  <si>
    <t>かんたん、シンプルなレジアプリです。決済端末一台で、必要最低限のレジ機能が実現出来ます。
月額／買い切りプランやニーズに合わせた追加プランが選択可能です。</t>
    <phoneticPr fontId="3"/>
  </si>
  <si>
    <t>60203</t>
    <phoneticPr fontId="3"/>
  </si>
  <si>
    <t>6236:スマートテクノロジーズ＆リソーシーズ株式会社</t>
  </si>
  <si>
    <t>6237:株式会社フォースマーケティング</t>
  </si>
  <si>
    <t>6238:ソフトバンク株式会社（ST&amp;R用）</t>
  </si>
  <si>
    <t>6240:株式会社宮交シティ</t>
  </si>
  <si>
    <t>人間ドック</t>
  </si>
  <si>
    <t>人間ドックがメインの病院</t>
  </si>
  <si>
    <t>60203</t>
  </si>
  <si>
    <t>人間ドック</t>
    <phoneticPr fontId="3"/>
  </si>
  <si>
    <t>人間ドックがメインの病院</t>
    <phoneticPr fontId="3"/>
  </si>
  <si>
    <t>端末決済サービス(A920SB) エントリーシート</t>
  </si>
  <si>
    <t>Alipay+</t>
  </si>
  <si>
    <t>6254:株式会社システムフォワード</t>
  </si>
  <si>
    <t>6261:CBC株式会社</t>
  </si>
  <si>
    <t>6262:株式会社AgentStar</t>
  </si>
  <si>
    <t>QUICPay</t>
    <phoneticPr fontId="3"/>
  </si>
  <si>
    <t>WAON</t>
    <phoneticPr fontId="3"/>
  </si>
  <si>
    <t>決済機関：</t>
    <phoneticPr fontId="3"/>
  </si>
  <si>
    <t>JCB</t>
    <phoneticPr fontId="3"/>
  </si>
  <si>
    <t>申込方法：</t>
    <phoneticPr fontId="3"/>
  </si>
  <si>
    <t>UC</t>
  </si>
  <si>
    <t>業種</t>
    <rPh sb="0" eb="2">
      <t>ギョウシュ</t>
    </rPh>
    <phoneticPr fontId="3"/>
  </si>
  <si>
    <t>一般</t>
  </si>
  <si>
    <t>94501</t>
  </si>
  <si>
    <t>Q91</t>
  </si>
  <si>
    <t>Q93</t>
  </si>
  <si>
    <t>Q94</t>
  </si>
  <si>
    <t>UC（iD）</t>
    <phoneticPr fontId="3"/>
  </si>
  <si>
    <t>iD業種</t>
    <phoneticPr fontId="3"/>
  </si>
  <si>
    <t>申込方法</t>
    <phoneticPr fontId="3"/>
  </si>
  <si>
    <t>店舗オープン日</t>
    <phoneticPr fontId="3"/>
  </si>
  <si>
    <t>10903</t>
    <phoneticPr fontId="3"/>
  </si>
  <si>
    <t>314</t>
    <phoneticPr fontId="3"/>
  </si>
  <si>
    <t>316</t>
    <phoneticPr fontId="3"/>
  </si>
  <si>
    <t>317</t>
    <phoneticPr fontId="3"/>
  </si>
  <si>
    <t>SmartDetax</t>
    <phoneticPr fontId="3"/>
  </si>
  <si>
    <t>スマートテクノロジーズ&amp;リソーシーズ株式会社</t>
    <phoneticPr fontId="3"/>
  </si>
  <si>
    <t>Emusen easy</t>
    <phoneticPr fontId="3"/>
  </si>
  <si>
    <t>イーソル株式会社</t>
    <phoneticPr fontId="3"/>
  </si>
  <si>
    <t>別途お見積もり</t>
    <phoneticPr fontId="3"/>
  </si>
  <si>
    <t>\3,800/月</t>
    <phoneticPr fontId="3"/>
  </si>
  <si>
    <t>免税システム国内シェアNo.1【スマートデタックス 】は、独自のAI技術により決済端末のカメラでパスポートを正確＆瞬時に読み取り、免税販売データを電子的に生成、国税庁サーバーへ即時送信します。あらゆる免税店はスマートデタックスの利用により免税法令に完全対応することが可能です。</t>
    <phoneticPr fontId="3"/>
  </si>
  <si>
    <t>端末1台で完結するモバイルPOSレジアプリです。売上、精算レシート等の発行や、Bluetooth外付けスキャナとの接続も可能で、商品バーコードの読み取りもできます。FTP通信でパソコンの販売管理システムとの商品マスタ・売上データの連携も可能です。</t>
    <phoneticPr fontId="3"/>
  </si>
  <si>
    <t>接続方式:</t>
    <phoneticPr fontId="3"/>
  </si>
  <si>
    <t>直接接続</t>
  </si>
  <si>
    <t>新Alipay+(APS)</t>
  </si>
  <si>
    <t>Alipay+(APS)</t>
  </si>
  <si>
    <t>949001</t>
  </si>
  <si>
    <t>94901</t>
  </si>
  <si>
    <t>QD2</t>
  </si>
  <si>
    <t>QD3</t>
  </si>
  <si>
    <t>QD4</t>
  </si>
  <si>
    <t>QD5</t>
  </si>
  <si>
    <t>QD6</t>
  </si>
  <si>
    <t>QD7</t>
  </si>
  <si>
    <t>QD8</t>
  </si>
  <si>
    <t>QD9</t>
  </si>
  <si>
    <t>1630691</t>
  </si>
  <si>
    <t>愛甲脩人</t>
  </si>
  <si>
    <t>6282:株式会社チューリップテレビ</t>
  </si>
  <si>
    <t>6283:扶桑電通株式会社</t>
  </si>
  <si>
    <t>6284:扶桑電通株式会社</t>
  </si>
  <si>
    <t>6286:九州朝日放送株式会社</t>
  </si>
  <si>
    <t>¥4,000/月</t>
    <phoneticPr fontId="3"/>
  </si>
  <si>
    <t>高機能AndroidクラウドPOSレジアプリです。
マルチチャネルPOSシステムであらゆる運営方法に対応可能です。</t>
    <phoneticPr fontId="3"/>
  </si>
  <si>
    <t>飲食店向けに特化したコンパクトなPOSレジアプリです。決済端末一体型なのでこの一台で様々な会計にスムーズに対応いただけます。さらに、スタッフのログインや権限管理機能もあるため、安心してご利用いただけます。</t>
    <phoneticPr fontId="3"/>
  </si>
  <si>
    <t>CASHIER POS</t>
    <phoneticPr fontId="3"/>
  </si>
  <si>
    <t>株式会社ユニエイム</t>
    <phoneticPr fontId="3"/>
  </si>
  <si>
    <t>Okageハンディ</t>
    <phoneticPr fontId="3"/>
  </si>
  <si>
    <t>Okage株式会社</t>
    <phoneticPr fontId="3"/>
  </si>
  <si>
    <r>
      <t xml:space="preserve">¥5,000/月
</t>
    </r>
    <r>
      <rPr>
        <u/>
        <sz val="11"/>
        <color theme="1"/>
        <rFont val="Meiryo UI"/>
        <family val="3"/>
        <charset val="128"/>
      </rPr>
      <t xml:space="preserve">※1店舗あたり5台までの利用
</t>
    </r>
    <r>
      <rPr>
        <u/>
        <sz val="10"/>
        <color theme="1"/>
        <rFont val="Meiryo UI"/>
        <family val="3"/>
        <charset val="128"/>
      </rPr>
      <t>以降は1台追加ごとに追加¥1,000</t>
    </r>
    <phoneticPr fontId="3"/>
  </si>
  <si>
    <t>Ver 3.10</t>
    <phoneticPr fontId="3"/>
  </si>
  <si>
    <t>1647671</t>
  </si>
  <si>
    <t>大久保 翔太</t>
  </si>
  <si>
    <t>6300:朝日放送テレビ株式会社</t>
  </si>
  <si>
    <t>6302:山口朝日放送株式会社</t>
  </si>
  <si>
    <t>6303:株式会社熊本県民テレビ</t>
  </si>
  <si>
    <t>1629244</t>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</si>
</sst>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5" formatCode="&quot;¥&quot;#,##0;&quot;¥&quot;\-#,##0"/>
    <numFmt numFmtId="6" formatCode="&quot;¥&quot;#,##0;[Red]&quot;¥&quot;\-#,##0"/>
    <numFmt numFmtId="176" formatCode="yyyy&quot;年&quot;m&quot;月&quot;d&quot;日&quot;;@"/>
    <numFmt numFmtId="177" formatCode="#,##0_ ;[Red]\-#,##0\ "/>
    <numFmt numFmtId="178" formatCode="#,##0_);[Red]\(#,##0\)"/>
    <numFmt numFmtId="179" formatCode="&quot;¥&quot;#,##0&quot;/台&quot;"/>
    <numFmt numFmtId="180" formatCode="General\ &quot;台&quot;"/>
    <numFmt numFmtId="181" formatCode="&quot;¥&quot;#,##0&quot;/箱&quot;"/>
    <numFmt numFmtId="182" formatCode="General\ &quot;箱&quot;"/>
    <numFmt numFmtId="183" formatCode="0_);[Red]\(0\)"/>
    <numFmt numFmtId="184" formatCode="&quot;¥&quot;#,##0_);[Red]\(&quot;¥&quot;#,##0\)"/>
    <numFmt numFmtId="185" formatCode="&quot;¥&quot;#,##0.0;[Red]&quot;¥&quot;\-#,##0.0"/>
    <numFmt numFmtId="186" formatCode="&quot;¥&quot;#,##0&quot;/個&quot;"/>
    <numFmt numFmtId="187" formatCode="&quot;¥&quot;#,##0&quot;/本&quot;"/>
    <numFmt numFmtId="188" formatCode="0_ "/>
  </numFmts>
  <fonts count="151">
    <font>
      <sz val="11"/>
      <color theme="1"/>
      <name val="ＭＳ Ｐゴシック"/>
      <family val="2"/>
      <charset val="128"/>
      <scheme val="minor"/>
    </font>
    <font>
      <sz val="11"/>
      <color theme="1"/>
      <name val="Meiryo UI"/>
      <family val="2"/>
      <charset val="128"/>
    </font>
    <font>
      <sz val="12"/>
      <name val="ＭＳ Ｐゴシック"/>
      <family val="3"/>
      <charset val="128"/>
      <scheme val="minor"/>
    </font>
    <font>
      <sz val="6"/>
      <name val="ＭＳ Ｐゴシック"/>
      <family val="2"/>
      <charset val="128"/>
      <scheme val="minor"/>
    </font>
    <font>
      <sz val="6"/>
      <name val="ＭＳ Ｐゴシック"/>
      <family val="3"/>
      <charset val="128"/>
    </font>
    <font>
      <sz val="10"/>
      <name val="ＭＳ Ｐゴシック"/>
      <family val="3"/>
      <charset val="128"/>
      <scheme val="minor"/>
    </font>
    <font>
      <sz val="11"/>
      <color theme="1"/>
      <name val="ＭＳ Ｐゴシック"/>
      <family val="2"/>
      <scheme val="minor"/>
    </font>
    <font>
      <sz val="9"/>
      <color theme="1"/>
      <name val="ＭＳ Ｐゴシック"/>
      <family val="3"/>
      <charset val="128"/>
      <scheme val="minor"/>
    </font>
    <font>
      <sz val="9"/>
      <color indexed="81"/>
      <name val="ＭＳ Ｐゴシック"/>
      <family val="3"/>
      <charset val="128"/>
    </font>
    <font>
      <sz val="9"/>
      <name val="ＭＳ Ｐゴシック"/>
      <family val="3"/>
      <charset val="128"/>
      <scheme val="minor"/>
    </font>
    <font>
      <sz val="9"/>
      <name val="ＭＳ Ｐゴシック"/>
      <family val="3"/>
      <charset val="128"/>
    </font>
    <font>
      <sz val="11"/>
      <name val="ＭＳ Ｐゴシック"/>
      <family val="3"/>
      <charset val="128"/>
    </font>
    <font>
      <sz val="11"/>
      <color theme="1"/>
      <name val="ＭＳ Ｐゴシック"/>
      <family val="3"/>
      <charset val="128"/>
      <scheme val="minor"/>
    </font>
    <font>
      <u/>
      <sz val="11"/>
      <color theme="10"/>
      <name val="ＭＳ Ｐゴシック"/>
      <family val="2"/>
      <charset val="128"/>
      <scheme val="minor"/>
    </font>
    <font>
      <sz val="9"/>
      <color rgb="FF000000"/>
      <name val="MS UI Gothic"/>
      <family val="3"/>
      <charset val="128"/>
    </font>
    <font>
      <sz val="10"/>
      <color rgb="FFFF0000"/>
      <name val="ＭＳ Ｐゴシック"/>
      <family val="3"/>
      <charset val="128"/>
      <scheme val="minor"/>
    </font>
    <font>
      <sz val="11"/>
      <name val="ＭＳ Ｐゴシック"/>
      <family val="3"/>
      <charset val="128"/>
      <scheme val="minor"/>
    </font>
    <font>
      <sz val="10"/>
      <name val="ＭＳ Ｐゴシック"/>
      <family val="3"/>
      <charset val="128"/>
      <scheme val="major"/>
    </font>
    <font>
      <sz val="10"/>
      <color theme="1"/>
      <name val="ＭＳ Ｐゴシック"/>
      <family val="3"/>
      <charset val="128"/>
      <scheme val="major"/>
    </font>
    <font>
      <sz val="10"/>
      <name val="ＭＳ Ｐゴシック"/>
      <family val="3"/>
      <charset val="128"/>
    </font>
    <font>
      <sz val="10"/>
      <color rgb="FFFF0000"/>
      <name val="ＭＳ Ｐゴシック"/>
      <family val="3"/>
      <charset val="128"/>
      <scheme val="major"/>
    </font>
    <font>
      <u/>
      <sz val="11"/>
      <color indexed="12"/>
      <name val="ＭＳ Ｐゴシック"/>
      <family val="3"/>
      <charset val="128"/>
    </font>
    <font>
      <b/>
      <sz val="11"/>
      <color indexed="81"/>
      <name val="ＭＳ Ｐゴシック"/>
      <family val="3"/>
      <charset val="128"/>
    </font>
    <font>
      <sz val="10"/>
      <color rgb="FFFF0000"/>
      <name val="ＭＳ Ｐゴシック"/>
      <family val="3"/>
      <charset val="128"/>
    </font>
    <font>
      <sz val="10"/>
      <color rgb="FFC00000"/>
      <name val="ＭＳ Ｐゴシック"/>
      <family val="3"/>
      <charset val="128"/>
    </font>
    <font>
      <sz val="10"/>
      <color rgb="FF000000"/>
      <name val="ＭＳ Ｐゴシック"/>
      <family val="3"/>
      <charset val="128"/>
      <scheme val="major"/>
    </font>
    <font>
      <sz val="11"/>
      <color theme="1"/>
      <name val="ＭＳ Ｐゴシック"/>
      <family val="2"/>
      <charset val="128"/>
      <scheme val="minor"/>
    </font>
    <font>
      <b/>
      <sz val="15"/>
      <color theme="3"/>
      <name val="ＭＳ Ｐゴシック"/>
      <family val="2"/>
      <charset val="128"/>
      <scheme val="minor"/>
    </font>
    <font>
      <sz val="11"/>
      <color rgb="FFFF0000"/>
      <name val="Meiryo UI"/>
      <family val="3"/>
      <charset val="128"/>
    </font>
    <font>
      <sz val="10"/>
      <name val="Meiryo UI"/>
      <family val="3"/>
      <charset val="128"/>
    </font>
    <font>
      <sz val="11"/>
      <name val="Meiryo UI"/>
      <family val="3"/>
      <charset val="128"/>
    </font>
    <font>
      <sz val="10"/>
      <color rgb="FFFF0000"/>
      <name val="Meiryo UI"/>
      <family val="3"/>
      <charset val="128"/>
    </font>
    <font>
      <b/>
      <sz val="18"/>
      <name val="Meiryo UI"/>
      <family val="3"/>
      <charset val="128"/>
    </font>
    <font>
      <b/>
      <sz val="22"/>
      <name val="Meiryo UI"/>
      <family val="3"/>
      <charset val="128"/>
    </font>
    <font>
      <sz val="12"/>
      <name val="Meiryo UI"/>
      <family val="3"/>
      <charset val="128"/>
    </font>
    <font>
      <sz val="12"/>
      <color rgb="FFFF0000"/>
      <name val="Meiryo UI"/>
      <family val="3"/>
      <charset val="128"/>
    </font>
    <font>
      <b/>
      <sz val="12"/>
      <name val="Meiryo UI"/>
      <family val="3"/>
      <charset val="128"/>
    </font>
    <font>
      <sz val="10"/>
      <color indexed="10"/>
      <name val="Meiryo UI"/>
      <family val="3"/>
      <charset val="128"/>
    </font>
    <font>
      <sz val="12"/>
      <color rgb="FFFF6600"/>
      <name val="Meiryo UI"/>
      <family val="3"/>
      <charset val="128"/>
    </font>
    <font>
      <sz val="14"/>
      <name val="Meiryo UI"/>
      <family val="3"/>
      <charset val="128"/>
    </font>
    <font>
      <u/>
      <sz val="11"/>
      <color indexed="12"/>
      <name val="Meiryo UI"/>
      <family val="3"/>
      <charset val="128"/>
    </font>
    <font>
      <sz val="11"/>
      <color indexed="9"/>
      <name val="Meiryo UI"/>
      <family val="3"/>
      <charset val="128"/>
    </font>
    <font>
      <sz val="12"/>
      <color theme="1"/>
      <name val="Meiryo UI"/>
      <family val="3"/>
      <charset val="128"/>
    </font>
    <font>
      <sz val="11"/>
      <color theme="1"/>
      <name val="Meiryo UI"/>
      <family val="3"/>
      <charset val="128"/>
    </font>
    <font>
      <u/>
      <sz val="11"/>
      <name val="Meiryo UI"/>
      <family val="3"/>
      <charset val="128"/>
    </font>
    <font>
      <sz val="10"/>
      <color rgb="FFFF6600"/>
      <name val="Meiryo UI"/>
      <family val="3"/>
      <charset val="128"/>
    </font>
    <font>
      <sz val="16"/>
      <color rgb="FFFF0000"/>
      <name val="Meiryo UI"/>
      <family val="3"/>
      <charset val="128"/>
    </font>
    <font>
      <b/>
      <sz val="16"/>
      <color rgb="FFFF0000"/>
      <name val="Meiryo UI"/>
      <family val="3"/>
      <charset val="128"/>
    </font>
    <font>
      <b/>
      <sz val="10"/>
      <color rgb="FF0070C0"/>
      <name val="Meiryo UI"/>
      <family val="3"/>
      <charset val="128"/>
    </font>
    <font>
      <b/>
      <sz val="14"/>
      <name val="Meiryo UI"/>
      <family val="3"/>
      <charset val="128"/>
    </font>
    <font>
      <b/>
      <sz val="12"/>
      <color indexed="10"/>
      <name val="Meiryo UI"/>
      <family val="3"/>
      <charset val="128"/>
    </font>
    <font>
      <b/>
      <sz val="18"/>
      <color rgb="FFFF0000"/>
      <name val="Meiryo UI"/>
      <family val="3"/>
      <charset val="128"/>
    </font>
    <font>
      <sz val="10"/>
      <color theme="0"/>
      <name val="Meiryo UI"/>
      <family val="3"/>
      <charset val="128"/>
    </font>
    <font>
      <sz val="11"/>
      <color theme="0"/>
      <name val="Meiryo UI"/>
      <family val="3"/>
      <charset val="128"/>
    </font>
    <font>
      <sz val="11"/>
      <color rgb="FF006100"/>
      <name val="ＭＳ Ｐゴシック"/>
      <family val="2"/>
      <charset val="128"/>
      <scheme val="minor"/>
    </font>
    <font>
      <sz val="10"/>
      <color rgb="FF3333FF"/>
      <name val="Meiryo UI"/>
      <family val="3"/>
      <charset val="128"/>
    </font>
    <font>
      <sz val="11"/>
      <color indexed="8"/>
      <name val="ＭＳ Ｐゴシック"/>
      <family val="3"/>
      <charset val="128"/>
    </font>
    <font>
      <b/>
      <sz val="9"/>
      <color indexed="81"/>
      <name val="ＭＳ Ｐゴシック"/>
      <family val="3"/>
      <charset val="128"/>
    </font>
    <font>
      <sz val="9"/>
      <color theme="1"/>
      <name val="Meiryo UI"/>
      <family val="3"/>
      <charset val="128"/>
    </font>
    <font>
      <sz val="10"/>
      <color theme="1"/>
      <name val="Meiryo UI"/>
      <family val="3"/>
      <charset val="128"/>
    </font>
    <font>
      <b/>
      <sz val="14"/>
      <color rgb="FFFF0000"/>
      <name val="Meiryo UI"/>
      <family val="3"/>
      <charset val="128"/>
    </font>
    <font>
      <sz val="10"/>
      <color theme="1"/>
      <name val="ＭＳ Ｐゴシック"/>
      <family val="3"/>
      <charset val="128"/>
      <scheme val="minor"/>
    </font>
    <font>
      <sz val="10"/>
      <color rgb="FF0000FF"/>
      <name val="ＭＳ Ｐゴシック"/>
      <family val="3"/>
      <charset val="128"/>
      <scheme val="major"/>
    </font>
    <font>
      <sz val="12"/>
      <color rgb="FF3333FF"/>
      <name val="Meiryo UI"/>
      <family val="3"/>
      <charset val="128"/>
    </font>
    <font>
      <sz val="8"/>
      <name val="Meiryo UI"/>
      <family val="3"/>
      <charset val="128"/>
    </font>
    <font>
      <b/>
      <sz val="18"/>
      <color theme="1"/>
      <name val="Meiryo UI"/>
      <family val="3"/>
      <charset val="128"/>
    </font>
    <font>
      <b/>
      <sz val="12"/>
      <color theme="1"/>
      <name val="Meiryo UI"/>
      <family val="3"/>
      <charset val="128"/>
    </font>
    <font>
      <u/>
      <sz val="11"/>
      <color rgb="FF0000FF"/>
      <name val="Meiryo UI"/>
      <family val="3"/>
      <charset val="128"/>
    </font>
    <font>
      <sz val="11"/>
      <color rgb="FFFF6600"/>
      <name val="Meiryo UI"/>
      <family val="3"/>
      <charset val="128"/>
    </font>
    <font>
      <b/>
      <sz val="11"/>
      <color rgb="FF0000FF"/>
      <name val="Meiryo UI"/>
      <family val="3"/>
      <charset val="128"/>
    </font>
    <font>
      <b/>
      <sz val="12"/>
      <color rgb="FF0000FF"/>
      <name val="Meiryo UI"/>
      <family val="3"/>
      <charset val="128"/>
    </font>
    <font>
      <b/>
      <sz val="15"/>
      <color indexed="56"/>
      <name val="ＭＳ Ｐゴシック"/>
      <family val="3"/>
      <charset val="128"/>
    </font>
    <font>
      <b/>
      <sz val="14"/>
      <color rgb="FF0000FF"/>
      <name val="ＭＳ Ｐゴシック"/>
      <family val="3"/>
      <charset val="128"/>
      <scheme val="minor"/>
    </font>
    <font>
      <sz val="11"/>
      <color indexed="12"/>
      <name val="Meiryo UI"/>
      <family val="3"/>
      <charset val="128"/>
    </font>
    <font>
      <b/>
      <sz val="16"/>
      <name val="ＭＳ Ｐゴシック"/>
      <family val="3"/>
      <charset val="128"/>
    </font>
    <font>
      <sz val="6"/>
      <color indexed="22"/>
      <name val="ＭＳ Ｐゴシック"/>
      <family val="3"/>
      <charset val="128"/>
    </font>
    <font>
      <sz val="16"/>
      <name val="ＭＳ Ｐゴシック"/>
      <family val="3"/>
      <charset val="128"/>
    </font>
    <font>
      <sz val="10"/>
      <color indexed="22"/>
      <name val="ＭＳ Ｐゴシック"/>
      <family val="3"/>
      <charset val="128"/>
    </font>
    <font>
      <sz val="7"/>
      <name val="ＭＳ Ｐゴシック"/>
      <family val="3"/>
      <charset val="128"/>
    </font>
    <font>
      <sz val="8"/>
      <name val="ＭＳ Ｐゴシック"/>
      <family val="3"/>
      <charset val="128"/>
    </font>
    <font>
      <sz val="7"/>
      <color indexed="10"/>
      <name val="ＭＳ Ｐゴシック"/>
      <family val="3"/>
      <charset val="128"/>
    </font>
    <font>
      <sz val="10"/>
      <name val="HGP創英角ｺﾞｼｯｸUB"/>
      <family val="3"/>
      <charset val="128"/>
    </font>
    <font>
      <sz val="9"/>
      <color indexed="8"/>
      <name val="ＭＳ ゴシック"/>
      <family val="3"/>
      <charset val="128"/>
    </font>
    <font>
      <sz val="9"/>
      <color indexed="9"/>
      <name val="ＭＳ ゴシック"/>
      <family val="3"/>
      <charset val="128"/>
    </font>
    <font>
      <sz val="11"/>
      <color indexed="9"/>
      <name val="ＭＳ Ｐゴシック"/>
      <family val="3"/>
      <charset val="128"/>
    </font>
    <font>
      <b/>
      <sz val="18"/>
      <color indexed="56"/>
      <name val="ＭＳ Ｐゴシック"/>
      <family val="3"/>
      <charset val="128"/>
    </font>
    <font>
      <b/>
      <sz val="9"/>
      <color indexed="9"/>
      <name val="ＭＳ ゴシック"/>
      <family val="3"/>
      <charset val="128"/>
    </font>
    <font>
      <b/>
      <sz val="11"/>
      <color indexed="9"/>
      <name val="ＭＳ Ｐゴシック"/>
      <family val="3"/>
      <charset val="128"/>
    </font>
    <font>
      <sz val="9"/>
      <color indexed="60"/>
      <name val="ＭＳ ゴシック"/>
      <family val="3"/>
      <charset val="128"/>
    </font>
    <font>
      <sz val="11"/>
      <color indexed="60"/>
      <name val="ＭＳ Ｐゴシック"/>
      <family val="3"/>
      <charset val="128"/>
    </font>
    <font>
      <sz val="9"/>
      <color indexed="52"/>
      <name val="ＭＳ ゴシック"/>
      <family val="3"/>
      <charset val="128"/>
    </font>
    <font>
      <sz val="11"/>
      <color indexed="52"/>
      <name val="ＭＳ Ｐゴシック"/>
      <family val="3"/>
      <charset val="128"/>
    </font>
    <font>
      <sz val="11"/>
      <color indexed="20"/>
      <name val="ＭＳ Ｐゴシック"/>
      <family val="3"/>
      <charset val="128"/>
    </font>
    <font>
      <sz val="9"/>
      <color indexed="20"/>
      <name val="ＭＳ ゴシック"/>
      <family val="3"/>
      <charset val="128"/>
    </font>
    <font>
      <b/>
      <sz val="9"/>
      <color indexed="52"/>
      <name val="ＭＳ ゴシック"/>
      <family val="3"/>
      <charset val="128"/>
    </font>
    <font>
      <b/>
      <sz val="11"/>
      <color indexed="52"/>
      <name val="ＭＳ Ｐゴシック"/>
      <family val="3"/>
      <charset val="128"/>
    </font>
    <font>
      <sz val="9"/>
      <color indexed="10"/>
      <name val="ＭＳ ゴシック"/>
      <family val="3"/>
      <charset val="128"/>
    </font>
    <font>
      <sz val="11"/>
      <color indexed="10"/>
      <name val="ＭＳ Ｐゴシック"/>
      <family val="3"/>
      <charset val="128"/>
    </font>
    <font>
      <b/>
      <sz val="15"/>
      <color indexed="56"/>
      <name val="ＭＳ ゴシック"/>
      <family val="3"/>
      <charset val="128"/>
    </font>
    <font>
      <b/>
      <sz val="13"/>
      <color indexed="56"/>
      <name val="ＭＳ ゴシック"/>
      <family val="3"/>
      <charset val="128"/>
    </font>
    <font>
      <b/>
      <sz val="13"/>
      <color indexed="56"/>
      <name val="ＭＳ Ｐゴシック"/>
      <family val="3"/>
      <charset val="128"/>
    </font>
    <font>
      <b/>
      <sz val="11"/>
      <color indexed="56"/>
      <name val="ＭＳ ゴシック"/>
      <family val="3"/>
      <charset val="128"/>
    </font>
    <font>
      <b/>
      <sz val="11"/>
      <color indexed="56"/>
      <name val="ＭＳ Ｐゴシック"/>
      <family val="3"/>
      <charset val="128"/>
    </font>
    <font>
      <b/>
      <sz val="9"/>
      <color indexed="8"/>
      <name val="ＭＳ ゴシック"/>
      <family val="3"/>
      <charset val="128"/>
    </font>
    <font>
      <b/>
      <sz val="11"/>
      <color indexed="8"/>
      <name val="ＭＳ Ｐゴシック"/>
      <family val="3"/>
      <charset val="128"/>
    </font>
    <font>
      <b/>
      <sz val="9"/>
      <color indexed="63"/>
      <name val="ＭＳ ゴシック"/>
      <family val="3"/>
      <charset val="128"/>
    </font>
    <font>
      <b/>
      <sz val="11"/>
      <color indexed="63"/>
      <name val="ＭＳ Ｐゴシック"/>
      <family val="3"/>
      <charset val="128"/>
    </font>
    <font>
      <i/>
      <sz val="9"/>
      <color indexed="23"/>
      <name val="ＭＳ ゴシック"/>
      <family val="3"/>
      <charset val="128"/>
    </font>
    <font>
      <i/>
      <sz val="11"/>
      <color indexed="23"/>
      <name val="ＭＳ Ｐゴシック"/>
      <family val="3"/>
      <charset val="128"/>
    </font>
    <font>
      <sz val="9"/>
      <color indexed="62"/>
      <name val="ＭＳ ゴシック"/>
      <family val="3"/>
      <charset val="128"/>
    </font>
    <font>
      <sz val="11"/>
      <color indexed="62"/>
      <name val="ＭＳ Ｐゴシック"/>
      <family val="3"/>
      <charset val="128"/>
    </font>
    <font>
      <sz val="9"/>
      <color indexed="17"/>
      <name val="ＭＳ ゴシック"/>
      <family val="3"/>
      <charset val="128"/>
    </font>
    <font>
      <sz val="11"/>
      <color indexed="17"/>
      <name val="ＭＳ Ｐゴシック"/>
      <family val="3"/>
      <charset val="128"/>
    </font>
    <font>
      <b/>
      <sz val="11"/>
      <color indexed="9"/>
      <name val="Meiryo UI"/>
      <family val="3"/>
      <charset val="128"/>
    </font>
    <font>
      <b/>
      <sz val="11"/>
      <color theme="0"/>
      <name val="Meiryo UI"/>
      <family val="3"/>
      <charset val="128"/>
    </font>
    <font>
      <b/>
      <sz val="11"/>
      <color rgb="FFFF0000"/>
      <name val="Meiryo UI"/>
      <family val="3"/>
      <charset val="128"/>
    </font>
    <font>
      <sz val="11"/>
      <color indexed="10"/>
      <name val="Meiryo UI"/>
      <family val="3"/>
      <charset val="128"/>
    </font>
    <font>
      <b/>
      <sz val="11"/>
      <name val="Meiryo UI"/>
      <family val="3"/>
      <charset val="128"/>
    </font>
    <font>
      <b/>
      <sz val="20"/>
      <name val="Meiryo UI"/>
      <family val="3"/>
      <charset val="128"/>
    </font>
    <font>
      <b/>
      <sz val="10"/>
      <color indexed="81"/>
      <name val="Meiryo UI"/>
      <family val="3"/>
      <charset val="128"/>
    </font>
    <font>
      <sz val="10"/>
      <color indexed="81"/>
      <name val="Meiryo UI"/>
      <family val="3"/>
      <charset val="128"/>
    </font>
    <font>
      <b/>
      <sz val="8"/>
      <color indexed="81"/>
      <name val="Meiryo UI"/>
      <family val="3"/>
      <charset val="128"/>
    </font>
    <font>
      <sz val="8"/>
      <color indexed="81"/>
      <name val="Meiryo UI"/>
      <family val="3"/>
      <charset val="128"/>
    </font>
    <font>
      <sz val="14"/>
      <name val="SimSun"/>
      <charset val="134"/>
    </font>
    <font>
      <b/>
      <sz val="11"/>
      <color theme="1"/>
      <name val="Meiryo UI"/>
      <family val="3"/>
      <charset val="128"/>
    </font>
    <font>
      <sz val="12"/>
      <color theme="1"/>
      <name val="ＭＳ Ｐゴシック"/>
      <family val="2"/>
      <charset val="128"/>
      <scheme val="minor"/>
    </font>
    <font>
      <u/>
      <sz val="10"/>
      <color indexed="12"/>
      <name val="Arial Unicode MS"/>
      <family val="3"/>
      <charset val="128"/>
    </font>
    <font>
      <sz val="12"/>
      <color theme="1"/>
      <name val="ＭＳ Ｐゴシック"/>
      <family val="3"/>
      <charset val="134"/>
      <scheme val="minor"/>
    </font>
    <font>
      <sz val="10"/>
      <color theme="1"/>
      <name val="Tahoma"/>
      <family val="2"/>
    </font>
    <font>
      <b/>
      <sz val="10"/>
      <color rgb="FFFF0000"/>
      <name val="Meiryo UI"/>
      <family val="3"/>
      <charset val="128"/>
    </font>
    <font>
      <b/>
      <sz val="10"/>
      <color indexed="10"/>
      <name val="Meiryo UI"/>
      <family val="3"/>
      <charset val="128"/>
    </font>
    <font>
      <sz val="12"/>
      <color theme="0"/>
      <name val="Meiryo UI"/>
      <family val="3"/>
      <charset val="128"/>
    </font>
    <font>
      <sz val="10"/>
      <name val="ＭＳ Ｐゴシック"/>
      <family val="2"/>
      <charset val="128"/>
      <scheme val="minor"/>
    </font>
    <font>
      <sz val="11"/>
      <color rgb="FFFF0000"/>
      <name val="ＭＳ Ｐゴシック"/>
      <family val="3"/>
      <charset val="128"/>
      <scheme val="minor"/>
    </font>
    <font>
      <sz val="11"/>
      <color rgb="FFFF0000"/>
      <name val="ＭＳ Ｐゴシック"/>
      <family val="3"/>
      <charset val="128"/>
    </font>
    <font>
      <sz val="11"/>
      <color theme="0"/>
      <name val="ＭＳ Ｐゴシック"/>
      <family val="2"/>
      <charset val="128"/>
      <scheme val="minor"/>
    </font>
    <font>
      <b/>
      <sz val="10"/>
      <color theme="0"/>
      <name val="Meiryo UI"/>
      <family val="3"/>
      <charset val="128"/>
    </font>
    <font>
      <sz val="9"/>
      <name val="Meiryo UI"/>
      <family val="3"/>
      <charset val="128"/>
    </font>
    <font>
      <sz val="11"/>
      <color theme="0" tint="-0.499984740745262"/>
      <name val="Meiryo UI"/>
      <family val="3"/>
      <charset val="128"/>
    </font>
    <font>
      <sz val="12"/>
      <color theme="0" tint="-0.499984740745262"/>
      <name val="Meiryo UI"/>
      <family val="3"/>
      <charset val="128"/>
    </font>
    <font>
      <sz val="9"/>
      <color rgb="FFFF0000"/>
      <name val="ＭＳ Ｐゴシック"/>
      <family val="3"/>
      <charset val="128"/>
      <scheme val="minor"/>
    </font>
    <font>
      <sz val="5"/>
      <color rgb="FF000000"/>
      <name val="メイリオ"/>
      <family val="3"/>
      <charset val="128"/>
    </font>
    <font>
      <b/>
      <sz val="20"/>
      <color theme="1"/>
      <name val="Meiryo UI"/>
      <family val="3"/>
      <charset val="128"/>
    </font>
    <font>
      <sz val="9"/>
      <color rgb="FF000000"/>
      <name val="Meiryo UI"/>
      <family val="3"/>
      <charset val="128"/>
    </font>
    <font>
      <b/>
      <sz val="16"/>
      <color theme="0"/>
      <name val="Meiryo UI"/>
      <family val="3"/>
      <charset val="128"/>
    </font>
    <font>
      <sz val="11"/>
      <color indexed="81"/>
      <name val="Meiryo UI"/>
      <family val="3"/>
      <charset val="128"/>
    </font>
    <font>
      <b/>
      <sz val="9"/>
      <color indexed="81"/>
      <name val="MS P ゴシック"/>
      <family val="3"/>
      <charset val="128"/>
    </font>
    <font>
      <u/>
      <sz val="12"/>
      <color theme="1"/>
      <name val="Meiryo UI"/>
      <family val="3"/>
      <charset val="128"/>
    </font>
    <font>
      <sz val="9"/>
      <color indexed="81"/>
      <name val="MS P ゴシック"/>
      <family val="3"/>
      <charset val="128"/>
    </font>
    <font>
      <u/>
      <sz val="11"/>
      <color theme="1"/>
      <name val="Meiryo UI"/>
      <family val="3"/>
      <charset val="128"/>
    </font>
    <font>
      <u/>
      <sz val="10"/>
      <color theme="1"/>
      <name val="Meiryo UI"/>
      <family val="3"/>
      <charset val="128"/>
    </font>
  </fonts>
  <fills count="69">
    <fill>
      <patternFill patternType="none"/>
    </fill>
    <fill>
      <patternFill patternType="gray125"/>
    </fill>
    <fill>
      <patternFill patternType="solid">
        <fgColor indexed="65"/>
        <bgColor indexed="44"/>
      </patternFill>
    </fill>
    <fill>
      <patternFill patternType="solid">
        <fgColor rgb="FFCCFFCC"/>
        <bgColor indexed="64"/>
      </patternFill>
    </fill>
    <fill>
      <patternFill patternType="solid">
        <fgColor rgb="FFFFCCFF"/>
        <bgColor indexed="64"/>
      </patternFill>
    </fill>
    <fill>
      <patternFill patternType="solid">
        <fgColor indexed="9"/>
        <bgColor indexed="64"/>
      </patternFill>
    </fill>
    <fill>
      <patternFill patternType="solid">
        <fgColor indexed="65"/>
        <bgColor indexed="64"/>
      </patternFill>
    </fill>
    <fill>
      <patternFill patternType="mediumGray">
        <fgColor indexed="44"/>
      </patternFill>
    </fill>
    <fill>
      <patternFill patternType="solid">
        <fgColor theme="0"/>
        <bgColor indexed="64"/>
      </patternFill>
    </fill>
    <fill>
      <patternFill patternType="solid">
        <fgColor theme="9"/>
        <bgColor indexed="64"/>
      </patternFill>
    </fill>
    <fill>
      <patternFill patternType="solid">
        <fgColor indexed="9"/>
        <bgColor indexed="44"/>
      </patternFill>
    </fill>
    <fill>
      <patternFill patternType="solid">
        <fgColor theme="1"/>
        <bgColor indexed="64"/>
      </patternFill>
    </fill>
    <fill>
      <patternFill patternType="solid">
        <fgColor theme="1"/>
        <bgColor indexed="44"/>
      </patternFill>
    </fill>
    <fill>
      <patternFill patternType="solid">
        <fgColor theme="2" tint="-0.499984740745262"/>
        <bgColor indexed="64"/>
      </patternFill>
    </fill>
    <fill>
      <patternFill patternType="solid">
        <fgColor rgb="FF948A54"/>
        <bgColor indexed="64"/>
      </patternFill>
    </fill>
    <fill>
      <patternFill patternType="solid">
        <fgColor theme="6" tint="0.59999389629810485"/>
        <bgColor indexed="64"/>
      </patternFill>
    </fill>
    <fill>
      <patternFill patternType="solid">
        <fgColor theme="1" tint="0.249977111117893"/>
        <bgColor indexed="64"/>
      </patternFill>
    </fill>
    <fill>
      <patternFill patternType="solid">
        <fgColor rgb="FF00FF00"/>
        <bgColor indexed="64"/>
      </patternFill>
    </fill>
    <fill>
      <patternFill patternType="solid">
        <fgColor theme="0" tint="-0.34998626667073579"/>
        <bgColor indexed="64"/>
      </patternFill>
    </fill>
    <fill>
      <patternFill patternType="mediumGray">
        <fgColor rgb="FF99CCFF"/>
      </patternFill>
    </fill>
    <fill>
      <patternFill patternType="mediumGray">
        <fgColor indexed="44"/>
        <bgColor theme="0" tint="-0.249977111117893"/>
      </patternFill>
    </fill>
    <fill>
      <patternFill patternType="solid">
        <fgColor theme="0" tint="-0.249977111117893"/>
        <bgColor indexed="64"/>
      </patternFill>
    </fill>
    <fill>
      <patternFill patternType="solid">
        <fgColor rgb="FFC6EFCE"/>
      </patternFill>
    </fill>
    <fill>
      <patternFill patternType="mediumGray">
        <fgColor rgb="FF99CCFF"/>
        <bgColor auto="1"/>
      </patternFill>
    </fill>
    <fill>
      <patternFill patternType="solid">
        <fgColor rgb="FFFFCCFF"/>
        <bgColor indexed="44"/>
      </patternFill>
    </fill>
    <fill>
      <patternFill patternType="solid">
        <fgColor theme="3" tint="0.59999389629810485"/>
        <bgColor indexed="64"/>
      </patternFill>
    </fill>
    <fill>
      <patternFill patternType="solid">
        <fgColor rgb="FFFFFFCC"/>
        <bgColor indexed="64"/>
      </patternFill>
    </fill>
    <fill>
      <patternFill patternType="solid">
        <fgColor rgb="FFFFC000"/>
        <bgColor indexed="64"/>
      </patternFill>
    </fill>
    <fill>
      <patternFill patternType="solid">
        <fgColor rgb="FFFFFF99"/>
        <bgColor indexed="64"/>
      </patternFill>
    </fill>
    <fill>
      <patternFill patternType="solid">
        <fgColor theme="1" tint="0.14996795556505021"/>
        <bgColor indexed="64"/>
      </patternFill>
    </fill>
    <fill>
      <patternFill patternType="solid">
        <fgColor rgb="FFFFFF00"/>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00B0F0"/>
        <bgColor indexed="64"/>
      </patternFill>
    </fill>
    <fill>
      <patternFill patternType="solid">
        <fgColor theme="1" tint="0.14999847407452621"/>
        <bgColor indexed="64"/>
      </patternFill>
    </fill>
    <fill>
      <patternFill patternType="solid">
        <fgColor indexed="12"/>
        <bgColor indexed="64"/>
      </patternFill>
    </fill>
    <fill>
      <patternFill patternType="solid">
        <fgColor indexed="4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65"/>
        <bgColor rgb="FFFFFF00"/>
      </patternFill>
    </fill>
    <fill>
      <patternFill patternType="solid">
        <fgColor indexed="65"/>
        <bgColor auto="1"/>
      </patternFill>
    </fill>
    <fill>
      <patternFill patternType="mediumGray">
        <fgColor rgb="FFFFCC00"/>
        <bgColor auto="1"/>
      </patternFill>
    </fill>
    <fill>
      <patternFill patternType="mediumGray">
        <fgColor rgb="FF99CCFF"/>
        <bgColor indexed="9"/>
      </patternFill>
    </fill>
    <fill>
      <patternFill patternType="solid">
        <fgColor auto="1"/>
        <bgColor auto="1"/>
      </patternFill>
    </fill>
    <fill>
      <patternFill patternType="solid">
        <fgColor theme="0"/>
        <bgColor indexed="44"/>
      </patternFill>
    </fill>
    <fill>
      <patternFill patternType="solid">
        <fgColor theme="0" tint="-0.249977111117893"/>
        <bgColor indexed="44"/>
      </patternFill>
    </fill>
    <fill>
      <patternFill patternType="solid">
        <fgColor rgb="FFFFFF00"/>
        <bgColor indexed="44"/>
      </patternFill>
    </fill>
    <fill>
      <patternFill patternType="mediumGray">
        <fgColor indexed="44"/>
        <bgColor theme="1" tint="0.249977111117893"/>
      </patternFill>
    </fill>
    <fill>
      <patternFill patternType="solid">
        <fgColor theme="1" tint="0.249977111117893"/>
        <bgColor indexed="44"/>
      </patternFill>
    </fill>
  </fills>
  <borders count="344">
    <border>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double">
        <color indexed="18"/>
      </left>
      <right/>
      <top style="double">
        <color indexed="18"/>
      </top>
      <bottom/>
      <diagonal/>
    </border>
    <border>
      <left/>
      <right/>
      <top style="double">
        <color indexed="18"/>
      </top>
      <bottom/>
      <diagonal/>
    </border>
    <border>
      <left/>
      <right style="double">
        <color indexed="18"/>
      </right>
      <top style="double">
        <color indexed="18"/>
      </top>
      <bottom/>
      <diagonal/>
    </border>
    <border>
      <left style="double">
        <color indexed="18"/>
      </left>
      <right/>
      <top/>
      <bottom/>
      <diagonal/>
    </border>
    <border>
      <left/>
      <right style="double">
        <color indexed="18"/>
      </right>
      <top/>
      <bottom/>
      <diagonal/>
    </border>
    <border>
      <left style="thick">
        <color rgb="FFFF6600"/>
      </left>
      <right/>
      <top style="thin">
        <color indexed="64"/>
      </top>
      <bottom style="thick">
        <color rgb="FFFF6600"/>
      </bottom>
      <diagonal/>
    </border>
    <border>
      <left/>
      <right/>
      <top style="thin">
        <color indexed="64"/>
      </top>
      <bottom style="thick">
        <color rgb="FFFF6600"/>
      </bottom>
      <diagonal/>
    </border>
    <border>
      <left/>
      <right style="thin">
        <color indexed="64"/>
      </right>
      <top style="thin">
        <color indexed="64"/>
      </top>
      <bottom style="thick">
        <color rgb="FFFF6600"/>
      </bottom>
      <diagonal/>
    </border>
    <border>
      <left style="thin">
        <color indexed="64"/>
      </left>
      <right/>
      <top style="thin">
        <color indexed="64"/>
      </top>
      <bottom style="thick">
        <color rgb="FFFF6600"/>
      </bottom>
      <diagonal/>
    </border>
    <border>
      <left/>
      <right/>
      <top style="thick">
        <color rgb="FFFF6600"/>
      </top>
      <bottom/>
      <diagonal/>
    </border>
    <border>
      <left/>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right style="medium">
        <color indexed="64"/>
      </right>
      <top style="hair">
        <color indexed="64"/>
      </top>
      <bottom/>
      <diagonal/>
    </border>
    <border>
      <left/>
      <right style="thin">
        <color indexed="64"/>
      </right>
      <top/>
      <bottom style="thin">
        <color indexed="64"/>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bottom style="hair">
        <color indexed="64"/>
      </bottom>
      <diagonal/>
    </border>
    <border>
      <left/>
      <right style="medium">
        <color indexed="64"/>
      </right>
      <top style="thin">
        <color indexed="64"/>
      </top>
      <bottom style="thin">
        <color indexed="64"/>
      </bottom>
      <diagonal/>
    </border>
    <border>
      <left style="thin">
        <color indexed="64"/>
      </left>
      <right/>
      <top style="thin">
        <color indexed="64"/>
      </top>
      <bottom style="hair">
        <color indexed="64"/>
      </bottom>
      <diagonal/>
    </border>
    <border>
      <left/>
      <right style="medium">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thin">
        <color indexed="64"/>
      </top>
      <bottom style="hair">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ck">
        <color indexed="53"/>
      </top>
      <bottom/>
      <diagonal/>
    </border>
    <border>
      <left/>
      <right/>
      <top style="thick">
        <color indexed="53"/>
      </top>
      <bottom/>
      <diagonal/>
    </border>
    <border>
      <left/>
      <right style="thick">
        <color indexed="53"/>
      </right>
      <top/>
      <bottom/>
      <diagonal/>
    </border>
    <border>
      <left/>
      <right/>
      <top style="thin">
        <color indexed="64"/>
      </top>
      <bottom style="thick">
        <color indexed="53"/>
      </bottom>
      <diagonal/>
    </border>
    <border>
      <left/>
      <right style="thin">
        <color indexed="64"/>
      </right>
      <top style="thin">
        <color indexed="64"/>
      </top>
      <bottom style="thick">
        <color indexed="53"/>
      </bottom>
      <diagonal/>
    </border>
    <border>
      <left style="thin">
        <color indexed="64"/>
      </left>
      <right/>
      <top style="thin">
        <color indexed="64"/>
      </top>
      <bottom style="thick">
        <color indexed="53"/>
      </bottom>
      <diagonal/>
    </border>
    <border>
      <left style="thick">
        <color rgb="FFFF6600"/>
      </left>
      <right/>
      <top style="thin">
        <color indexed="64"/>
      </top>
      <bottom style="thin">
        <color indexed="64"/>
      </bottom>
      <diagonal/>
    </border>
    <border>
      <left/>
      <right style="thick">
        <color rgb="FFFF6600"/>
      </right>
      <top style="thin">
        <color indexed="64"/>
      </top>
      <bottom style="thin">
        <color indexed="64"/>
      </bottom>
      <diagonal/>
    </border>
    <border>
      <left style="thick">
        <color rgb="FFFF6600"/>
      </left>
      <right/>
      <top/>
      <bottom style="thin">
        <color indexed="64"/>
      </bottom>
      <diagonal/>
    </border>
    <border>
      <left style="thick">
        <color rgb="FFFF6600"/>
      </left>
      <right/>
      <top style="thin">
        <color indexed="64"/>
      </top>
      <bottom/>
      <diagonal/>
    </border>
    <border>
      <left/>
      <right style="thick">
        <color rgb="FFFF6600"/>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right style="hair">
        <color indexed="64"/>
      </right>
      <top/>
      <bottom/>
      <diagonal/>
    </border>
    <border>
      <left style="hair">
        <color indexed="64"/>
      </left>
      <right/>
      <top/>
      <bottom/>
      <diagonal/>
    </border>
    <border>
      <left style="hair">
        <color indexed="64"/>
      </left>
      <right style="hair">
        <color indexed="64"/>
      </right>
      <top/>
      <bottom/>
      <diagonal/>
    </border>
    <border>
      <left style="hair">
        <color indexed="64"/>
      </left>
      <right style="thin">
        <color indexed="64"/>
      </right>
      <top/>
      <bottom/>
      <diagonal/>
    </border>
    <border>
      <left/>
      <right style="hair">
        <color indexed="64"/>
      </right>
      <top/>
      <bottom style="thin">
        <color indexed="64"/>
      </bottom>
      <diagonal/>
    </border>
    <border>
      <left style="hair">
        <color indexed="64"/>
      </left>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hair">
        <color indexed="64"/>
      </right>
      <top style="thin">
        <color indexed="64"/>
      </top>
      <bottom/>
      <diagonal/>
    </border>
    <border>
      <left style="hair">
        <color indexed="64"/>
      </left>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double">
        <color indexed="18"/>
      </left>
      <right/>
      <top/>
      <bottom style="double">
        <color indexed="18"/>
      </bottom>
      <diagonal/>
    </border>
    <border>
      <left/>
      <right/>
      <top/>
      <bottom style="double">
        <color indexed="18"/>
      </bottom>
      <diagonal/>
    </border>
    <border>
      <left/>
      <right style="double">
        <color indexed="18"/>
      </right>
      <top/>
      <bottom style="double">
        <color indexed="18"/>
      </bottom>
      <diagonal/>
    </border>
    <border>
      <left/>
      <right style="medium">
        <color indexed="64"/>
      </right>
      <top style="medium">
        <color indexed="64"/>
      </top>
      <bottom style="thin">
        <color indexed="64"/>
      </bottom>
      <diagonal/>
    </border>
    <border>
      <left style="thick">
        <color indexed="53"/>
      </left>
      <right/>
      <top style="thin">
        <color indexed="64"/>
      </top>
      <bottom style="thick">
        <color indexed="53"/>
      </bottom>
      <diagonal/>
    </border>
    <border>
      <left style="thin">
        <color indexed="64"/>
      </left>
      <right style="thick">
        <color rgb="FFFF6600"/>
      </right>
      <top style="thin">
        <color indexed="64"/>
      </top>
      <bottom style="thin">
        <color indexed="64"/>
      </bottom>
      <diagonal/>
    </border>
    <border>
      <left style="medium">
        <color indexed="64"/>
      </left>
      <right/>
      <top style="thin">
        <color indexed="64"/>
      </top>
      <bottom style="medium">
        <color indexed="64"/>
      </bottom>
      <diagonal/>
    </border>
    <border>
      <left style="thick">
        <color indexed="53"/>
      </left>
      <right/>
      <top/>
      <bottom/>
      <diagonal/>
    </border>
    <border>
      <left style="thin">
        <color indexed="64"/>
      </left>
      <right style="thin">
        <color indexed="64"/>
      </right>
      <top style="thin">
        <color indexed="64"/>
      </top>
      <bottom style="thick">
        <color indexed="53"/>
      </bottom>
      <diagonal/>
    </border>
    <border>
      <left/>
      <right style="thick">
        <color indexed="53"/>
      </right>
      <top style="thin">
        <color indexed="64"/>
      </top>
      <bottom style="thick">
        <color indexed="53"/>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thick">
        <color indexed="53"/>
      </top>
      <bottom/>
      <diagonal/>
    </border>
    <border>
      <left/>
      <right style="thick">
        <color rgb="FFFF6600"/>
      </right>
      <top style="thick">
        <color indexed="53"/>
      </top>
      <bottom/>
      <diagonal/>
    </border>
    <border>
      <left/>
      <right style="thick">
        <color rgb="FFFF6600"/>
      </right>
      <top style="thin">
        <color indexed="64"/>
      </top>
      <bottom style="thick">
        <color rgb="FFFF6600"/>
      </bottom>
      <diagonal/>
    </border>
    <border>
      <left style="thick">
        <color rgb="FFFF6600"/>
      </left>
      <right/>
      <top style="thick">
        <color rgb="FFFF6600"/>
      </top>
      <bottom/>
      <diagonal/>
    </border>
    <border>
      <left style="thick">
        <color theme="1"/>
      </left>
      <right/>
      <top style="thick">
        <color theme="1"/>
      </top>
      <bottom style="thin">
        <color indexed="64"/>
      </bottom>
      <diagonal/>
    </border>
    <border>
      <left/>
      <right/>
      <top style="thick">
        <color theme="1"/>
      </top>
      <bottom style="thin">
        <color indexed="64"/>
      </bottom>
      <diagonal/>
    </border>
    <border>
      <left/>
      <right style="thin">
        <color indexed="64"/>
      </right>
      <top style="thick">
        <color theme="1"/>
      </top>
      <bottom style="thin">
        <color indexed="64"/>
      </bottom>
      <diagonal/>
    </border>
    <border>
      <left style="thin">
        <color indexed="64"/>
      </left>
      <right/>
      <top style="thick">
        <color theme="1"/>
      </top>
      <bottom style="thin">
        <color indexed="64"/>
      </bottom>
      <diagonal/>
    </border>
    <border>
      <left style="thin">
        <color indexed="64"/>
      </left>
      <right style="thin">
        <color indexed="64"/>
      </right>
      <top style="thick">
        <color theme="1"/>
      </top>
      <bottom style="thin">
        <color indexed="64"/>
      </bottom>
      <diagonal/>
    </border>
    <border>
      <left style="thin">
        <color indexed="64"/>
      </left>
      <right style="thick">
        <color theme="1"/>
      </right>
      <top style="thick">
        <color theme="1"/>
      </top>
      <bottom style="thin">
        <color indexed="64"/>
      </bottom>
      <diagonal/>
    </border>
    <border>
      <left style="thick">
        <color theme="1"/>
      </left>
      <right/>
      <top style="thin">
        <color indexed="64"/>
      </top>
      <bottom/>
      <diagonal/>
    </border>
    <border>
      <left style="thin">
        <color indexed="64"/>
      </left>
      <right style="thick">
        <color theme="1"/>
      </right>
      <top style="thin">
        <color indexed="64"/>
      </top>
      <bottom style="thin">
        <color indexed="64"/>
      </bottom>
      <diagonal/>
    </border>
    <border>
      <left style="thick">
        <color theme="1"/>
      </left>
      <right/>
      <top/>
      <bottom style="thick">
        <color theme="1"/>
      </bottom>
      <diagonal/>
    </border>
    <border>
      <left/>
      <right/>
      <top/>
      <bottom style="thick">
        <color theme="1"/>
      </bottom>
      <diagonal/>
    </border>
    <border>
      <left/>
      <right style="thin">
        <color indexed="64"/>
      </right>
      <top/>
      <bottom style="thick">
        <color theme="1"/>
      </bottom>
      <diagonal/>
    </border>
    <border>
      <left style="thin">
        <color indexed="64"/>
      </left>
      <right/>
      <top/>
      <bottom style="thick">
        <color theme="1"/>
      </bottom>
      <diagonal/>
    </border>
    <border>
      <left/>
      <right style="thick">
        <color theme="1"/>
      </right>
      <top/>
      <bottom style="thick">
        <color theme="1"/>
      </bottom>
      <diagonal/>
    </border>
    <border>
      <left/>
      <right style="thick">
        <color rgb="FFFF6600"/>
      </right>
      <top style="thin">
        <color indexed="64"/>
      </top>
      <bottom/>
      <diagonal/>
    </border>
    <border>
      <left/>
      <right style="thick">
        <color rgb="FFFF6600"/>
      </right>
      <top style="medium">
        <color theme="1"/>
      </top>
      <bottom style="thin">
        <color indexed="64"/>
      </bottom>
      <diagonal/>
    </border>
    <border>
      <left/>
      <right/>
      <top style="medium">
        <color theme="1"/>
      </top>
      <bottom style="thin">
        <color indexed="64"/>
      </bottom>
      <diagonal/>
    </border>
    <border>
      <left/>
      <right style="thick">
        <color rgb="FFFF6600"/>
      </right>
      <top style="thick">
        <color rgb="FFFF6600"/>
      </top>
      <bottom/>
      <diagonal/>
    </border>
    <border>
      <left style="thin">
        <color indexed="64"/>
      </left>
      <right style="thick">
        <color theme="1"/>
      </right>
      <top style="thin">
        <color indexed="64"/>
      </top>
      <bottom/>
      <diagonal/>
    </border>
    <border>
      <left/>
      <right/>
      <top style="thick">
        <color theme="1"/>
      </top>
      <bottom/>
      <diagonal/>
    </border>
    <border>
      <left/>
      <right/>
      <top style="thick">
        <color auto="1"/>
      </top>
      <bottom/>
      <diagonal/>
    </border>
    <border>
      <left style="thick">
        <color indexed="53"/>
      </left>
      <right/>
      <top style="thick">
        <color indexed="53"/>
      </top>
      <bottom/>
      <diagonal/>
    </border>
    <border>
      <left/>
      <right/>
      <top style="double">
        <color indexed="18"/>
      </top>
      <bottom style="thick">
        <color theme="1"/>
      </bottom>
      <diagonal/>
    </border>
    <border>
      <left style="thick">
        <color rgb="FFFF6600"/>
      </left>
      <right style="thin">
        <color indexed="64"/>
      </right>
      <top style="thick">
        <color rgb="FFFF6600"/>
      </top>
      <bottom style="thin">
        <color indexed="64"/>
      </bottom>
      <diagonal/>
    </border>
    <border>
      <left style="thin">
        <color indexed="64"/>
      </left>
      <right style="thin">
        <color indexed="64"/>
      </right>
      <top style="thick">
        <color rgb="FFFF6600"/>
      </top>
      <bottom style="thin">
        <color indexed="64"/>
      </bottom>
      <diagonal/>
    </border>
    <border>
      <left style="thin">
        <color indexed="64"/>
      </left>
      <right style="thick">
        <color rgb="FFFF6600"/>
      </right>
      <top style="thick">
        <color rgb="FFFF6600"/>
      </top>
      <bottom style="thin">
        <color indexed="64"/>
      </bottom>
      <diagonal/>
    </border>
    <border>
      <left style="thin">
        <color indexed="64"/>
      </left>
      <right style="thin">
        <color indexed="64"/>
      </right>
      <top style="thin">
        <color indexed="64"/>
      </top>
      <bottom style="thick">
        <color rgb="FFFF6600"/>
      </bottom>
      <diagonal/>
    </border>
    <border>
      <left style="thin">
        <color indexed="64"/>
      </left>
      <right/>
      <top style="thin">
        <color indexed="64"/>
      </top>
      <bottom style="thick">
        <color theme="1"/>
      </bottom>
      <diagonal/>
    </border>
    <border>
      <left/>
      <right style="thin">
        <color indexed="64"/>
      </right>
      <top style="thin">
        <color indexed="64"/>
      </top>
      <bottom style="thick">
        <color theme="1"/>
      </bottom>
      <diagonal/>
    </border>
    <border>
      <left/>
      <right/>
      <top style="thin">
        <color indexed="64"/>
      </top>
      <bottom style="thick">
        <color theme="1"/>
      </bottom>
      <diagonal/>
    </border>
    <border>
      <left/>
      <right/>
      <top style="thin">
        <color indexed="64"/>
      </top>
      <bottom/>
      <diagonal/>
    </border>
    <border>
      <left style="thin">
        <color auto="1"/>
      </left>
      <right style="thin">
        <color auto="1"/>
      </right>
      <top style="thin">
        <color auto="1"/>
      </top>
      <bottom style="medium">
        <color indexed="64"/>
      </bottom>
      <diagonal/>
    </border>
    <border>
      <left/>
      <right style="thin">
        <color indexed="64"/>
      </right>
      <top style="thin">
        <color indexed="64"/>
      </top>
      <bottom/>
      <diagonal/>
    </border>
    <border>
      <left/>
      <right style="medium">
        <color indexed="64"/>
      </right>
      <top style="thin">
        <color indexed="64"/>
      </top>
      <bottom/>
      <diagonal/>
    </border>
    <border>
      <left/>
      <right style="thin">
        <color auto="1"/>
      </right>
      <top style="thick">
        <color rgb="FFFF6600"/>
      </top>
      <bottom/>
      <diagonal/>
    </border>
    <border>
      <left style="thin">
        <color indexed="64"/>
      </left>
      <right/>
      <top style="thick">
        <color rgb="FFFF6600"/>
      </top>
      <bottom style="thin">
        <color indexed="64"/>
      </bottom>
      <diagonal/>
    </border>
    <border>
      <left/>
      <right/>
      <top style="thick">
        <color rgb="FFFF6600"/>
      </top>
      <bottom style="thin">
        <color indexed="64"/>
      </bottom>
      <diagonal/>
    </border>
    <border>
      <left/>
      <right style="thin">
        <color indexed="64"/>
      </right>
      <top style="thick">
        <color rgb="FFFF6600"/>
      </top>
      <bottom style="thin">
        <color indexed="64"/>
      </bottom>
      <diagonal/>
    </border>
    <border>
      <left/>
      <right style="hair">
        <color indexed="64"/>
      </right>
      <top/>
      <bottom style="medium">
        <color indexed="64"/>
      </bottom>
      <diagonal/>
    </border>
    <border>
      <left/>
      <right style="thick">
        <color rgb="FFFF6600"/>
      </right>
      <top/>
      <bottom/>
      <diagonal/>
    </border>
    <border>
      <left/>
      <right/>
      <top/>
      <bottom style="thick">
        <color rgb="FFFF6600"/>
      </bottom>
      <diagonal/>
    </border>
    <border>
      <left/>
      <right style="thick">
        <color rgb="FFFF6600"/>
      </right>
      <top/>
      <bottom style="thick">
        <color rgb="FFFF6600"/>
      </bottom>
      <diagonal/>
    </border>
    <border>
      <left style="thin">
        <color theme="1"/>
      </left>
      <right/>
      <top style="thick">
        <color rgb="FFFF6600"/>
      </top>
      <bottom/>
      <diagonal/>
    </border>
    <border>
      <left style="thin">
        <color theme="1"/>
      </left>
      <right/>
      <top/>
      <bottom/>
      <diagonal/>
    </border>
    <border>
      <left style="thin">
        <color theme="1"/>
      </left>
      <right/>
      <top/>
      <bottom style="thick">
        <color rgb="FFFF6600"/>
      </bottom>
      <diagonal/>
    </border>
    <border>
      <left style="thin">
        <color theme="1"/>
      </left>
      <right/>
      <top style="thin">
        <color theme="1"/>
      </top>
      <bottom/>
      <diagonal/>
    </border>
    <border>
      <left/>
      <right/>
      <top style="thin">
        <color theme="1"/>
      </top>
      <bottom/>
      <diagonal/>
    </border>
    <border>
      <left/>
      <right style="thick">
        <color rgb="FFFF6600"/>
      </right>
      <top style="thin">
        <color theme="1"/>
      </top>
      <bottom/>
      <diagonal/>
    </border>
    <border>
      <left/>
      <right style="thin">
        <color theme="1"/>
      </right>
      <top style="thin">
        <color indexed="64"/>
      </top>
      <bottom style="thin">
        <color indexed="64"/>
      </bottom>
      <diagonal/>
    </border>
    <border>
      <left/>
      <right style="medium">
        <color indexed="64"/>
      </right>
      <top style="thick">
        <color rgb="FFFF6600"/>
      </top>
      <bottom style="thin">
        <color indexed="64"/>
      </bottom>
      <diagonal/>
    </border>
    <border>
      <left style="hair">
        <color indexed="64"/>
      </left>
      <right/>
      <top/>
      <bottom style="medium">
        <color indexed="64"/>
      </bottom>
      <diagonal/>
    </border>
    <border>
      <left/>
      <right style="thin">
        <color theme="1"/>
      </right>
      <top style="thin">
        <color indexed="64"/>
      </top>
      <bottom style="thick">
        <color rgb="FFFF6600"/>
      </bottom>
      <diagonal/>
    </border>
    <border>
      <left style="thick">
        <color auto="1"/>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n">
        <color auto="1"/>
      </bottom>
      <diagonal/>
    </border>
    <border>
      <left/>
      <right style="thick">
        <color auto="1"/>
      </right>
      <top/>
      <bottom style="thin">
        <color auto="1"/>
      </bottom>
      <diagonal/>
    </border>
    <border>
      <left style="thick">
        <color auto="1"/>
      </left>
      <right/>
      <top style="thin">
        <color auto="1"/>
      </top>
      <bottom/>
      <diagonal/>
    </border>
    <border>
      <left/>
      <right style="thick">
        <color auto="1"/>
      </right>
      <top style="thin">
        <color auto="1"/>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thick">
        <color auto="1"/>
      </left>
      <right style="thin">
        <color auto="1"/>
      </right>
      <top style="thick">
        <color auto="1"/>
      </top>
      <bottom style="thin">
        <color auto="1"/>
      </bottom>
      <diagonal/>
    </border>
    <border>
      <left/>
      <right style="thin">
        <color auto="1"/>
      </right>
      <top style="thick">
        <color auto="1"/>
      </top>
      <bottom style="thin">
        <color auto="1"/>
      </bottom>
      <diagonal/>
    </border>
    <border>
      <left style="thin">
        <color auto="1"/>
      </left>
      <right style="thin">
        <color auto="1"/>
      </right>
      <top style="thick">
        <color auto="1"/>
      </top>
      <bottom style="thin">
        <color auto="1"/>
      </bottom>
      <diagonal/>
    </border>
    <border>
      <left style="thin">
        <color auto="1"/>
      </left>
      <right/>
      <top style="thick">
        <color auto="1"/>
      </top>
      <bottom style="thin">
        <color auto="1"/>
      </bottom>
      <diagonal/>
    </border>
    <border>
      <left style="thin">
        <color auto="1"/>
      </left>
      <right style="thick">
        <color auto="1"/>
      </right>
      <top style="thick">
        <color auto="1"/>
      </top>
      <bottom style="thin">
        <color auto="1"/>
      </bottom>
      <diagonal/>
    </border>
    <border>
      <left style="thick">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style="thin">
        <color auto="1"/>
      </right>
      <top style="thin">
        <color auto="1"/>
      </top>
      <bottom style="thick">
        <color auto="1"/>
      </bottom>
      <diagonal/>
    </border>
    <border>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thin">
        <color auto="1"/>
      </left>
      <right/>
      <top style="thin">
        <color auto="1"/>
      </top>
      <bottom style="thick">
        <color auto="1"/>
      </bottom>
      <diagonal/>
    </border>
    <border>
      <left style="thin">
        <color auto="1"/>
      </left>
      <right style="thick">
        <color auto="1"/>
      </right>
      <top style="thin">
        <color auto="1"/>
      </top>
      <bottom style="thick">
        <color auto="1"/>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thin">
        <color indexed="64"/>
      </left>
      <right style="hair">
        <color indexed="64"/>
      </right>
      <top/>
      <bottom style="thin">
        <color indexed="64"/>
      </bottom>
      <diagonal/>
    </border>
    <border>
      <left style="thick">
        <color rgb="FFFF6600"/>
      </left>
      <right style="thin">
        <color indexed="64"/>
      </right>
      <top style="thin">
        <color indexed="64"/>
      </top>
      <bottom style="thick">
        <color rgb="FFFF6600"/>
      </bottom>
      <diagonal/>
    </border>
    <border>
      <left style="thin">
        <color indexed="64"/>
      </left>
      <right style="thick">
        <color rgb="FFFF6600"/>
      </right>
      <top style="thin">
        <color indexed="64"/>
      </top>
      <bottom style="thick">
        <color rgb="FFFF6600"/>
      </bottom>
      <diagonal/>
    </border>
    <border>
      <left style="hair">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thin">
        <color indexed="64"/>
      </left>
      <right/>
      <top style="thick">
        <color rgb="FFFF6600"/>
      </top>
      <bottom/>
      <diagonal/>
    </border>
    <border>
      <left style="thick">
        <color rgb="FFFF6600"/>
      </left>
      <right/>
      <top/>
      <bottom/>
      <diagonal/>
    </border>
    <border>
      <left/>
      <right style="hair">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ck">
        <color indexed="53"/>
      </right>
      <top style="thin">
        <color indexed="64"/>
      </top>
      <bottom style="thin">
        <color indexed="64"/>
      </bottom>
      <diagonal/>
    </border>
    <border>
      <left/>
      <right style="thick">
        <color rgb="FFFF6600"/>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ck">
        <color rgb="FFFF6600"/>
      </top>
      <bottom style="medium">
        <color indexed="64"/>
      </bottom>
      <diagonal/>
    </border>
    <border>
      <left/>
      <right style="thin">
        <color indexed="64"/>
      </right>
      <top style="medium">
        <color indexed="64"/>
      </top>
      <bottom style="thin">
        <color indexed="64"/>
      </bottom>
      <diagonal/>
    </border>
    <border>
      <left style="thin">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right/>
      <top style="thick">
        <color rgb="FFFF6600"/>
      </top>
      <bottom style="thick">
        <color rgb="FFFF6600"/>
      </bottom>
      <diagonal/>
    </border>
    <border>
      <left/>
      <right style="medium">
        <color indexed="64"/>
      </right>
      <top style="thick">
        <color rgb="FFFF6600"/>
      </top>
      <bottom/>
      <diagonal/>
    </border>
    <border>
      <left style="thick">
        <color indexed="53"/>
      </left>
      <right/>
      <top style="thin">
        <color indexed="64"/>
      </top>
      <bottom style="thick">
        <color rgb="FFFF6600"/>
      </bottom>
      <diagonal/>
    </border>
    <border>
      <left style="hair">
        <color auto="1"/>
      </left>
      <right/>
      <top style="thick">
        <color rgb="FFFF6600"/>
      </top>
      <bottom style="thin">
        <color indexed="64"/>
      </bottom>
      <diagonal/>
    </border>
    <border diagonalUp="1">
      <left style="thin">
        <color indexed="64"/>
      </left>
      <right style="thin">
        <color indexed="64"/>
      </right>
      <top style="thin">
        <color indexed="64"/>
      </top>
      <bottom style="thin">
        <color indexed="64"/>
      </bottom>
      <diagonal style="hair">
        <color auto="1"/>
      </diagonal>
    </border>
    <border diagonalUp="1">
      <left style="thick">
        <color rgb="FFFF6600"/>
      </left>
      <right style="thin">
        <color indexed="64"/>
      </right>
      <top style="thin">
        <color indexed="64"/>
      </top>
      <bottom style="thin">
        <color indexed="64"/>
      </bottom>
      <diagonal style="hair">
        <color auto="1"/>
      </diagonal>
    </border>
    <border>
      <left style="thick">
        <color rgb="FFFF6600"/>
      </left>
      <right style="thin">
        <color indexed="64"/>
      </right>
      <top style="thin">
        <color indexed="64"/>
      </top>
      <bottom style="thin">
        <color indexed="64"/>
      </bottom>
      <diagonal/>
    </border>
    <border>
      <left style="thick">
        <color rgb="FFFF6600"/>
      </left>
      <right/>
      <top style="medium">
        <color auto="1"/>
      </top>
      <bottom style="thin">
        <color auto="1"/>
      </bottom>
      <diagonal/>
    </border>
    <border>
      <left style="thick">
        <color rgb="FFFF6600"/>
      </left>
      <right style="thin">
        <color indexed="64"/>
      </right>
      <top/>
      <bottom style="thick">
        <color rgb="FFFF6600"/>
      </bottom>
      <diagonal/>
    </border>
    <border>
      <left style="thin">
        <color indexed="64"/>
      </left>
      <right style="thin">
        <color indexed="64"/>
      </right>
      <top/>
      <bottom style="thick">
        <color rgb="FFFF6600"/>
      </bottom>
      <diagonal/>
    </border>
    <border>
      <left style="thin">
        <color indexed="64"/>
      </left>
      <right style="thick">
        <color rgb="FFFF6600"/>
      </right>
      <top/>
      <bottom/>
      <diagonal/>
    </border>
    <border>
      <left/>
      <right style="thin">
        <color auto="1"/>
      </right>
      <top style="thick">
        <color rgb="FFFF6600"/>
      </top>
      <bottom style="thick">
        <color rgb="FFFF6600"/>
      </bottom>
      <diagonal/>
    </border>
    <border>
      <left style="thin">
        <color indexed="64"/>
      </left>
      <right/>
      <top style="thick">
        <color rgb="FFFF6600"/>
      </top>
      <bottom style="thick">
        <color rgb="FFFF6600"/>
      </bottom>
      <diagonal/>
    </border>
    <border>
      <left style="thick">
        <color rgb="FFFF6600"/>
      </left>
      <right/>
      <top/>
      <bottom style="thick">
        <color rgb="FFFF6600"/>
      </bottom>
      <diagonal/>
    </border>
    <border>
      <left/>
      <right style="thin">
        <color auto="1"/>
      </right>
      <top/>
      <bottom style="thick">
        <color rgb="FFFF6600"/>
      </bottom>
      <diagonal/>
    </border>
    <border>
      <left style="thin">
        <color indexed="64"/>
      </left>
      <right/>
      <top/>
      <bottom style="thick">
        <color rgb="FFFF6600"/>
      </bottom>
      <diagonal/>
    </border>
    <border>
      <left style="medium">
        <color auto="1"/>
      </left>
      <right style="double">
        <color indexed="18"/>
      </right>
      <top/>
      <bottom/>
      <diagonal/>
    </border>
    <border>
      <left/>
      <right style="thick">
        <color indexed="53"/>
      </right>
      <top style="thin">
        <color indexed="64"/>
      </top>
      <bottom style="thick">
        <color rgb="FFFF6600"/>
      </bottom>
      <diagonal/>
    </border>
    <border>
      <left style="thick">
        <color rgb="FFFF6600"/>
      </left>
      <right/>
      <top style="thick">
        <color rgb="FFFF6600"/>
      </top>
      <bottom style="thick">
        <color rgb="FFFF6600"/>
      </bottom>
      <diagonal/>
    </border>
    <border>
      <left style="thin">
        <color indexed="64"/>
      </left>
      <right style="thin">
        <color indexed="64"/>
      </right>
      <top style="thick">
        <color rgb="FFFF6600"/>
      </top>
      <bottom style="thick">
        <color rgb="FFFF6600"/>
      </bottom>
      <diagonal/>
    </border>
    <border>
      <left/>
      <right style="thick">
        <color rgb="FFFF6600"/>
      </right>
      <top style="thick">
        <color rgb="FFFF6600"/>
      </top>
      <bottom style="thick">
        <color rgb="FFFF6600"/>
      </bottom>
      <diagonal/>
    </border>
    <border>
      <left/>
      <right style="thin">
        <color theme="0"/>
      </right>
      <top style="thin">
        <color indexed="64"/>
      </top>
      <bottom style="thick">
        <color indexed="53"/>
      </bottom>
      <diagonal/>
    </border>
    <border>
      <left style="medium">
        <color indexed="64"/>
      </left>
      <right style="thin">
        <color indexed="64"/>
      </right>
      <top/>
      <bottom style="thin">
        <color indexed="64"/>
      </bottom>
      <diagonal/>
    </border>
    <border>
      <left/>
      <right style="thick">
        <color rgb="FFFF6600"/>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ck">
        <color indexed="53"/>
      </right>
      <top style="thick">
        <color indexed="53"/>
      </top>
      <bottom/>
      <diagonal/>
    </border>
    <border>
      <left style="thick">
        <color indexed="53"/>
      </left>
      <right/>
      <top style="thin">
        <color indexed="64"/>
      </top>
      <bottom style="thin">
        <color indexed="64"/>
      </bottom>
      <diagonal/>
    </border>
    <border>
      <left style="thick">
        <color indexed="53"/>
      </left>
      <right/>
      <top style="thin">
        <color indexed="64"/>
      </top>
      <bottom/>
      <diagonal/>
    </border>
    <border>
      <left style="medium">
        <color indexed="64"/>
      </left>
      <right/>
      <top style="thin">
        <color indexed="64"/>
      </top>
      <bottom style="thin">
        <color indexed="64"/>
      </bottom>
      <diagonal/>
    </border>
    <border>
      <left/>
      <right style="thick">
        <color indexed="53"/>
      </right>
      <top style="thin">
        <color indexed="64"/>
      </top>
      <bottom/>
      <diagonal/>
    </border>
    <border>
      <left style="medium">
        <color indexed="64"/>
      </left>
      <right/>
      <top style="thin">
        <color indexed="64"/>
      </top>
      <bottom/>
      <diagonal/>
    </border>
    <border>
      <left/>
      <right style="thick">
        <color rgb="FFFF6600"/>
      </right>
      <top style="thin">
        <color indexed="64"/>
      </top>
      <bottom/>
      <diagonal/>
    </border>
    <border>
      <left/>
      <right style="thick">
        <color rgb="FFFF6600"/>
      </right>
      <top style="thin">
        <color indexed="64"/>
      </top>
      <bottom style="thin">
        <color indexed="64"/>
      </bottom>
      <diagonal/>
    </border>
    <border>
      <left/>
      <right/>
      <top style="thin">
        <color indexed="64"/>
      </top>
      <bottom style="medium">
        <color indexed="64"/>
      </bottom>
      <diagonal/>
    </border>
    <border>
      <left style="thick">
        <color rgb="FFFF6600"/>
      </left>
      <right/>
      <top style="thin">
        <color indexed="64"/>
      </top>
      <bottom style="thin">
        <color indexed="64"/>
      </bottom>
      <diagonal/>
    </border>
    <border>
      <left/>
      <right style="medium">
        <color indexed="64"/>
      </right>
      <top style="thin">
        <color indexed="64"/>
      </top>
      <bottom/>
      <diagonal/>
    </border>
    <border>
      <left/>
      <right style="thick">
        <color rgb="FFFF6600"/>
      </right>
      <top style="medium">
        <color indexed="64"/>
      </top>
      <bottom/>
      <diagonal/>
    </border>
    <border>
      <left style="thick">
        <color rgb="FFFF6600"/>
      </left>
      <right/>
      <top style="thin">
        <color indexed="64"/>
      </top>
      <bottom/>
      <diagonal/>
    </border>
    <border>
      <left/>
      <right style="thin">
        <color indexed="64"/>
      </right>
      <top style="thin">
        <color indexed="64"/>
      </top>
      <bottom style="medium">
        <color indexed="64"/>
      </bottom>
      <diagonal/>
    </border>
    <border>
      <left style="thin">
        <color indexed="64"/>
      </left>
      <right/>
      <top style="thick">
        <color rgb="FFFF6600"/>
      </top>
      <bottom style="medium">
        <color indexed="64"/>
      </bottom>
      <diagonal/>
    </border>
    <border>
      <left/>
      <right style="thick">
        <color rgb="FFFF6600"/>
      </right>
      <top style="thick">
        <color rgb="FFFF6600"/>
      </top>
      <bottom style="medium">
        <color indexed="64"/>
      </bottom>
      <diagonal/>
    </border>
    <border>
      <left/>
      <right style="medium">
        <color auto="1"/>
      </right>
      <top/>
      <bottom style="thick">
        <color rgb="FFFF6600"/>
      </bottom>
      <diagonal/>
    </border>
    <border>
      <left style="thin">
        <color indexed="64"/>
      </left>
      <right style="thick">
        <color rgb="FFFF6600"/>
      </right>
      <top style="thick">
        <color rgb="FFFF6600"/>
      </top>
      <bottom style="thick">
        <color rgb="FFFF6600"/>
      </bottom>
      <diagonal/>
    </border>
    <border>
      <left/>
      <right style="medium">
        <color indexed="64"/>
      </right>
      <top/>
      <bottom style="hair">
        <color indexed="64"/>
      </bottom>
      <diagonal/>
    </border>
    <border>
      <left/>
      <right style="thick">
        <color rgb="FFFF6600"/>
      </right>
      <top/>
      <bottom style="medium">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medium">
        <color indexed="64"/>
      </right>
      <top style="thin">
        <color indexed="64"/>
      </top>
      <bottom style="thick">
        <color rgb="FFFF6600"/>
      </bottom>
      <diagonal/>
    </border>
    <border>
      <left style="thin">
        <color indexed="64"/>
      </left>
      <right style="thin">
        <color indexed="64"/>
      </right>
      <top style="thick">
        <color rgb="FFFF6600"/>
      </top>
      <bottom/>
      <diagonal/>
    </border>
    <border>
      <left/>
      <right style="hair">
        <color indexed="64"/>
      </right>
      <top style="medium">
        <color indexed="64"/>
      </top>
      <bottom style="hair">
        <color indexed="64"/>
      </bottom>
      <diagonal/>
    </border>
    <border>
      <left/>
      <right style="hair">
        <color indexed="64"/>
      </right>
      <top style="hair">
        <color indexed="64"/>
      </top>
      <bottom/>
      <diagonal/>
    </border>
    <border>
      <left/>
      <right style="medium">
        <color auto="1"/>
      </right>
      <top style="thick">
        <color rgb="FFFF6600"/>
      </top>
      <bottom style="medium">
        <color indexed="64"/>
      </bottom>
      <diagonal/>
    </border>
    <border>
      <left/>
      <right style="hair">
        <color indexed="64"/>
      </right>
      <top style="thin">
        <color indexed="64"/>
      </top>
      <bottom style="medium">
        <color indexed="64"/>
      </bottom>
      <diagonal/>
    </border>
    <border>
      <left/>
      <right style="hair">
        <color indexed="64"/>
      </right>
      <top style="thin">
        <color indexed="64"/>
      </top>
      <bottom style="thin">
        <color indexed="64"/>
      </bottom>
      <diagonal/>
    </border>
    <border>
      <left style="thin">
        <color indexed="64"/>
      </left>
      <right style="hair">
        <color indexed="64"/>
      </right>
      <top style="medium">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medium">
        <color indexed="64"/>
      </top>
      <bottom style="thin">
        <color indexed="64"/>
      </bottom>
      <diagonal/>
    </border>
    <border>
      <left style="hair">
        <color indexed="64"/>
      </left>
      <right/>
      <top style="thin">
        <color indexed="64"/>
      </top>
      <bottom style="medium">
        <color indexed="64"/>
      </bottom>
      <diagonal/>
    </border>
    <border>
      <left style="thin">
        <color indexed="64"/>
      </left>
      <right/>
      <top/>
      <bottom style="thick">
        <color indexed="53"/>
      </bottom>
      <diagonal/>
    </border>
    <border>
      <left/>
      <right/>
      <top/>
      <bottom style="thick">
        <color indexed="53"/>
      </bottom>
      <diagonal/>
    </border>
    <border>
      <left/>
      <right style="thin">
        <color indexed="64"/>
      </right>
      <top/>
      <bottom style="thick">
        <color indexed="53"/>
      </bottom>
      <diagonal/>
    </border>
    <border>
      <left/>
      <right style="medium">
        <color indexed="64"/>
      </right>
      <top style="thick">
        <color rgb="FFFF6600"/>
      </top>
      <bottom style="thick">
        <color rgb="FFFF6600"/>
      </bottom>
      <diagonal/>
    </border>
    <border>
      <left style="thin">
        <color indexed="64"/>
      </left>
      <right/>
      <top style="thick">
        <color indexed="53"/>
      </top>
      <bottom style="thin">
        <color indexed="64"/>
      </bottom>
      <diagonal/>
    </border>
    <border>
      <left/>
      <right style="thin">
        <color indexed="64"/>
      </right>
      <top style="thick">
        <color indexed="53"/>
      </top>
      <bottom style="thin">
        <color indexed="64"/>
      </bottom>
      <diagonal/>
    </border>
    <border>
      <left style="thin">
        <color indexed="64"/>
      </left>
      <right style="thin">
        <color indexed="64"/>
      </right>
      <top style="thick">
        <color indexed="53"/>
      </top>
      <bottom style="thin">
        <color indexed="64"/>
      </bottom>
      <diagonal/>
    </border>
    <border>
      <left style="thin">
        <color indexed="64"/>
      </left>
      <right style="medium">
        <color indexed="64"/>
      </right>
      <top style="thick">
        <color indexed="53"/>
      </top>
      <bottom style="thin">
        <color indexed="64"/>
      </bottom>
      <diagonal/>
    </border>
    <border>
      <left style="thick">
        <color rgb="FFFF6600"/>
      </left>
      <right/>
      <top style="thick">
        <color rgb="FFFF6600"/>
      </top>
      <bottom style="thin">
        <color indexed="64"/>
      </bottom>
      <diagonal/>
    </border>
    <border>
      <left/>
      <right style="thick">
        <color rgb="FFFF6600"/>
      </right>
      <top style="thick">
        <color rgb="FFFF6600"/>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ck">
        <color rgb="FFFF6600"/>
      </left>
      <right style="thin">
        <color indexed="64"/>
      </right>
      <top style="thin">
        <color indexed="64"/>
      </top>
      <bottom/>
      <diagonal/>
    </border>
    <border>
      <left style="thin">
        <color indexed="64"/>
      </left>
      <right style="thick">
        <color rgb="FFFF6600"/>
      </right>
      <top style="thin">
        <color indexed="64"/>
      </top>
      <bottom/>
      <diagonal/>
    </border>
    <border>
      <left/>
      <right/>
      <top style="medium">
        <color indexed="64"/>
      </top>
      <bottom style="thick">
        <color rgb="FFFF6600"/>
      </bottom>
      <diagonal/>
    </border>
    <border>
      <left style="thick">
        <color indexed="53"/>
      </left>
      <right/>
      <top/>
      <bottom style="thick">
        <color indexed="53"/>
      </bottom>
      <diagonal/>
    </border>
    <border>
      <left style="thin">
        <color indexed="64"/>
      </left>
      <right style="thin">
        <color indexed="64"/>
      </right>
      <top/>
      <bottom style="thick">
        <color indexed="53"/>
      </bottom>
      <diagonal/>
    </border>
    <border>
      <left/>
      <right style="thin">
        <color theme="0"/>
      </right>
      <top/>
      <bottom style="thick">
        <color indexed="53"/>
      </bottom>
      <diagonal/>
    </border>
    <border>
      <left/>
      <right style="thick">
        <color indexed="53"/>
      </right>
      <top/>
      <bottom style="thick">
        <color indexed="53"/>
      </bottom>
      <diagonal/>
    </border>
    <border>
      <left/>
      <right style="hair">
        <color auto="1"/>
      </right>
      <top style="thick">
        <color rgb="FFFF6600"/>
      </top>
      <bottom/>
      <diagonal/>
    </border>
    <border>
      <left/>
      <right style="hair">
        <color indexed="64"/>
      </right>
      <top style="thick">
        <color rgb="FFFF6600"/>
      </top>
      <bottom style="medium">
        <color indexed="64"/>
      </bottom>
      <diagonal/>
    </border>
    <border>
      <left style="hair">
        <color auto="1"/>
      </left>
      <right/>
      <top style="thick">
        <color rgb="FFFF6600"/>
      </top>
      <bottom style="medium">
        <color indexed="64"/>
      </bottom>
      <diagonal/>
    </border>
    <border>
      <left/>
      <right style="thin">
        <color auto="1"/>
      </right>
      <top style="thick">
        <color rgb="FFFF6600"/>
      </top>
      <bottom style="medium">
        <color indexed="64"/>
      </bottom>
      <diagonal/>
    </border>
    <border>
      <left style="thin">
        <color auto="1"/>
      </left>
      <right style="thin">
        <color auto="1"/>
      </right>
      <top/>
      <bottom style="medium">
        <color indexed="64"/>
      </bottom>
      <diagonal/>
    </border>
    <border>
      <left style="thick">
        <color rgb="FFFF6600"/>
      </left>
      <right style="thin">
        <color indexed="64"/>
      </right>
      <top/>
      <bottom style="thin">
        <color indexed="64"/>
      </bottom>
      <diagonal/>
    </border>
    <border>
      <left style="thick">
        <color rgb="FFFF6600"/>
      </left>
      <right/>
      <top style="thin">
        <color indexed="64"/>
      </top>
      <bottom style="medium">
        <color indexed="64"/>
      </bottom>
      <diagonal/>
    </border>
    <border>
      <left style="thick">
        <color rgb="FFFF6600"/>
      </left>
      <right/>
      <top/>
      <bottom style="medium">
        <color auto="1"/>
      </bottom>
      <diagonal/>
    </border>
    <border>
      <left style="thin">
        <color indexed="64"/>
      </left>
      <right style="medium">
        <color indexed="64"/>
      </right>
      <top style="thin">
        <color indexed="64"/>
      </top>
      <bottom/>
      <diagonal/>
    </border>
    <border>
      <left style="thick">
        <color auto="1"/>
      </left>
      <right style="thin">
        <color auto="1"/>
      </right>
      <top/>
      <bottom style="thin">
        <color auto="1"/>
      </bottom>
      <diagonal/>
    </border>
    <border>
      <left style="thin">
        <color auto="1"/>
      </left>
      <right style="thick">
        <color auto="1"/>
      </right>
      <top/>
      <bottom style="thin">
        <color auto="1"/>
      </bottom>
      <diagonal/>
    </border>
    <border>
      <left/>
      <right style="hair">
        <color indexed="64"/>
      </right>
      <top style="thick">
        <color rgb="FFFF6600"/>
      </top>
      <bottom style="thick">
        <color rgb="FFFF6600"/>
      </bottom>
      <diagonal/>
    </border>
  </borders>
  <cellStyleXfs count="166">
    <xf numFmtId="0" fontId="0" fillId="0" borderId="0">
      <alignment vertical="center"/>
    </xf>
    <xf numFmtId="0" fontId="6" fillId="0" borderId="0"/>
    <xf numFmtId="0" fontId="11" fillId="0" borderId="0"/>
    <xf numFmtId="0" fontId="12" fillId="0" borderId="0">
      <alignment vertical="center"/>
    </xf>
    <xf numFmtId="0" fontId="11" fillId="0" borderId="0">
      <alignment vertical="center"/>
    </xf>
    <xf numFmtId="6" fontId="11" fillId="0" borderId="0" applyFont="0" applyFill="0" applyBorder="0" applyAlignment="0" applyProtection="0">
      <alignment vertical="center"/>
    </xf>
    <xf numFmtId="9" fontId="11" fillId="0" borderId="0" applyFont="0" applyFill="0" applyBorder="0" applyAlignment="0" applyProtection="0">
      <alignment vertical="center"/>
    </xf>
    <xf numFmtId="38" fontId="11" fillId="0" borderId="0" applyFont="0" applyFill="0" applyBorder="0" applyAlignment="0" applyProtection="0">
      <alignment vertical="center"/>
    </xf>
    <xf numFmtId="0" fontId="13" fillId="0" borderId="0" applyNumberFormat="0" applyFill="0" applyBorder="0" applyAlignment="0" applyProtection="0">
      <alignment vertical="center"/>
    </xf>
    <xf numFmtId="0" fontId="11" fillId="0" borderId="0">
      <alignment vertical="center"/>
    </xf>
    <xf numFmtId="0" fontId="21" fillId="0" borderId="0" applyNumberFormat="0" applyFill="0" applyBorder="0" applyAlignment="0" applyProtection="0">
      <alignment vertical="top"/>
      <protection locked="0"/>
    </xf>
    <xf numFmtId="38" fontId="26" fillId="0" borderId="0" applyFont="0" applyFill="0" applyBorder="0" applyAlignment="0" applyProtection="0">
      <alignment vertical="center"/>
    </xf>
    <xf numFmtId="0" fontId="6" fillId="0" borderId="0"/>
    <xf numFmtId="6" fontId="26" fillId="0" borderId="0" applyFont="0" applyFill="0" applyBorder="0" applyAlignment="0" applyProtection="0">
      <alignment vertical="center"/>
    </xf>
    <xf numFmtId="0" fontId="54" fillId="22" borderId="0" applyNumberFormat="0" applyBorder="0" applyAlignment="0" applyProtection="0">
      <alignment vertical="center"/>
    </xf>
    <xf numFmtId="38" fontId="56" fillId="0" borderId="0" applyFont="0" applyFill="0" applyBorder="0" applyAlignment="0" applyProtection="0">
      <alignment vertical="center"/>
    </xf>
    <xf numFmtId="6" fontId="56" fillId="0" borderId="0" applyFont="0" applyFill="0" applyBorder="0" applyAlignment="0" applyProtection="0">
      <alignment vertical="center"/>
    </xf>
    <xf numFmtId="0" fontId="1" fillId="0" borderId="0">
      <alignment vertical="center"/>
    </xf>
    <xf numFmtId="9" fontId="26" fillId="0" borderId="0" applyFont="0" applyFill="0" applyBorder="0" applyAlignment="0" applyProtection="0">
      <alignment vertical="center"/>
    </xf>
    <xf numFmtId="0" fontId="11" fillId="0" borderId="0"/>
    <xf numFmtId="0" fontId="11" fillId="0" borderId="0"/>
    <xf numFmtId="0" fontId="82" fillId="37" borderId="0" applyNumberFormat="0" applyBorder="0" applyAlignment="0" applyProtection="0">
      <alignment vertical="center"/>
    </xf>
    <xf numFmtId="0" fontId="56" fillId="37" borderId="0" applyNumberFormat="0" applyBorder="0" applyAlignment="0" applyProtection="0">
      <alignment vertical="center"/>
    </xf>
    <xf numFmtId="0" fontId="82" fillId="38" borderId="0" applyNumberFormat="0" applyBorder="0" applyAlignment="0" applyProtection="0">
      <alignment vertical="center"/>
    </xf>
    <xf numFmtId="0" fontId="56" fillId="38" borderId="0" applyNumberFormat="0" applyBorder="0" applyAlignment="0" applyProtection="0">
      <alignment vertical="center"/>
    </xf>
    <xf numFmtId="0" fontId="82" fillId="39" borderId="0" applyNumberFormat="0" applyBorder="0" applyAlignment="0" applyProtection="0">
      <alignment vertical="center"/>
    </xf>
    <xf numFmtId="0" fontId="56" fillId="39" borderId="0" applyNumberFormat="0" applyBorder="0" applyAlignment="0" applyProtection="0">
      <alignment vertical="center"/>
    </xf>
    <xf numFmtId="0" fontId="82" fillId="40" borderId="0" applyNumberFormat="0" applyBorder="0" applyAlignment="0" applyProtection="0">
      <alignment vertical="center"/>
    </xf>
    <xf numFmtId="0" fontId="56" fillId="40" borderId="0" applyNumberFormat="0" applyBorder="0" applyAlignment="0" applyProtection="0">
      <alignment vertical="center"/>
    </xf>
    <xf numFmtId="0" fontId="82" fillId="41" borderId="0" applyNumberFormat="0" applyBorder="0" applyAlignment="0" applyProtection="0">
      <alignment vertical="center"/>
    </xf>
    <xf numFmtId="0" fontId="56" fillId="41" borderId="0" applyNumberFormat="0" applyBorder="0" applyAlignment="0" applyProtection="0">
      <alignment vertical="center"/>
    </xf>
    <xf numFmtId="0" fontId="82" fillId="42" borderId="0" applyNumberFormat="0" applyBorder="0" applyAlignment="0" applyProtection="0">
      <alignment vertical="center"/>
    </xf>
    <xf numFmtId="0" fontId="56" fillId="42" borderId="0" applyNumberFormat="0" applyBorder="0" applyAlignment="0" applyProtection="0">
      <alignment vertical="center"/>
    </xf>
    <xf numFmtId="0" fontId="82" fillId="43" borderId="0" applyNumberFormat="0" applyBorder="0" applyAlignment="0" applyProtection="0">
      <alignment vertical="center"/>
    </xf>
    <xf numFmtId="0" fontId="56" fillId="43" borderId="0" applyNumberFormat="0" applyBorder="0" applyAlignment="0" applyProtection="0">
      <alignment vertical="center"/>
    </xf>
    <xf numFmtId="0" fontId="82" fillId="44" borderId="0" applyNumberFormat="0" applyBorder="0" applyAlignment="0" applyProtection="0">
      <alignment vertical="center"/>
    </xf>
    <xf numFmtId="0" fontId="56" fillId="44" borderId="0" applyNumberFormat="0" applyBorder="0" applyAlignment="0" applyProtection="0">
      <alignment vertical="center"/>
    </xf>
    <xf numFmtId="0" fontId="82" fillId="45" borderId="0" applyNumberFormat="0" applyBorder="0" applyAlignment="0" applyProtection="0">
      <alignment vertical="center"/>
    </xf>
    <xf numFmtId="0" fontId="56" fillId="45" borderId="0" applyNumberFormat="0" applyBorder="0" applyAlignment="0" applyProtection="0">
      <alignment vertical="center"/>
    </xf>
    <xf numFmtId="0" fontId="82" fillId="40" borderId="0" applyNumberFormat="0" applyBorder="0" applyAlignment="0" applyProtection="0">
      <alignment vertical="center"/>
    </xf>
    <xf numFmtId="0" fontId="56" fillId="40" borderId="0" applyNumberFormat="0" applyBorder="0" applyAlignment="0" applyProtection="0">
      <alignment vertical="center"/>
    </xf>
    <xf numFmtId="0" fontId="82" fillId="43" borderId="0" applyNumberFormat="0" applyBorder="0" applyAlignment="0" applyProtection="0">
      <alignment vertical="center"/>
    </xf>
    <xf numFmtId="0" fontId="56" fillId="43" borderId="0" applyNumberFormat="0" applyBorder="0" applyAlignment="0" applyProtection="0">
      <alignment vertical="center"/>
    </xf>
    <xf numFmtId="0" fontId="82" fillId="46" borderId="0" applyNumberFormat="0" applyBorder="0" applyAlignment="0" applyProtection="0">
      <alignment vertical="center"/>
    </xf>
    <xf numFmtId="0" fontId="56" fillId="46" borderId="0" applyNumberFormat="0" applyBorder="0" applyAlignment="0" applyProtection="0">
      <alignment vertical="center"/>
    </xf>
    <xf numFmtId="0" fontId="83" fillId="47" borderId="0" applyNumberFormat="0" applyBorder="0" applyAlignment="0" applyProtection="0">
      <alignment vertical="center"/>
    </xf>
    <xf numFmtId="0" fontId="84" fillId="47" borderId="0" applyNumberFormat="0" applyBorder="0" applyAlignment="0" applyProtection="0">
      <alignment vertical="center"/>
    </xf>
    <xf numFmtId="0" fontId="83" fillId="44" borderId="0" applyNumberFormat="0" applyBorder="0" applyAlignment="0" applyProtection="0">
      <alignment vertical="center"/>
    </xf>
    <xf numFmtId="0" fontId="84" fillId="44" borderId="0" applyNumberFormat="0" applyBorder="0" applyAlignment="0" applyProtection="0">
      <alignment vertical="center"/>
    </xf>
    <xf numFmtId="0" fontId="83" fillId="45" borderId="0" applyNumberFormat="0" applyBorder="0" applyAlignment="0" applyProtection="0">
      <alignment vertical="center"/>
    </xf>
    <xf numFmtId="0" fontId="84" fillId="45" borderId="0" applyNumberFormat="0" applyBorder="0" applyAlignment="0" applyProtection="0">
      <alignment vertical="center"/>
    </xf>
    <xf numFmtId="0" fontId="83" fillId="48" borderId="0" applyNumberFormat="0" applyBorder="0" applyAlignment="0" applyProtection="0">
      <alignment vertical="center"/>
    </xf>
    <xf numFmtId="0" fontId="84" fillId="48" borderId="0" applyNumberFormat="0" applyBorder="0" applyAlignment="0" applyProtection="0">
      <alignment vertical="center"/>
    </xf>
    <xf numFmtId="0" fontId="83" fillId="49" borderId="0" applyNumberFormat="0" applyBorder="0" applyAlignment="0" applyProtection="0">
      <alignment vertical="center"/>
    </xf>
    <xf numFmtId="0" fontId="84" fillId="49" borderId="0" applyNumberFormat="0" applyBorder="0" applyAlignment="0" applyProtection="0">
      <alignment vertical="center"/>
    </xf>
    <xf numFmtId="0" fontId="83" fillId="50" borderId="0" applyNumberFormat="0" applyBorder="0" applyAlignment="0" applyProtection="0">
      <alignment vertical="center"/>
    </xf>
    <xf numFmtId="0" fontId="84" fillId="50" borderId="0" applyNumberFormat="0" applyBorder="0" applyAlignment="0" applyProtection="0">
      <alignment vertical="center"/>
    </xf>
    <xf numFmtId="0" fontId="83" fillId="51" borderId="0" applyNumberFormat="0" applyBorder="0" applyAlignment="0" applyProtection="0">
      <alignment vertical="center"/>
    </xf>
    <xf numFmtId="0" fontId="84" fillId="51" borderId="0" applyNumberFormat="0" applyBorder="0" applyAlignment="0" applyProtection="0">
      <alignment vertical="center"/>
    </xf>
    <xf numFmtId="0" fontId="83" fillId="52" borderId="0" applyNumberFormat="0" applyBorder="0" applyAlignment="0" applyProtection="0">
      <alignment vertical="center"/>
    </xf>
    <xf numFmtId="0" fontId="84" fillId="52" borderId="0" applyNumberFormat="0" applyBorder="0" applyAlignment="0" applyProtection="0">
      <alignment vertical="center"/>
    </xf>
    <xf numFmtId="0" fontId="83" fillId="53" borderId="0" applyNumberFormat="0" applyBorder="0" applyAlignment="0" applyProtection="0">
      <alignment vertical="center"/>
    </xf>
    <xf numFmtId="0" fontId="84" fillId="53" borderId="0" applyNumberFormat="0" applyBorder="0" applyAlignment="0" applyProtection="0">
      <alignment vertical="center"/>
    </xf>
    <xf numFmtId="0" fontId="83" fillId="48" borderId="0" applyNumberFormat="0" applyBorder="0" applyAlignment="0" applyProtection="0">
      <alignment vertical="center"/>
    </xf>
    <xf numFmtId="0" fontId="84" fillId="48" borderId="0" applyNumberFormat="0" applyBorder="0" applyAlignment="0" applyProtection="0">
      <alignment vertical="center"/>
    </xf>
    <xf numFmtId="0" fontId="83" fillId="49" borderId="0" applyNumberFormat="0" applyBorder="0" applyAlignment="0" applyProtection="0">
      <alignment vertical="center"/>
    </xf>
    <xf numFmtId="0" fontId="84" fillId="49" borderId="0" applyNumberFormat="0" applyBorder="0" applyAlignment="0" applyProtection="0">
      <alignment vertical="center"/>
    </xf>
    <xf numFmtId="0" fontId="83" fillId="54" borderId="0" applyNumberFormat="0" applyBorder="0" applyAlignment="0" applyProtection="0">
      <alignment vertical="center"/>
    </xf>
    <xf numFmtId="0" fontId="84" fillId="54" borderId="0" applyNumberFormat="0" applyBorder="0" applyAlignment="0" applyProtection="0">
      <alignment vertical="center"/>
    </xf>
    <xf numFmtId="0" fontId="85" fillId="0" borderId="0" applyNumberFormat="0" applyFill="0" applyBorder="0" applyAlignment="0" applyProtection="0">
      <alignment vertical="center"/>
    </xf>
    <xf numFmtId="0" fontId="86" fillId="55" borderId="219" applyNumberFormat="0" applyAlignment="0" applyProtection="0">
      <alignment vertical="center"/>
    </xf>
    <xf numFmtId="0" fontId="87" fillId="55" borderId="219" applyNumberFormat="0" applyAlignment="0" applyProtection="0">
      <alignment vertical="center"/>
    </xf>
    <xf numFmtId="0" fontId="88" fillId="56" borderId="0" applyNumberFormat="0" applyBorder="0" applyAlignment="0" applyProtection="0">
      <alignment vertical="center"/>
    </xf>
    <xf numFmtId="0" fontId="89" fillId="56" borderId="0" applyNumberFormat="0" applyBorder="0" applyAlignment="0" applyProtection="0">
      <alignment vertical="center"/>
    </xf>
    <xf numFmtId="0" fontId="82" fillId="57" borderId="220" applyNumberFormat="0" applyFont="0" applyAlignment="0" applyProtection="0">
      <alignment vertical="center"/>
    </xf>
    <xf numFmtId="0" fontId="56" fillId="57" borderId="220" applyNumberFormat="0" applyFont="0" applyAlignment="0" applyProtection="0">
      <alignment vertical="center"/>
    </xf>
    <xf numFmtId="0" fontId="90" fillId="0" borderId="221" applyNumberFormat="0" applyFill="0" applyAlignment="0" applyProtection="0">
      <alignment vertical="center"/>
    </xf>
    <xf numFmtId="0" fontId="91" fillId="0" borderId="221" applyNumberFormat="0" applyFill="0" applyAlignment="0" applyProtection="0">
      <alignment vertical="center"/>
    </xf>
    <xf numFmtId="0" fontId="92" fillId="38" borderId="0" applyNumberFormat="0" applyBorder="0" applyAlignment="0" applyProtection="0">
      <alignment vertical="center"/>
    </xf>
    <xf numFmtId="0" fontId="92" fillId="38" borderId="0" applyNumberFormat="0" applyBorder="0" applyAlignment="0" applyProtection="0">
      <alignment vertical="center"/>
    </xf>
    <xf numFmtId="0" fontId="92" fillId="38" borderId="0" applyNumberFormat="0" applyBorder="0" applyAlignment="0" applyProtection="0">
      <alignment vertical="center"/>
    </xf>
    <xf numFmtId="0" fontId="93" fillId="38" borderId="0" applyNumberFormat="0" applyBorder="0" applyAlignment="0" applyProtection="0">
      <alignment vertical="center"/>
    </xf>
    <xf numFmtId="0" fontId="94" fillId="58" borderId="222" applyNumberFormat="0" applyAlignment="0" applyProtection="0">
      <alignment vertical="center"/>
    </xf>
    <xf numFmtId="0" fontId="95" fillId="58" borderId="222" applyNumberFormat="0" applyAlignment="0" applyProtection="0">
      <alignment vertical="center"/>
    </xf>
    <xf numFmtId="0" fontId="96" fillId="0" borderId="0" applyNumberFormat="0" applyFill="0" applyBorder="0" applyAlignment="0" applyProtection="0">
      <alignment vertical="center"/>
    </xf>
    <xf numFmtId="0" fontId="97" fillId="0" borderId="0" applyNumberFormat="0" applyFill="0" applyBorder="0" applyAlignment="0" applyProtection="0">
      <alignment vertical="center"/>
    </xf>
    <xf numFmtId="0" fontId="98" fillId="0" borderId="223" applyNumberFormat="0" applyFill="0" applyAlignment="0" applyProtection="0">
      <alignment vertical="center"/>
    </xf>
    <xf numFmtId="0" fontId="71" fillId="0" borderId="223" applyNumberFormat="0" applyFill="0" applyAlignment="0" applyProtection="0">
      <alignment vertical="center"/>
    </xf>
    <xf numFmtId="0" fontId="99" fillId="0" borderId="224" applyNumberFormat="0" applyFill="0" applyAlignment="0" applyProtection="0">
      <alignment vertical="center"/>
    </xf>
    <xf numFmtId="0" fontId="100" fillId="0" borderId="224" applyNumberFormat="0" applyFill="0" applyAlignment="0" applyProtection="0">
      <alignment vertical="center"/>
    </xf>
    <xf numFmtId="0" fontId="101" fillId="0" borderId="225" applyNumberFormat="0" applyFill="0" applyAlignment="0" applyProtection="0">
      <alignment vertical="center"/>
    </xf>
    <xf numFmtId="0" fontId="102" fillId="0" borderId="225" applyNumberFormat="0" applyFill="0" applyAlignment="0" applyProtection="0">
      <alignment vertical="center"/>
    </xf>
    <xf numFmtId="0" fontId="101"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103" fillId="0" borderId="226" applyNumberFormat="0" applyFill="0" applyAlignment="0" applyProtection="0">
      <alignment vertical="center"/>
    </xf>
    <xf numFmtId="0" fontId="104" fillId="0" borderId="226" applyNumberFormat="0" applyFill="0" applyAlignment="0" applyProtection="0">
      <alignment vertical="center"/>
    </xf>
    <xf numFmtId="0" fontId="105" fillId="58" borderId="227" applyNumberFormat="0" applyAlignment="0" applyProtection="0">
      <alignment vertical="center"/>
    </xf>
    <xf numFmtId="0" fontId="106" fillId="58" borderId="227" applyNumberFormat="0" applyAlignment="0" applyProtection="0">
      <alignment vertical="center"/>
    </xf>
    <xf numFmtId="0" fontId="107"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9" fillId="42" borderId="222" applyNumberFormat="0" applyAlignment="0" applyProtection="0">
      <alignment vertical="center"/>
    </xf>
    <xf numFmtId="0" fontId="110" fillId="42" borderId="222" applyNumberFormat="0" applyAlignment="0" applyProtection="0">
      <alignment vertical="center"/>
    </xf>
    <xf numFmtId="0" fontId="11" fillId="0" borderId="0"/>
    <xf numFmtId="0" fontId="11" fillId="0" borderId="0"/>
    <xf numFmtId="0" fontId="11" fillId="0" borderId="0"/>
    <xf numFmtId="0" fontId="11" fillId="0" borderId="0"/>
    <xf numFmtId="0" fontId="11"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11" fillId="0" borderId="0"/>
    <xf numFmtId="0" fontId="11" fillId="0" borderId="0"/>
    <xf numFmtId="0" fontId="111" fillId="39" borderId="0" applyNumberFormat="0" applyBorder="0" applyAlignment="0" applyProtection="0">
      <alignment vertical="center"/>
    </xf>
    <xf numFmtId="0" fontId="112" fillId="39" borderId="0" applyNumberFormat="0" applyBorder="0" applyAlignment="0" applyProtection="0">
      <alignment vertical="center"/>
    </xf>
    <xf numFmtId="0" fontId="12" fillId="0" borderId="0">
      <alignment vertical="center"/>
    </xf>
    <xf numFmtId="0" fontId="125" fillId="0" borderId="0"/>
    <xf numFmtId="0" fontId="126" fillId="0" borderId="0" applyNumberFormat="0" applyFill="0" applyBorder="0" applyAlignment="0" applyProtection="0">
      <alignment vertical="top"/>
      <protection locked="0"/>
    </xf>
    <xf numFmtId="0" fontId="82" fillId="57" borderId="220" applyNumberFormat="0" applyFont="0" applyAlignment="0" applyProtection="0">
      <alignment vertical="center"/>
    </xf>
    <xf numFmtId="0" fontId="56" fillId="57" borderId="220" applyNumberFormat="0" applyFont="0" applyAlignment="0" applyProtection="0">
      <alignment vertical="center"/>
    </xf>
    <xf numFmtId="0" fontId="94" fillId="58" borderId="222" applyNumberFormat="0" applyAlignment="0" applyProtection="0">
      <alignment vertical="center"/>
    </xf>
    <xf numFmtId="0" fontId="95" fillId="58" borderId="222" applyNumberFormat="0" applyAlignment="0" applyProtection="0">
      <alignment vertical="center"/>
    </xf>
    <xf numFmtId="0" fontId="101" fillId="0" borderId="225" applyNumberFormat="0" applyFill="0" applyAlignment="0" applyProtection="0">
      <alignment vertical="center"/>
    </xf>
    <xf numFmtId="0" fontId="102" fillId="0" borderId="225" applyNumberFormat="0" applyFill="0" applyAlignment="0" applyProtection="0">
      <alignment vertical="center"/>
    </xf>
    <xf numFmtId="0" fontId="103" fillId="0" borderId="226" applyNumberFormat="0" applyFill="0" applyAlignment="0" applyProtection="0">
      <alignment vertical="center"/>
    </xf>
    <xf numFmtId="0" fontId="104" fillId="0" borderId="226" applyNumberFormat="0" applyFill="0" applyAlignment="0" applyProtection="0">
      <alignment vertical="center"/>
    </xf>
    <xf numFmtId="0" fontId="105" fillId="58" borderId="227" applyNumberFormat="0" applyAlignment="0" applyProtection="0">
      <alignment vertical="center"/>
    </xf>
    <xf numFmtId="0" fontId="106" fillId="58" borderId="227" applyNumberFormat="0" applyAlignment="0" applyProtection="0">
      <alignment vertical="center"/>
    </xf>
    <xf numFmtId="0" fontId="127" fillId="0" borderId="0"/>
    <xf numFmtId="0" fontId="109" fillId="42" borderId="222" applyNumberFormat="0" applyAlignment="0" applyProtection="0">
      <alignment vertical="center"/>
    </xf>
    <xf numFmtId="0" fontId="110" fillId="42" borderId="222" applyNumberFormat="0" applyAlignment="0" applyProtection="0">
      <alignment vertical="center"/>
    </xf>
    <xf numFmtId="0" fontId="128" fillId="0" borderId="0">
      <alignment vertical="center"/>
    </xf>
    <xf numFmtId="0" fontId="82" fillId="57" borderId="297" applyNumberFormat="0" applyFont="0" applyAlignment="0" applyProtection="0">
      <alignment vertical="center"/>
    </xf>
    <xf numFmtId="0" fontId="56" fillId="57" borderId="297" applyNumberFormat="0" applyFont="0" applyAlignment="0" applyProtection="0">
      <alignment vertical="center"/>
    </xf>
    <xf numFmtId="0" fontId="94" fillId="58" borderId="298" applyNumberFormat="0" applyAlignment="0" applyProtection="0">
      <alignment vertical="center"/>
    </xf>
    <xf numFmtId="0" fontId="95" fillId="58" borderId="298" applyNumberFormat="0" applyAlignment="0" applyProtection="0">
      <alignment vertical="center"/>
    </xf>
    <xf numFmtId="0" fontId="103" fillId="0" borderId="299" applyNumberFormat="0" applyFill="0" applyAlignment="0" applyProtection="0">
      <alignment vertical="center"/>
    </xf>
    <xf numFmtId="0" fontId="104" fillId="0" borderId="299" applyNumberFormat="0" applyFill="0" applyAlignment="0" applyProtection="0">
      <alignment vertical="center"/>
    </xf>
    <xf numFmtId="0" fontId="105" fillId="58" borderId="300" applyNumberFormat="0" applyAlignment="0" applyProtection="0">
      <alignment vertical="center"/>
    </xf>
    <xf numFmtId="0" fontId="106" fillId="58" borderId="300" applyNumberFormat="0" applyAlignment="0" applyProtection="0">
      <alignment vertical="center"/>
    </xf>
    <xf numFmtId="0" fontId="109" fillId="42" borderId="298" applyNumberFormat="0" applyAlignment="0" applyProtection="0">
      <alignment vertical="center"/>
    </xf>
    <xf numFmtId="0" fontId="110" fillId="42" borderId="298" applyNumberFormat="0" applyAlignment="0" applyProtection="0">
      <alignment vertical="center"/>
    </xf>
    <xf numFmtId="0" fontId="82" fillId="57" borderId="297" applyNumberFormat="0" applyFont="0" applyAlignment="0" applyProtection="0">
      <alignment vertical="center"/>
    </xf>
    <xf numFmtId="0" fontId="56" fillId="57" borderId="297" applyNumberFormat="0" applyFont="0" applyAlignment="0" applyProtection="0">
      <alignment vertical="center"/>
    </xf>
    <xf numFmtId="0" fontId="94" fillId="58" borderId="298" applyNumberFormat="0" applyAlignment="0" applyProtection="0">
      <alignment vertical="center"/>
    </xf>
    <xf numFmtId="0" fontId="95" fillId="58" borderId="298" applyNumberFormat="0" applyAlignment="0" applyProtection="0">
      <alignment vertical="center"/>
    </xf>
    <xf numFmtId="0" fontId="103" fillId="0" borderId="299" applyNumberFormat="0" applyFill="0" applyAlignment="0" applyProtection="0">
      <alignment vertical="center"/>
    </xf>
    <xf numFmtId="0" fontId="104" fillId="0" borderId="299" applyNumberFormat="0" applyFill="0" applyAlignment="0" applyProtection="0">
      <alignment vertical="center"/>
    </xf>
    <xf numFmtId="0" fontId="105" fillId="58" borderId="300" applyNumberFormat="0" applyAlignment="0" applyProtection="0">
      <alignment vertical="center"/>
    </xf>
    <xf numFmtId="0" fontId="106" fillId="58" borderId="300" applyNumberFormat="0" applyAlignment="0" applyProtection="0">
      <alignment vertical="center"/>
    </xf>
    <xf numFmtId="0" fontId="109" fillId="42" borderId="298" applyNumberFormat="0" applyAlignment="0" applyProtection="0">
      <alignment vertical="center"/>
    </xf>
    <xf numFmtId="0" fontId="110" fillId="42" borderId="298" applyNumberFormat="0" applyAlignment="0" applyProtection="0">
      <alignment vertical="center"/>
    </xf>
  </cellStyleXfs>
  <cellXfs count="3239">
    <xf numFmtId="0" fontId="0" fillId="0" borderId="0" xfId="0">
      <alignment vertical="center"/>
    </xf>
    <xf numFmtId="0" fontId="10" fillId="0" borderId="0" xfId="2" applyFont="1" applyFill="1" applyAlignment="1"/>
    <xf numFmtId="0" fontId="15" fillId="0" borderId="0" xfId="4" applyNumberFormat="1" applyFont="1" applyFill="1" applyBorder="1" applyProtection="1">
      <alignment vertical="center"/>
      <protection hidden="1"/>
    </xf>
    <xf numFmtId="0" fontId="15" fillId="5" borderId="0" xfId="4" applyNumberFormat="1" applyFont="1" applyFill="1" applyBorder="1" applyProtection="1">
      <alignment vertical="center"/>
      <protection hidden="1"/>
    </xf>
    <xf numFmtId="0" fontId="16" fillId="0" borderId="0" xfId="4" applyFont="1" applyProtection="1">
      <alignment vertical="center"/>
      <protection hidden="1"/>
    </xf>
    <xf numFmtId="0" fontId="17" fillId="0" borderId="0" xfId="2" applyFont="1" applyFill="1" applyAlignment="1"/>
    <xf numFmtId="49" fontId="18" fillId="0" borderId="0" xfId="4" applyNumberFormat="1" applyFont="1" applyFill="1" applyAlignment="1">
      <alignment horizontal="left" vertical="center"/>
    </xf>
    <xf numFmtId="0" fontId="16" fillId="0" borderId="0" xfId="4" applyFont="1" applyFill="1" applyProtection="1">
      <alignment vertical="center"/>
      <protection hidden="1"/>
    </xf>
    <xf numFmtId="0" fontId="17" fillId="3" borderId="6" xfId="2" applyFont="1" applyFill="1" applyBorder="1" applyAlignment="1"/>
    <xf numFmtId="0" fontId="17" fillId="0" borderId="6" xfId="2" applyFont="1" applyFill="1" applyBorder="1" applyAlignment="1"/>
    <xf numFmtId="0" fontId="15" fillId="0" borderId="0" xfId="4" applyFont="1" applyProtection="1">
      <alignment vertical="center"/>
      <protection hidden="1"/>
    </xf>
    <xf numFmtId="0" fontId="15" fillId="0" borderId="0" xfId="4" applyFont="1" applyFill="1" applyProtection="1">
      <alignment vertical="center"/>
      <protection hidden="1"/>
    </xf>
    <xf numFmtId="0" fontId="15" fillId="0" borderId="0" xfId="6" applyNumberFormat="1" applyFont="1" applyFill="1" applyBorder="1" applyProtection="1">
      <alignment vertical="center"/>
      <protection hidden="1"/>
    </xf>
    <xf numFmtId="0" fontId="5" fillId="0" borderId="0" xfId="4" applyFont="1" applyBorder="1" applyProtection="1">
      <alignment vertical="center"/>
      <protection hidden="1"/>
    </xf>
    <xf numFmtId="0" fontId="15" fillId="0" borderId="0" xfId="4" applyNumberFormat="1" applyFont="1" applyFill="1" applyBorder="1" applyProtection="1">
      <alignment vertical="center"/>
      <protection locked="0" hidden="1"/>
    </xf>
    <xf numFmtId="0" fontId="15" fillId="0" borderId="0" xfId="4" applyNumberFormat="1" applyFont="1" applyFill="1" applyProtection="1">
      <alignment vertical="center"/>
      <protection hidden="1"/>
    </xf>
    <xf numFmtId="0" fontId="5" fillId="9" borderId="0" xfId="4" applyNumberFormat="1" applyFont="1" applyFill="1" applyProtection="1">
      <alignment vertical="center"/>
      <protection hidden="1"/>
    </xf>
    <xf numFmtId="0" fontId="5" fillId="5" borderId="0" xfId="4" applyNumberFormat="1" applyFont="1" applyFill="1" applyProtection="1">
      <alignment vertical="center"/>
      <protection hidden="1"/>
    </xf>
    <xf numFmtId="0" fontId="9" fillId="2" borderId="6" xfId="4" applyFont="1" applyFill="1" applyBorder="1" applyAlignment="1" applyProtection="1">
      <alignment vertical="center" shrinkToFit="1"/>
      <protection hidden="1"/>
    </xf>
    <xf numFmtId="0" fontId="15" fillId="0" borderId="0" xfId="4" applyNumberFormat="1" applyFont="1" applyFill="1" applyProtection="1">
      <alignment vertical="center"/>
      <protection locked="0" hidden="1"/>
    </xf>
    <xf numFmtId="0" fontId="5" fillId="5" borderId="6" xfId="4" applyNumberFormat="1" applyFont="1" applyFill="1" applyBorder="1" applyProtection="1">
      <alignment vertical="center"/>
      <protection locked="0" hidden="1"/>
    </xf>
    <xf numFmtId="0" fontId="15" fillId="0" borderId="0" xfId="4" applyNumberFormat="1" applyFont="1" applyFill="1" applyBorder="1" applyProtection="1">
      <alignment vertical="center"/>
      <protection hidden="1"/>
    </xf>
    <xf numFmtId="0" fontId="16" fillId="0" borderId="0" xfId="4" applyFont="1" applyFill="1" applyProtection="1">
      <alignment vertical="center"/>
      <protection hidden="1"/>
    </xf>
    <xf numFmtId="0" fontId="15" fillId="0" borderId="0" xfId="4" applyFont="1" applyFill="1" applyProtection="1">
      <alignment vertical="center"/>
      <protection hidden="1"/>
    </xf>
    <xf numFmtId="0" fontId="15" fillId="0" borderId="0" xfId="4" applyNumberFormat="1" applyFont="1" applyFill="1" applyProtection="1">
      <alignment vertical="center"/>
      <protection hidden="1"/>
    </xf>
    <xf numFmtId="0" fontId="5" fillId="6" borderId="0" xfId="4" applyNumberFormat="1" applyFont="1" applyFill="1" applyProtection="1">
      <alignment vertical="center"/>
      <protection hidden="1"/>
    </xf>
    <xf numFmtId="0" fontId="5" fillId="5" borderId="6" xfId="4" applyNumberFormat="1" applyFont="1" applyFill="1" applyBorder="1" applyProtection="1">
      <alignment vertical="center"/>
      <protection hidden="1"/>
    </xf>
    <xf numFmtId="0" fontId="15" fillId="0" borderId="0" xfId="4" applyNumberFormat="1" applyFont="1" applyFill="1" applyBorder="1" applyAlignment="1" applyProtection="1">
      <alignment vertical="center" shrinkToFit="1"/>
      <protection hidden="1"/>
    </xf>
    <xf numFmtId="0" fontId="15" fillId="0" borderId="0" xfId="4" applyNumberFormat="1" applyFont="1" applyFill="1" applyBorder="1" applyAlignment="1" applyProtection="1">
      <alignment vertical="center" shrinkToFit="1"/>
      <protection locked="0"/>
    </xf>
    <xf numFmtId="0" fontId="15" fillId="0" borderId="0" xfId="4" applyFont="1" applyFill="1" applyBorder="1" applyAlignment="1" applyProtection="1">
      <alignment vertical="center"/>
      <protection locked="0"/>
    </xf>
    <xf numFmtId="0" fontId="16" fillId="11" borderId="0" xfId="4" applyFont="1" applyFill="1" applyProtection="1">
      <alignment vertical="center"/>
      <protection hidden="1"/>
    </xf>
    <xf numFmtId="0" fontId="15" fillId="11" borderId="0" xfId="4" applyNumberFormat="1" applyFont="1" applyFill="1" applyBorder="1" applyProtection="1">
      <alignment vertical="center"/>
      <protection hidden="1"/>
    </xf>
    <xf numFmtId="0" fontId="15" fillId="11" borderId="0" xfId="4" applyFont="1" applyFill="1" applyProtection="1">
      <alignment vertical="center"/>
      <protection hidden="1"/>
    </xf>
    <xf numFmtId="0" fontId="15" fillId="11" borderId="0" xfId="4" applyNumberFormat="1" applyFont="1" applyFill="1" applyProtection="1">
      <alignment vertical="center"/>
      <protection hidden="1"/>
    </xf>
    <xf numFmtId="0" fontId="15" fillId="12" borderId="0" xfId="4" applyNumberFormat="1" applyFont="1" applyFill="1" applyBorder="1" applyAlignment="1" applyProtection="1">
      <alignment vertical="center" shrinkToFit="1"/>
      <protection hidden="1"/>
    </xf>
    <xf numFmtId="0" fontId="15" fillId="12" borderId="0" xfId="7" applyNumberFormat="1" applyFont="1" applyFill="1" applyBorder="1" applyAlignment="1" applyProtection="1">
      <alignment vertical="center" shrinkToFit="1"/>
      <protection hidden="1"/>
    </xf>
    <xf numFmtId="0" fontId="15" fillId="11" borderId="0" xfId="4" applyNumberFormat="1" applyFont="1" applyFill="1" applyBorder="1" applyAlignment="1" applyProtection="1">
      <alignment vertical="center" shrinkToFit="1"/>
      <protection hidden="1"/>
    </xf>
    <xf numFmtId="0" fontId="15" fillId="11" borderId="0" xfId="4" applyNumberFormat="1" applyFont="1" applyFill="1" applyBorder="1" applyAlignment="1" applyProtection="1">
      <alignment vertical="center" shrinkToFit="1"/>
      <protection locked="0"/>
    </xf>
    <xf numFmtId="0" fontId="15" fillId="12" borderId="0" xfId="4" applyNumberFormat="1" applyFont="1" applyFill="1" applyBorder="1" applyAlignment="1" applyProtection="1">
      <alignment horizontal="center" vertical="center" shrinkToFit="1"/>
      <protection hidden="1"/>
    </xf>
    <xf numFmtId="0" fontId="15" fillId="11" borderId="0" xfId="4" applyFont="1" applyFill="1" applyBorder="1" applyAlignment="1" applyProtection="1">
      <alignment vertical="center"/>
      <protection locked="0"/>
    </xf>
    <xf numFmtId="0" fontId="15" fillId="0" borderId="0" xfId="7" applyNumberFormat="1" applyFont="1" applyFill="1" applyBorder="1" applyAlignment="1" applyProtection="1">
      <alignment vertical="center" shrinkToFit="1"/>
      <protection hidden="1"/>
    </xf>
    <xf numFmtId="0" fontId="15" fillId="0" borderId="0" xfId="4" applyNumberFormat="1" applyFont="1" applyFill="1" applyBorder="1" applyAlignment="1" applyProtection="1">
      <alignment horizontal="center" vertical="center" shrinkToFit="1"/>
      <protection hidden="1"/>
    </xf>
    <xf numFmtId="49" fontId="20" fillId="0" borderId="0" xfId="4" applyNumberFormat="1" applyFont="1" applyFill="1">
      <alignment vertical="center"/>
    </xf>
    <xf numFmtId="0" fontId="20" fillId="0" borderId="0" xfId="4" applyFont="1" applyProtection="1">
      <alignment vertical="center"/>
      <protection hidden="1"/>
    </xf>
    <xf numFmtId="49" fontId="20" fillId="0" borderId="0" xfId="4" applyNumberFormat="1" applyFont="1" applyFill="1" applyAlignment="1">
      <alignment horizontal="left" vertical="center"/>
    </xf>
    <xf numFmtId="0" fontId="17" fillId="13" borderId="6" xfId="2" applyFont="1" applyFill="1" applyBorder="1" applyAlignment="1"/>
    <xf numFmtId="0" fontId="15" fillId="5" borderId="0" xfId="4" applyNumberFormat="1" applyFont="1" applyFill="1" applyAlignment="1" applyProtection="1">
      <alignment vertical="center"/>
      <protection hidden="1"/>
    </xf>
    <xf numFmtId="0" fontId="15" fillId="0" borderId="0" xfId="4" applyNumberFormat="1" applyFont="1" applyFill="1" applyBorder="1" applyAlignment="1" applyProtection="1">
      <alignment vertical="center"/>
      <protection hidden="1"/>
    </xf>
    <xf numFmtId="49" fontId="18" fillId="0" borderId="0" xfId="4" applyNumberFormat="1" applyFont="1" applyFill="1" applyAlignment="1">
      <alignment vertical="center"/>
    </xf>
    <xf numFmtId="49" fontId="17" fillId="0" borderId="6" xfId="4" quotePrefix="1" applyNumberFormat="1" applyFont="1" applyFill="1" applyBorder="1" applyAlignment="1">
      <alignment vertical="center"/>
    </xf>
    <xf numFmtId="49" fontId="17" fillId="0" borderId="6" xfId="4" quotePrefix="1" applyNumberFormat="1" applyFont="1" applyFill="1" applyBorder="1" applyAlignment="1">
      <alignment horizontal="left" vertical="center"/>
    </xf>
    <xf numFmtId="49" fontId="17" fillId="0" borderId="6" xfId="4" applyNumberFormat="1" applyFont="1" applyFill="1" applyBorder="1" applyAlignment="1">
      <alignment vertical="center"/>
    </xf>
    <xf numFmtId="49" fontId="17" fillId="0" borderId="6" xfId="4" applyNumberFormat="1" applyFont="1" applyFill="1" applyBorder="1" applyAlignment="1">
      <alignment horizontal="left" vertical="center"/>
    </xf>
    <xf numFmtId="49" fontId="17" fillId="13" borderId="6" xfId="4" applyNumberFormat="1" applyFont="1" applyFill="1" applyBorder="1" applyAlignment="1">
      <alignment vertical="center"/>
    </xf>
    <xf numFmtId="49" fontId="17" fillId="13" borderId="6" xfId="4" applyNumberFormat="1" applyFont="1" applyFill="1" applyBorder="1" applyAlignment="1">
      <alignment horizontal="left" vertical="center"/>
    </xf>
    <xf numFmtId="0" fontId="20" fillId="0" borderId="0" xfId="4" applyFont="1" applyAlignment="1" applyProtection="1">
      <alignment vertical="center"/>
      <protection hidden="1"/>
    </xf>
    <xf numFmtId="49" fontId="20" fillId="0" borderId="0" xfId="4" applyNumberFormat="1" applyFont="1" applyFill="1" applyAlignment="1">
      <alignment vertical="center"/>
    </xf>
    <xf numFmtId="0" fontId="23" fillId="0" borderId="0" xfId="2" applyFont="1" applyAlignment="1">
      <alignment vertical="center"/>
    </xf>
    <xf numFmtId="49" fontId="15" fillId="0" borderId="0" xfId="4" applyNumberFormat="1" applyFont="1" applyAlignment="1" applyProtection="1">
      <alignment vertical="center"/>
      <protection hidden="1"/>
    </xf>
    <xf numFmtId="0" fontId="19" fillId="0" borderId="0" xfId="2" applyFont="1" applyFill="1" applyAlignment="1"/>
    <xf numFmtId="0" fontId="5" fillId="0" borderId="0" xfId="4" applyFont="1" applyProtection="1">
      <alignment vertical="center"/>
      <protection hidden="1"/>
    </xf>
    <xf numFmtId="0" fontId="23" fillId="0" borderId="0" xfId="2" applyFont="1" applyFill="1" applyAlignment="1"/>
    <xf numFmtId="0" fontId="19" fillId="3" borderId="6" xfId="2" applyFont="1" applyFill="1" applyBorder="1" applyAlignment="1">
      <alignment vertical="center"/>
    </xf>
    <xf numFmtId="0" fontId="5" fillId="3" borderId="6" xfId="3" applyFont="1" applyFill="1" applyBorder="1" applyAlignment="1">
      <alignment vertical="center"/>
    </xf>
    <xf numFmtId="0" fontId="19" fillId="3" borderId="6" xfId="2" applyFont="1" applyFill="1" applyBorder="1" applyAlignment="1"/>
    <xf numFmtId="0" fontId="19" fillId="0" borderId="6" xfId="2" applyFont="1" applyFill="1" applyBorder="1" applyAlignment="1">
      <alignment vertical="center"/>
    </xf>
    <xf numFmtId="0" fontId="5" fillId="4" borderId="6" xfId="4" applyFont="1" applyFill="1" applyBorder="1" applyProtection="1">
      <alignment vertical="center"/>
      <protection hidden="1"/>
    </xf>
    <xf numFmtId="0" fontId="15" fillId="4" borderId="6" xfId="4" applyNumberFormat="1" applyFont="1" applyFill="1" applyBorder="1" applyAlignment="1" applyProtection="1">
      <alignment vertical="center"/>
      <protection hidden="1"/>
    </xf>
    <xf numFmtId="0" fontId="19" fillId="0" borderId="6" xfId="2" applyFont="1" applyFill="1" applyBorder="1" applyAlignment="1"/>
    <xf numFmtId="0" fontId="19" fillId="4" borderId="6" xfId="2" applyFont="1" applyFill="1" applyBorder="1" applyAlignment="1"/>
    <xf numFmtId="0" fontId="23" fillId="4" borderId="6" xfId="2" applyFont="1" applyFill="1" applyBorder="1" applyAlignment="1"/>
    <xf numFmtId="0" fontId="5" fillId="4" borderId="6" xfId="4" applyNumberFormat="1" applyFont="1" applyFill="1" applyBorder="1" applyProtection="1">
      <alignment vertical="center"/>
      <protection hidden="1"/>
    </xf>
    <xf numFmtId="0" fontId="19" fillId="14" borderId="6" xfId="2" applyFont="1" applyFill="1" applyBorder="1" applyAlignment="1">
      <alignment vertical="center"/>
    </xf>
    <xf numFmtId="49" fontId="5" fillId="14" borderId="6" xfId="4" applyNumberFormat="1" applyFont="1" applyFill="1" applyBorder="1" applyProtection="1">
      <alignment vertical="center"/>
      <protection hidden="1"/>
    </xf>
    <xf numFmtId="0" fontId="24" fillId="0" borderId="6" xfId="2" applyFont="1" applyFill="1" applyBorder="1" applyAlignment="1">
      <alignment horizontal="left" vertical="center"/>
    </xf>
    <xf numFmtId="0" fontId="19" fillId="0" borderId="6" xfId="2" applyFont="1" applyFill="1" applyBorder="1" applyAlignment="1">
      <alignment horizontal="left" vertical="center"/>
    </xf>
    <xf numFmtId="49" fontId="5" fillId="14" borderId="6" xfId="4" applyNumberFormat="1" applyFont="1" applyFill="1" applyBorder="1" applyAlignment="1" applyProtection="1">
      <alignment vertical="center"/>
      <protection hidden="1"/>
    </xf>
    <xf numFmtId="0" fontId="19" fillId="0" borderId="0" xfId="2" applyFont="1" applyFill="1" applyBorder="1" applyAlignment="1">
      <alignment vertical="center"/>
    </xf>
    <xf numFmtId="0" fontId="15" fillId="4" borderId="6" xfId="4" applyFont="1" applyFill="1" applyBorder="1" applyAlignment="1" applyProtection="1">
      <alignment vertical="center"/>
      <protection hidden="1"/>
    </xf>
    <xf numFmtId="0" fontId="15" fillId="0" borderId="0" xfId="4" applyFont="1" applyBorder="1" applyProtection="1">
      <alignment vertical="center"/>
      <protection hidden="1"/>
    </xf>
    <xf numFmtId="0" fontId="5" fillId="0" borderId="0" xfId="4" applyFont="1" applyBorder="1" applyAlignment="1" applyProtection="1">
      <alignment vertical="center"/>
      <protection hidden="1"/>
    </xf>
    <xf numFmtId="0" fontId="15" fillId="0" borderId="0" xfId="4" applyFont="1" applyAlignment="1" applyProtection="1">
      <alignment vertical="center"/>
      <protection hidden="1"/>
    </xf>
    <xf numFmtId="177" fontId="5" fillId="4" borderId="6" xfId="4" applyNumberFormat="1" applyFont="1" applyFill="1" applyBorder="1" applyProtection="1">
      <alignment vertical="center"/>
      <protection hidden="1"/>
    </xf>
    <xf numFmtId="177" fontId="15" fillId="4" borderId="6" xfId="4" applyNumberFormat="1" applyFont="1" applyFill="1" applyBorder="1" applyAlignment="1" applyProtection="1">
      <alignment vertical="center"/>
      <protection hidden="1"/>
    </xf>
    <xf numFmtId="0" fontId="24" fillId="0" borderId="6" xfId="2" applyFont="1" applyFill="1" applyBorder="1" applyAlignment="1">
      <alignment vertical="center"/>
    </xf>
    <xf numFmtId="0" fontId="5" fillId="0" borderId="0" xfId="4" applyFont="1" applyFill="1" applyProtection="1">
      <alignment vertical="center"/>
      <protection hidden="1"/>
    </xf>
    <xf numFmtId="0" fontId="23" fillId="0" borderId="0" xfId="2" applyFont="1" applyFill="1" applyAlignment="1">
      <alignment vertical="center"/>
    </xf>
    <xf numFmtId="49" fontId="15" fillId="0" borderId="0" xfId="4" applyNumberFormat="1" applyFont="1" applyFill="1" applyAlignment="1" applyProtection="1">
      <alignment vertical="center"/>
      <protection hidden="1"/>
    </xf>
    <xf numFmtId="49" fontId="23" fillId="0" borderId="0" xfId="2" applyNumberFormat="1" applyFont="1" applyAlignment="1">
      <alignment vertical="center"/>
    </xf>
    <xf numFmtId="0" fontId="15" fillId="0" borderId="0" xfId="4" applyFont="1" applyFill="1" applyAlignment="1" applyProtection="1">
      <alignment vertical="center"/>
      <protection hidden="1"/>
    </xf>
    <xf numFmtId="0" fontId="20" fillId="0" borderId="0" xfId="2" applyFont="1" applyFill="1" applyAlignment="1"/>
    <xf numFmtId="0" fontId="20" fillId="0" borderId="0" xfId="2" applyFont="1" applyAlignment="1">
      <alignment vertical="center"/>
    </xf>
    <xf numFmtId="49" fontId="17" fillId="0" borderId="0" xfId="2" applyNumberFormat="1" applyFont="1" applyFill="1" applyAlignment="1">
      <alignment horizontal="left"/>
    </xf>
    <xf numFmtId="0" fontId="17" fillId="0" borderId="0" xfId="2" applyFont="1" applyFill="1" applyAlignment="1">
      <alignment horizontal="left"/>
    </xf>
    <xf numFmtId="0" fontId="17" fillId="3" borderId="6" xfId="2" applyFont="1" applyFill="1" applyBorder="1" applyAlignment="1">
      <alignment horizontal="left"/>
    </xf>
    <xf numFmtId="0" fontId="17" fillId="3" borderId="6" xfId="2" applyFont="1" applyFill="1" applyBorder="1" applyAlignment="1">
      <alignment horizontal="left" vertical="center"/>
    </xf>
    <xf numFmtId="49" fontId="17" fillId="3" borderId="6" xfId="2" applyNumberFormat="1" applyFont="1" applyFill="1" applyBorder="1" applyAlignment="1">
      <alignment horizontal="left"/>
    </xf>
    <xf numFmtId="0" fontId="17" fillId="4" borderId="6" xfId="2" applyFont="1" applyFill="1" applyBorder="1" applyAlignment="1"/>
    <xf numFmtId="0" fontId="20" fillId="4" borderId="6" xfId="2" applyFont="1" applyFill="1" applyBorder="1" applyAlignment="1"/>
    <xf numFmtId="0" fontId="25" fillId="0" borderId="6" xfId="0" applyFont="1" applyFill="1" applyBorder="1" applyAlignment="1">
      <alignment horizontal="left" vertical="center" readingOrder="1"/>
    </xf>
    <xf numFmtId="0" fontId="18" fillId="0" borderId="6" xfId="0" applyFont="1" applyFill="1" applyBorder="1" applyAlignment="1">
      <alignment vertical="center"/>
    </xf>
    <xf numFmtId="0" fontId="17" fillId="0" borderId="6" xfId="2" applyNumberFormat="1" applyFont="1" applyFill="1" applyBorder="1" applyAlignment="1">
      <alignment horizontal="left" vertical="center" wrapText="1"/>
    </xf>
    <xf numFmtId="0" fontId="17" fillId="4" borderId="6" xfId="0" applyFont="1" applyFill="1" applyBorder="1" applyAlignment="1">
      <alignment horizontal="left" vertical="center"/>
    </xf>
    <xf numFmtId="0" fontId="18" fillId="0" borderId="6" xfId="0" applyFont="1" applyFill="1" applyBorder="1">
      <alignment vertical="center"/>
    </xf>
    <xf numFmtId="49" fontId="17" fillId="4" borderId="6" xfId="2" applyNumberFormat="1" applyFont="1" applyFill="1" applyBorder="1" applyAlignment="1">
      <alignment horizontal="left"/>
    </xf>
    <xf numFmtId="49" fontId="17" fillId="4" borderId="6" xfId="4" applyNumberFormat="1" applyFont="1" applyFill="1" applyBorder="1" applyAlignment="1" applyProtection="1">
      <alignment horizontal="left" vertical="center"/>
      <protection hidden="1"/>
    </xf>
    <xf numFmtId="49" fontId="20" fillId="0" borderId="0" xfId="4" applyNumberFormat="1" applyFont="1" applyAlignment="1" applyProtection="1">
      <alignment horizontal="left" vertical="center"/>
      <protection hidden="1"/>
    </xf>
    <xf numFmtId="0" fontId="20" fillId="0" borderId="0" xfId="4" applyFont="1" applyAlignment="1" applyProtection="1">
      <alignment horizontal="left" vertical="center"/>
      <protection hidden="1"/>
    </xf>
    <xf numFmtId="49" fontId="17" fillId="13" borderId="6" xfId="2" applyNumberFormat="1" applyFont="1" applyFill="1" applyBorder="1" applyAlignment="1"/>
    <xf numFmtId="0" fontId="19" fillId="0" borderId="0" xfId="2" applyFont="1" applyFill="1" applyAlignment="1">
      <alignment vertical="center"/>
    </xf>
    <xf numFmtId="0" fontId="19" fillId="0" borderId="0" xfId="2" applyFont="1" applyAlignment="1">
      <alignment vertical="center"/>
    </xf>
    <xf numFmtId="49" fontId="5" fillId="0" borderId="0" xfId="4" applyNumberFormat="1" applyFont="1" applyAlignment="1" applyProtection="1">
      <alignment vertical="center"/>
      <protection hidden="1"/>
    </xf>
    <xf numFmtId="0" fontId="19" fillId="0" borderId="6" xfId="2" applyFont="1" applyBorder="1" applyAlignment="1">
      <alignment vertical="center"/>
    </xf>
    <xf numFmtId="0" fontId="5" fillId="0" borderId="6" xfId="4" applyFont="1" applyBorder="1" applyProtection="1">
      <alignment vertical="center"/>
      <protection hidden="1"/>
    </xf>
    <xf numFmtId="49" fontId="5" fillId="0" borderId="6" xfId="4" applyNumberFormat="1" applyFont="1" applyBorder="1" applyAlignment="1" applyProtection="1">
      <alignment vertical="center"/>
      <protection hidden="1"/>
    </xf>
    <xf numFmtId="0" fontId="7" fillId="0" borderId="0" xfId="3" applyFont="1" applyFill="1">
      <alignment vertical="center"/>
    </xf>
    <xf numFmtId="0" fontId="15" fillId="0" borderId="0" xfId="4" applyNumberFormat="1" applyFont="1" applyProtection="1">
      <alignment vertical="center"/>
      <protection locked="0"/>
    </xf>
    <xf numFmtId="0" fontId="15" fillId="6" borderId="0" xfId="4" applyNumberFormat="1" applyFont="1" applyFill="1" applyProtection="1">
      <alignment vertical="center"/>
      <protection locked="0"/>
    </xf>
    <xf numFmtId="49" fontId="0" fillId="0" borderId="0" xfId="0" applyNumberFormat="1">
      <alignment vertical="center"/>
    </xf>
    <xf numFmtId="49" fontId="15" fillId="0" borderId="0" xfId="4" applyNumberFormat="1" applyFont="1" applyFill="1" applyProtection="1">
      <alignment vertical="center"/>
      <protection locked="0"/>
    </xf>
    <xf numFmtId="49" fontId="15" fillId="0" borderId="0" xfId="4" applyNumberFormat="1" applyFont="1" applyFill="1" applyBorder="1" applyProtection="1">
      <alignment vertical="center"/>
      <protection locked="0"/>
    </xf>
    <xf numFmtId="49" fontId="16" fillId="0" borderId="0" xfId="4" applyNumberFormat="1" applyFont="1" applyFill="1" applyProtection="1">
      <alignment vertical="center"/>
      <protection locked="0"/>
    </xf>
    <xf numFmtId="0" fontId="15" fillId="0" borderId="0" xfId="6" applyNumberFormat="1" applyFont="1" applyFill="1" applyBorder="1" applyProtection="1">
      <alignment vertical="center"/>
      <protection locked="0"/>
    </xf>
    <xf numFmtId="0" fontId="15" fillId="0" borderId="0" xfId="4" applyFont="1" applyProtection="1">
      <alignment vertical="center"/>
      <protection locked="0"/>
    </xf>
    <xf numFmtId="0" fontId="5" fillId="6" borderId="0" xfId="4" applyNumberFormat="1" applyFont="1" applyFill="1" applyProtection="1">
      <alignment vertical="center"/>
      <protection locked="0"/>
    </xf>
    <xf numFmtId="0" fontId="5" fillId="5" borderId="6" xfId="4" applyNumberFormat="1" applyFont="1" applyFill="1" applyBorder="1" applyProtection="1">
      <alignment vertical="center"/>
      <protection locked="0"/>
    </xf>
    <xf numFmtId="49" fontId="15" fillId="0" borderId="0" xfId="4" applyNumberFormat="1" applyFont="1" applyFill="1" applyBorder="1" applyProtection="1">
      <alignment vertical="center"/>
      <protection hidden="1"/>
    </xf>
    <xf numFmtId="0" fontId="9" fillId="2" borderId="6" xfId="4" applyFont="1" applyFill="1" applyBorder="1" applyAlignment="1" applyProtection="1">
      <alignment horizontal="right" vertical="center" shrinkToFit="1"/>
      <protection hidden="1"/>
    </xf>
    <xf numFmtId="0" fontId="17" fillId="8" borderId="6" xfId="2" applyFont="1" applyFill="1" applyBorder="1" applyAlignment="1"/>
    <xf numFmtId="0" fontId="15" fillId="0" borderId="0" xfId="4" applyFont="1" applyProtection="1">
      <alignment vertical="center"/>
      <protection hidden="1"/>
    </xf>
    <xf numFmtId="0" fontId="18" fillId="13" borderId="6" xfId="4" applyFont="1" applyFill="1" applyBorder="1" applyAlignment="1">
      <alignment vertical="center"/>
    </xf>
    <xf numFmtId="0" fontId="20" fillId="13" borderId="6" xfId="2" applyFont="1" applyFill="1" applyBorder="1" applyAlignment="1"/>
    <xf numFmtId="49" fontId="12" fillId="15" borderId="0" xfId="0" applyNumberFormat="1" applyFont="1" applyFill="1">
      <alignment vertical="center"/>
    </xf>
    <xf numFmtId="0" fontId="0" fillId="15" borderId="0" xfId="0" applyFont="1" applyFill="1">
      <alignment vertical="center"/>
    </xf>
    <xf numFmtId="49" fontId="17" fillId="8" borderId="6" xfId="4" quotePrefix="1" applyNumberFormat="1" applyFont="1" applyFill="1" applyBorder="1" applyAlignment="1">
      <alignment vertical="center"/>
    </xf>
    <xf numFmtId="49" fontId="17" fillId="8" borderId="6" xfId="4" quotePrefix="1" applyNumberFormat="1" applyFont="1" applyFill="1" applyBorder="1" applyAlignment="1">
      <alignment horizontal="left" vertical="center"/>
    </xf>
    <xf numFmtId="49" fontId="17" fillId="4" borderId="6" xfId="2" applyNumberFormat="1" applyFont="1" applyFill="1" applyBorder="1" applyAlignment="1"/>
    <xf numFmtId="49" fontId="17" fillId="13" borderId="6" xfId="2" applyNumberFormat="1" applyFont="1" applyFill="1" applyBorder="1" applyAlignment="1">
      <alignment horizontal="left"/>
    </xf>
    <xf numFmtId="0" fontId="17" fillId="13" borderId="6" xfId="4" applyFont="1" applyFill="1" applyBorder="1" applyAlignment="1">
      <alignment vertical="center"/>
    </xf>
    <xf numFmtId="0" fontId="20" fillId="4" borderId="6" xfId="2" applyFont="1" applyFill="1" applyBorder="1" applyAlignment="1">
      <alignment horizontal="right"/>
    </xf>
    <xf numFmtId="0" fontId="17" fillId="0" borderId="6" xfId="0" applyFont="1" applyFill="1" applyBorder="1" applyAlignment="1">
      <alignment vertical="center"/>
    </xf>
    <xf numFmtId="0" fontId="17" fillId="0" borderId="6" xfId="0" applyFont="1" applyFill="1" applyBorder="1">
      <alignment vertical="center"/>
    </xf>
    <xf numFmtId="49" fontId="5" fillId="4" borderId="6" xfId="4" applyNumberFormat="1" applyFont="1" applyFill="1" applyBorder="1" applyProtection="1">
      <alignment vertical="center"/>
      <protection hidden="1"/>
    </xf>
    <xf numFmtId="49" fontId="5" fillId="4" borderId="6" xfId="4" applyNumberFormat="1" applyFont="1" applyFill="1" applyBorder="1" applyAlignment="1" applyProtection="1">
      <alignment vertical="center"/>
      <protection hidden="1"/>
    </xf>
    <xf numFmtId="0" fontId="5" fillId="17" borderId="6" xfId="4" applyNumberFormat="1" applyFont="1" applyFill="1" applyBorder="1" applyProtection="1">
      <alignment vertical="center"/>
      <protection locked="0"/>
    </xf>
    <xf numFmtId="0" fontId="12" fillId="0" borderId="0" xfId="0" applyFont="1" applyFill="1" applyAlignment="1">
      <alignment vertical="center"/>
    </xf>
    <xf numFmtId="0" fontId="11" fillId="0" borderId="0" xfId="2" applyFont="1" applyFill="1" applyAlignment="1">
      <alignment vertical="center"/>
    </xf>
    <xf numFmtId="49" fontId="0" fillId="8" borderId="0" xfId="0" applyNumberFormat="1" applyFill="1">
      <alignment vertical="center"/>
    </xf>
    <xf numFmtId="0" fontId="29" fillId="0" borderId="0" xfId="4" applyNumberFormat="1" applyFont="1" applyFill="1" applyBorder="1" applyProtection="1">
      <alignment vertical="center"/>
    </xf>
    <xf numFmtId="0" fontId="30" fillId="0" borderId="0" xfId="4" applyNumberFormat="1" applyFont="1" applyBorder="1" applyProtection="1">
      <alignment vertical="center"/>
    </xf>
    <xf numFmtId="0" fontId="28" fillId="0" borderId="0" xfId="4" applyNumberFormat="1" applyFont="1" applyFill="1" applyBorder="1" applyProtection="1">
      <alignment vertical="center"/>
    </xf>
    <xf numFmtId="0" fontId="31" fillId="0" borderId="0" xfId="4" applyNumberFormat="1" applyFont="1" applyFill="1" applyBorder="1" applyProtection="1">
      <alignment vertical="center"/>
      <protection locked="0"/>
    </xf>
    <xf numFmtId="0" fontId="31" fillId="0" borderId="0" xfId="4" applyNumberFormat="1" applyFont="1" applyFill="1" applyBorder="1" applyProtection="1">
      <alignment vertical="center"/>
      <protection hidden="1"/>
    </xf>
    <xf numFmtId="0" fontId="28" fillId="0" borderId="0" xfId="4" applyFont="1" applyFill="1" applyProtection="1">
      <alignment vertical="center"/>
      <protection hidden="1"/>
    </xf>
    <xf numFmtId="0" fontId="30" fillId="0" borderId="0" xfId="4" applyFont="1" applyFill="1" applyProtection="1">
      <alignment vertical="center"/>
      <protection hidden="1"/>
    </xf>
    <xf numFmtId="0" fontId="29" fillId="0" borderId="15" xfId="4" applyNumberFormat="1" applyFont="1" applyFill="1" applyBorder="1" applyProtection="1">
      <alignment vertical="center"/>
    </xf>
    <xf numFmtId="0" fontId="30" fillId="0" borderId="15" xfId="4" applyNumberFormat="1" applyFont="1" applyFill="1" applyBorder="1" applyAlignment="1" applyProtection="1">
      <alignment horizontal="right" vertical="center"/>
    </xf>
    <xf numFmtId="0" fontId="31" fillId="0" borderId="16" xfId="5" applyNumberFormat="1" applyFont="1" applyFill="1" applyBorder="1" applyProtection="1">
      <alignment vertical="center"/>
    </xf>
    <xf numFmtId="0" fontId="31" fillId="0" borderId="0" xfId="4" applyNumberFormat="1" applyFont="1" applyFill="1" applyProtection="1">
      <alignment vertical="center"/>
      <protection hidden="1"/>
    </xf>
    <xf numFmtId="0" fontId="32" fillId="0" borderId="0" xfId="4" applyNumberFormat="1" applyFont="1" applyFill="1" applyBorder="1" applyAlignment="1" applyProtection="1">
      <alignment horizontal="left" vertical="center"/>
    </xf>
    <xf numFmtId="0" fontId="31" fillId="0" borderId="18" xfId="4" applyNumberFormat="1" applyFont="1" applyFill="1" applyBorder="1" applyProtection="1">
      <alignment vertical="center"/>
    </xf>
    <xf numFmtId="0" fontId="28" fillId="0" borderId="0" xfId="4" applyFont="1" applyProtection="1">
      <alignment vertical="center"/>
      <protection hidden="1"/>
    </xf>
    <xf numFmtId="0" fontId="30" fillId="0" borderId="0" xfId="4" applyFont="1" applyProtection="1">
      <alignment vertical="center"/>
      <protection hidden="1"/>
    </xf>
    <xf numFmtId="0" fontId="30" fillId="0" borderId="0" xfId="4" applyNumberFormat="1" applyFont="1" applyFill="1" applyBorder="1" applyProtection="1">
      <alignment vertical="center"/>
    </xf>
    <xf numFmtId="0" fontId="31" fillId="0" borderId="0" xfId="4" applyNumberFormat="1" applyFont="1" applyFill="1" applyBorder="1" applyProtection="1">
      <alignment vertical="center"/>
      <protection locked="0" hidden="1"/>
    </xf>
    <xf numFmtId="0" fontId="34" fillId="0" borderId="31" xfId="4" applyNumberFormat="1" applyFont="1" applyFill="1" applyBorder="1" applyAlignment="1" applyProtection="1">
      <alignment vertical="center"/>
    </xf>
    <xf numFmtId="0" fontId="31" fillId="0" borderId="0" xfId="4" applyNumberFormat="1" applyFont="1" applyFill="1" applyProtection="1">
      <alignment vertical="center"/>
      <protection locked="0"/>
    </xf>
    <xf numFmtId="0" fontId="34" fillId="0" borderId="40" xfId="4" applyNumberFormat="1" applyFont="1" applyFill="1" applyBorder="1" applyAlignment="1" applyProtection="1">
      <alignment vertical="center"/>
    </xf>
    <xf numFmtId="0" fontId="31" fillId="0" borderId="0" xfId="4" applyNumberFormat="1" applyFont="1" applyFill="1" applyBorder="1" applyAlignment="1" applyProtection="1">
      <alignment vertical="center"/>
      <protection hidden="1"/>
    </xf>
    <xf numFmtId="0" fontId="34" fillId="0" borderId="0" xfId="4" applyNumberFormat="1" applyFont="1" applyFill="1" applyBorder="1" applyProtection="1">
      <alignment vertical="center"/>
    </xf>
    <xf numFmtId="0" fontId="30" fillId="0" borderId="1" xfId="4" applyNumberFormat="1" applyFont="1" applyFill="1" applyBorder="1" applyAlignment="1" applyProtection="1">
      <alignment horizontal="center" vertical="center" shrinkToFit="1"/>
    </xf>
    <xf numFmtId="0" fontId="30" fillId="0" borderId="1" xfId="4" applyNumberFormat="1" applyFont="1" applyFill="1" applyBorder="1" applyAlignment="1" applyProtection="1">
      <alignment vertical="center" shrinkToFit="1"/>
    </xf>
    <xf numFmtId="0" fontId="34" fillId="0" borderId="0" xfId="4" applyNumberFormat="1" applyFont="1" applyFill="1" applyBorder="1" applyAlignment="1" applyProtection="1">
      <alignment horizontal="center" vertical="center"/>
    </xf>
    <xf numFmtId="0" fontId="34" fillId="0" borderId="36" xfId="4" applyNumberFormat="1" applyFont="1" applyFill="1" applyBorder="1" applyAlignment="1" applyProtection="1">
      <alignment vertical="center" shrinkToFit="1"/>
    </xf>
    <xf numFmtId="0" fontId="34" fillId="0" borderId="37" xfId="4" applyNumberFormat="1" applyFont="1" applyFill="1" applyBorder="1" applyAlignment="1" applyProtection="1">
      <alignment vertical="center" shrinkToFit="1"/>
    </xf>
    <xf numFmtId="0" fontId="31" fillId="0" borderId="0" xfId="4" applyNumberFormat="1" applyFont="1" applyFill="1" applyBorder="1" applyAlignment="1" applyProtection="1">
      <alignment horizontal="left" vertical="center" wrapText="1"/>
      <protection hidden="1"/>
    </xf>
    <xf numFmtId="0" fontId="31" fillId="0" borderId="0" xfId="4" applyNumberFormat="1" applyFont="1" applyFill="1" applyBorder="1" applyAlignment="1" applyProtection="1">
      <alignment horizontal="left" vertical="center" wrapText="1"/>
      <protection locked="0"/>
    </xf>
    <xf numFmtId="0" fontId="34" fillId="0" borderId="0" xfId="4" applyNumberFormat="1" applyFont="1" applyFill="1" applyBorder="1" applyAlignment="1" applyProtection="1">
      <alignment horizontal="center" vertical="center" shrinkToFit="1"/>
    </xf>
    <xf numFmtId="0" fontId="31" fillId="0" borderId="0" xfId="4" applyFont="1" applyFill="1" applyProtection="1">
      <alignment vertical="center"/>
      <protection hidden="1"/>
    </xf>
    <xf numFmtId="0" fontId="28" fillId="0" borderId="0" xfId="4" applyNumberFormat="1" applyFont="1" applyFill="1" applyProtection="1">
      <alignment vertical="center"/>
    </xf>
    <xf numFmtId="0" fontId="37" fillId="0" borderId="31" xfId="4" applyNumberFormat="1" applyFont="1" applyFill="1" applyBorder="1" applyAlignment="1" applyProtection="1">
      <alignment vertical="center"/>
    </xf>
    <xf numFmtId="0" fontId="30" fillId="0" borderId="31" xfId="4" applyNumberFormat="1" applyFont="1" applyFill="1" applyBorder="1" applyAlignment="1" applyProtection="1">
      <alignment vertical="center" wrapText="1"/>
    </xf>
    <xf numFmtId="0" fontId="31" fillId="0" borderId="17" xfId="4" applyNumberFormat="1" applyFont="1" applyFill="1" applyBorder="1" applyProtection="1">
      <alignment vertical="center"/>
      <protection locked="0"/>
    </xf>
    <xf numFmtId="0" fontId="31" fillId="0" borderId="18" xfId="5" applyNumberFormat="1" applyFont="1" applyFill="1" applyBorder="1" applyProtection="1">
      <alignment vertical="center"/>
    </xf>
    <xf numFmtId="0" fontId="29" fillId="0" borderId="102" xfId="4" applyNumberFormat="1" applyFont="1" applyFill="1" applyBorder="1" applyProtection="1">
      <alignment vertical="center"/>
    </xf>
    <xf numFmtId="0" fontId="31" fillId="0" borderId="103" xfId="5" applyNumberFormat="1" applyFont="1" applyFill="1" applyBorder="1" applyProtection="1">
      <alignment vertical="center"/>
    </xf>
    <xf numFmtId="0" fontId="30" fillId="0" borderId="0" xfId="4" applyNumberFormat="1" applyFont="1" applyFill="1" applyProtection="1">
      <alignment vertical="center"/>
    </xf>
    <xf numFmtId="0" fontId="30" fillId="0" borderId="0" xfId="4" applyNumberFormat="1" applyFont="1" applyProtection="1">
      <alignment vertical="center"/>
    </xf>
    <xf numFmtId="0" fontId="41" fillId="0" borderId="0" xfId="4" applyNumberFormat="1" applyFont="1" applyProtection="1">
      <alignment vertical="center"/>
    </xf>
    <xf numFmtId="0" fontId="28" fillId="0" borderId="0" xfId="5" applyNumberFormat="1" applyFont="1" applyFill="1" applyProtection="1">
      <alignment vertical="center"/>
    </xf>
    <xf numFmtId="0" fontId="34" fillId="0" borderId="0" xfId="4" applyNumberFormat="1" applyFont="1" applyProtection="1">
      <alignment vertical="center"/>
    </xf>
    <xf numFmtId="0" fontId="29" fillId="0" borderId="0" xfId="4" applyNumberFormat="1" applyFont="1" applyFill="1" applyBorder="1" applyAlignment="1" applyProtection="1">
      <alignment vertical="center" shrinkToFit="1"/>
    </xf>
    <xf numFmtId="0" fontId="43" fillId="7" borderId="33" xfId="4" applyNumberFormat="1" applyFont="1" applyFill="1" applyBorder="1" applyAlignment="1" applyProtection="1">
      <alignment vertical="center" wrapText="1"/>
    </xf>
    <xf numFmtId="0" fontId="43" fillId="7" borderId="35" xfId="4" applyNumberFormat="1" applyFont="1" applyFill="1" applyBorder="1" applyAlignment="1" applyProtection="1">
      <alignment vertical="center" wrapText="1"/>
    </xf>
    <xf numFmtId="0" fontId="30" fillId="0" borderId="0" xfId="4" applyNumberFormat="1" applyFont="1" applyFill="1" applyBorder="1" applyAlignment="1" applyProtection="1">
      <alignment horizontal="left" vertical="center" wrapText="1"/>
    </xf>
    <xf numFmtId="0" fontId="34" fillId="0" borderId="0" xfId="5" applyNumberFormat="1" applyFont="1" applyFill="1" applyBorder="1" applyAlignment="1" applyProtection="1">
      <alignment horizontal="center" vertical="center" wrapText="1"/>
    </xf>
    <xf numFmtId="0" fontId="19" fillId="18" borderId="6" xfId="2" applyFont="1" applyFill="1" applyBorder="1" applyAlignment="1">
      <alignment vertical="center"/>
    </xf>
    <xf numFmtId="0" fontId="5" fillId="18" borderId="6" xfId="4" applyFont="1" applyFill="1" applyBorder="1" applyProtection="1">
      <alignment vertical="center"/>
      <protection hidden="1"/>
    </xf>
    <xf numFmtId="0" fontId="15" fillId="18" borderId="6" xfId="4" applyFont="1" applyFill="1" applyBorder="1" applyAlignment="1" applyProtection="1">
      <alignment vertical="center"/>
      <protection hidden="1"/>
    </xf>
    <xf numFmtId="0" fontId="15" fillId="0" borderId="0" xfId="4" applyNumberFormat="1" applyFont="1" applyFill="1" applyAlignment="1" applyProtection="1">
      <alignment horizontal="left" vertical="center"/>
      <protection locked="0" hidden="1"/>
    </xf>
    <xf numFmtId="0" fontId="15" fillId="0" borderId="0" xfId="4" applyNumberFormat="1" applyFont="1" applyFill="1" applyProtection="1">
      <alignment vertical="center"/>
      <protection locked="0"/>
    </xf>
    <xf numFmtId="0" fontId="15" fillId="0" borderId="0" xfId="4" applyNumberFormat="1" applyFont="1" applyFill="1" applyBorder="1" applyProtection="1">
      <alignment vertical="center"/>
      <protection locked="0"/>
    </xf>
    <xf numFmtId="0" fontId="5" fillId="0" borderId="0" xfId="4" applyNumberFormat="1" applyFont="1" applyFill="1" applyProtection="1">
      <alignment vertical="center"/>
      <protection hidden="1"/>
    </xf>
    <xf numFmtId="0" fontId="15" fillId="0" borderId="0" xfId="4" applyFont="1" applyFill="1" applyProtection="1">
      <alignment vertical="center"/>
      <protection locked="0"/>
    </xf>
    <xf numFmtId="49" fontId="16" fillId="0" borderId="0" xfId="4" applyNumberFormat="1" applyFont="1" applyFill="1" applyProtection="1">
      <alignment vertical="center"/>
      <protection hidden="1"/>
    </xf>
    <xf numFmtId="49" fontId="15" fillId="0" borderId="0" xfId="4" applyNumberFormat="1" applyFont="1" applyFill="1" applyProtection="1">
      <alignment vertical="center"/>
      <protection hidden="1"/>
    </xf>
    <xf numFmtId="49" fontId="15" fillId="0" borderId="0" xfId="4" applyNumberFormat="1" applyFont="1" applyFill="1" applyBorder="1" applyProtection="1">
      <alignment vertical="center"/>
      <protection locked="0" hidden="1"/>
    </xf>
    <xf numFmtId="0" fontId="12" fillId="0" borderId="0" xfId="0" applyFont="1" applyFill="1" applyBorder="1" applyAlignment="1">
      <alignment vertical="center"/>
    </xf>
    <xf numFmtId="0" fontId="16" fillId="0" borderId="0" xfId="4" applyFont="1" applyFill="1" applyAlignment="1" applyProtection="1">
      <alignment vertical="center"/>
      <protection hidden="1"/>
    </xf>
    <xf numFmtId="0" fontId="15" fillId="0" borderId="0" xfId="4" applyNumberFormat="1" applyFont="1" applyFill="1" applyAlignment="1" applyProtection="1">
      <alignment vertical="center"/>
      <protection hidden="1"/>
    </xf>
    <xf numFmtId="0" fontId="29" fillId="0" borderId="0" xfId="4" applyFont="1" applyFill="1" applyBorder="1" applyProtection="1">
      <alignment vertical="center"/>
    </xf>
    <xf numFmtId="0" fontId="29" fillId="0" borderId="72" xfId="4" applyFont="1" applyFill="1" applyBorder="1" applyProtection="1">
      <alignment vertical="center"/>
    </xf>
    <xf numFmtId="0" fontId="29" fillId="0" borderId="0" xfId="4" applyFont="1" applyFill="1" applyBorder="1" applyAlignment="1" applyProtection="1">
      <alignment horizontal="left" vertical="center" wrapText="1"/>
    </xf>
    <xf numFmtId="6" fontId="34" fillId="0" borderId="0" xfId="5" applyFont="1" applyBorder="1" applyAlignment="1" applyProtection="1">
      <alignment horizontal="right" vertical="center" shrinkToFit="1"/>
    </xf>
    <xf numFmtId="10" fontId="34" fillId="0" borderId="0" xfId="6" applyNumberFormat="1" applyFont="1" applyBorder="1" applyAlignment="1" applyProtection="1">
      <alignment horizontal="right" vertical="center" shrinkToFit="1"/>
    </xf>
    <xf numFmtId="6" fontId="34" fillId="0" borderId="0" xfId="5" applyFont="1" applyFill="1" applyBorder="1" applyAlignment="1" applyProtection="1">
      <alignment horizontal="right" vertical="center" shrinkToFit="1"/>
    </xf>
    <xf numFmtId="6" fontId="29" fillId="0" borderId="36" xfId="5" applyFont="1" applyBorder="1" applyAlignment="1" applyProtection="1">
      <alignment horizontal="right" vertical="center" shrinkToFit="1"/>
    </xf>
    <xf numFmtId="0" fontId="39" fillId="0" borderId="0" xfId="4" applyFont="1" applyFill="1" applyBorder="1" applyAlignment="1" applyProtection="1">
      <alignment vertical="center"/>
    </xf>
    <xf numFmtId="0" fontId="34" fillId="0" borderId="0" xfId="4" applyFont="1" applyFill="1" applyBorder="1" applyAlignment="1" applyProtection="1">
      <alignment vertical="center"/>
    </xf>
    <xf numFmtId="0" fontId="46" fillId="0" borderId="0" xfId="4" applyFont="1" applyFill="1" applyBorder="1" applyAlignment="1" applyProtection="1">
      <alignment vertical="center"/>
    </xf>
    <xf numFmtId="0" fontId="47" fillId="0" borderId="0" xfId="4" applyFont="1" applyFill="1" applyBorder="1" applyAlignment="1" applyProtection="1">
      <alignment vertical="center"/>
    </xf>
    <xf numFmtId="0" fontId="36" fillId="0" borderId="0" xfId="0" applyFont="1" applyAlignment="1">
      <alignment horizontal="left" vertical="center"/>
    </xf>
    <xf numFmtId="0" fontId="30" fillId="0" borderId="0" xfId="4" applyFont="1" applyBorder="1" applyProtection="1">
      <alignment vertical="center"/>
    </xf>
    <xf numFmtId="0" fontId="30" fillId="0" borderId="0" xfId="4" applyFont="1" applyFill="1" applyBorder="1" applyAlignment="1" applyProtection="1">
      <alignment horizontal="right" vertical="center"/>
    </xf>
    <xf numFmtId="0" fontId="29" fillId="0" borderId="15" xfId="4" applyFont="1" applyFill="1" applyBorder="1" applyProtection="1">
      <alignment vertical="center"/>
    </xf>
    <xf numFmtId="0" fontId="48" fillId="0" borderId="15" xfId="4" applyFont="1" applyFill="1" applyBorder="1" applyProtection="1">
      <alignment vertical="center"/>
    </xf>
    <xf numFmtId="0" fontId="30" fillId="0" borderId="15" xfId="4" applyFont="1" applyFill="1" applyBorder="1" applyAlignment="1" applyProtection="1">
      <alignment horizontal="right" vertical="center"/>
    </xf>
    <xf numFmtId="6" fontId="31" fillId="0" borderId="16" xfId="5" applyFont="1" applyFill="1" applyBorder="1" applyProtection="1">
      <alignment vertical="center"/>
    </xf>
    <xf numFmtId="6" fontId="31" fillId="0" borderId="18" xfId="5" applyFont="1" applyFill="1" applyBorder="1" applyProtection="1">
      <alignment vertical="center"/>
    </xf>
    <xf numFmtId="0" fontId="29" fillId="0" borderId="0" xfId="4" applyFont="1" applyFill="1" applyBorder="1" applyAlignment="1" applyProtection="1">
      <alignment vertical="center"/>
    </xf>
    <xf numFmtId="0" fontId="30" fillId="0" borderId="0" xfId="4" applyFont="1" applyFill="1" applyBorder="1" applyProtection="1">
      <alignment vertical="center"/>
    </xf>
    <xf numFmtId="0" fontId="29" fillId="0" borderId="0" xfId="4" applyFont="1" applyFill="1" applyBorder="1" applyAlignment="1" applyProtection="1">
      <alignment horizontal="right" vertical="center"/>
    </xf>
    <xf numFmtId="0" fontId="29" fillId="0" borderId="36" xfId="4" applyFont="1" applyFill="1" applyBorder="1" applyAlignment="1" applyProtection="1">
      <alignment horizontal="left" vertical="center" wrapText="1"/>
    </xf>
    <xf numFmtId="0" fontId="29" fillId="0" borderId="36" xfId="4" applyFont="1" applyFill="1" applyBorder="1" applyAlignment="1" applyProtection="1">
      <alignment horizontal="center" vertical="center"/>
    </xf>
    <xf numFmtId="0" fontId="31" fillId="0" borderId="18" xfId="5" applyNumberFormat="1" applyFont="1" applyFill="1" applyBorder="1" applyAlignment="1" applyProtection="1">
      <alignment vertical="center" wrapText="1"/>
    </xf>
    <xf numFmtId="0" fontId="50" fillId="0" borderId="0" xfId="4" applyFont="1" applyFill="1" applyBorder="1" applyAlignment="1" applyProtection="1">
      <alignment horizontal="left" vertical="center" wrapText="1"/>
    </xf>
    <xf numFmtId="0" fontId="30" fillId="0" borderId="0" xfId="4" applyFont="1" applyProtection="1">
      <alignment vertical="center"/>
    </xf>
    <xf numFmtId="0" fontId="41" fillId="0" borderId="0" xfId="4" applyFont="1" applyProtection="1">
      <alignment vertical="center"/>
    </xf>
    <xf numFmtId="6" fontId="28" fillId="0" borderId="0" xfId="5" applyFont="1" applyFill="1" applyProtection="1">
      <alignment vertical="center"/>
    </xf>
    <xf numFmtId="0" fontId="30" fillId="0" borderId="0" xfId="4" applyFont="1" applyFill="1" applyProtection="1">
      <alignment vertical="center"/>
    </xf>
    <xf numFmtId="0" fontId="34" fillId="0" borderId="0" xfId="4" applyFont="1" applyProtection="1">
      <alignment vertical="center"/>
    </xf>
    <xf numFmtId="0" fontId="29" fillId="0" borderId="0" xfId="4" applyFont="1" applyFill="1" applyBorder="1" applyAlignment="1" applyProtection="1">
      <alignment vertical="center" shrinkToFit="1"/>
    </xf>
    <xf numFmtId="0" fontId="29" fillId="2" borderId="35" xfId="4" applyFont="1" applyFill="1" applyBorder="1" applyAlignment="1" applyProtection="1">
      <alignment horizontal="center" vertical="center" shrinkToFit="1"/>
    </xf>
    <xf numFmtId="0" fontId="29" fillId="2" borderId="36" xfId="4" applyFont="1" applyFill="1" applyBorder="1" applyAlignment="1" applyProtection="1">
      <alignment horizontal="center" vertical="center" shrinkToFit="1"/>
    </xf>
    <xf numFmtId="176" fontId="34" fillId="0" borderId="127" xfId="4" applyNumberFormat="1" applyFont="1" applyFill="1" applyBorder="1" applyAlignment="1" applyProtection="1">
      <alignment horizontal="center" vertical="center"/>
    </xf>
    <xf numFmtId="176" fontId="34" fillId="0" borderId="130" xfId="4" applyNumberFormat="1" applyFont="1" applyFill="1" applyBorder="1" applyAlignment="1" applyProtection="1">
      <alignment vertical="center"/>
    </xf>
    <xf numFmtId="0" fontId="35" fillId="0" borderId="0" xfId="4" applyFont="1" applyFill="1" applyBorder="1" applyAlignment="1" applyProtection="1">
      <alignment horizontal="left" vertical="center"/>
    </xf>
    <xf numFmtId="0" fontId="52" fillId="0" borderId="0" xfId="4" applyNumberFormat="1" applyFont="1" applyFill="1" applyBorder="1" applyProtection="1">
      <alignment vertical="center"/>
    </xf>
    <xf numFmtId="0" fontId="52" fillId="0" borderId="14" xfId="4" applyNumberFormat="1" applyFont="1" applyFill="1" applyBorder="1" applyProtection="1">
      <alignment vertical="center"/>
    </xf>
    <xf numFmtId="0" fontId="52" fillId="0" borderId="17" xfId="4" applyNumberFormat="1" applyFont="1" applyFill="1" applyBorder="1" applyProtection="1">
      <alignment vertical="center"/>
    </xf>
    <xf numFmtId="0" fontId="52" fillId="0" borderId="101" xfId="4" applyNumberFormat="1" applyFont="1" applyFill="1" applyBorder="1" applyProtection="1">
      <alignment vertical="center"/>
    </xf>
    <xf numFmtId="0" fontId="53" fillId="0" borderId="0" xfId="4" applyNumberFormat="1" applyFont="1" applyFill="1" applyProtection="1">
      <alignment vertical="center"/>
    </xf>
    <xf numFmtId="0" fontId="53" fillId="0" borderId="0" xfId="4" applyFont="1" applyFill="1" applyProtection="1">
      <alignment vertical="center"/>
    </xf>
    <xf numFmtId="0" fontId="29" fillId="0" borderId="0" xfId="4" applyNumberFormat="1" applyFont="1" applyFill="1" applyBorder="1" applyAlignment="1" applyProtection="1">
      <alignment horizontal="left" vertical="center" shrinkToFit="1"/>
    </xf>
    <xf numFmtId="0" fontId="29" fillId="0" borderId="0" xfId="4" applyFont="1" applyFill="1" applyBorder="1" applyAlignment="1" applyProtection="1">
      <alignment horizontal="center" vertical="center"/>
    </xf>
    <xf numFmtId="0" fontId="34" fillId="0" borderId="0" xfId="4" applyFont="1" applyFill="1" applyBorder="1" applyAlignment="1" applyProtection="1">
      <alignment horizontal="right" vertical="center"/>
    </xf>
    <xf numFmtId="0" fontId="53" fillId="0" borderId="17" xfId="4" applyNumberFormat="1" applyFont="1" applyFill="1" applyBorder="1" applyProtection="1">
      <alignment vertical="center"/>
    </xf>
    <xf numFmtId="0" fontId="34" fillId="0" borderId="3" xfId="4" applyNumberFormat="1" applyFont="1" applyFill="1" applyBorder="1" applyAlignment="1" applyProtection="1">
      <alignment horizontal="left" vertical="center" shrinkToFit="1"/>
    </xf>
    <xf numFmtId="0" fontId="34" fillId="0" borderId="1" xfId="4" applyNumberFormat="1" applyFont="1" applyFill="1" applyBorder="1" applyAlignment="1" applyProtection="1">
      <alignment horizontal="left" vertical="center" shrinkToFit="1"/>
    </xf>
    <xf numFmtId="0" fontId="30" fillId="0" borderId="0" xfId="4" applyNumberFormat="1" applyFont="1" applyBorder="1" applyAlignment="1" applyProtection="1">
      <alignment horizontal="left" vertical="center"/>
    </xf>
    <xf numFmtId="0" fontId="30" fillId="0" borderId="1" xfId="4" applyNumberFormat="1" applyFont="1" applyFill="1" applyBorder="1" applyAlignment="1" applyProtection="1">
      <alignment vertical="center"/>
    </xf>
    <xf numFmtId="0" fontId="34" fillId="0" borderId="1" xfId="4" applyNumberFormat="1" applyFont="1" applyFill="1" applyBorder="1" applyAlignment="1" applyProtection="1">
      <alignment horizontal="left" vertical="center"/>
    </xf>
    <xf numFmtId="0" fontId="34" fillId="0" borderId="12" xfId="4" applyNumberFormat="1" applyFont="1" applyFill="1" applyBorder="1" applyAlignment="1" applyProtection="1">
      <alignment horizontal="left" vertical="center"/>
    </xf>
    <xf numFmtId="0" fontId="30" fillId="0" borderId="1" xfId="4" applyNumberFormat="1" applyFont="1" applyFill="1" applyBorder="1" applyAlignment="1" applyProtection="1">
      <alignment horizontal="left" vertical="center"/>
    </xf>
    <xf numFmtId="0" fontId="29" fillId="0" borderId="1" xfId="4" applyNumberFormat="1" applyFont="1" applyFill="1" applyBorder="1" applyAlignment="1" applyProtection="1">
      <alignment horizontal="left" vertical="center"/>
    </xf>
    <xf numFmtId="0" fontId="30" fillId="0" borderId="2" xfId="4" applyNumberFormat="1" applyFont="1" applyFill="1" applyBorder="1" applyAlignment="1" applyProtection="1">
      <alignment vertical="center"/>
    </xf>
    <xf numFmtId="0" fontId="55" fillId="0" borderId="0" xfId="4" applyNumberFormat="1" applyFont="1" applyFill="1" applyBorder="1" applyProtection="1">
      <alignment vertical="center"/>
      <protection locked="0"/>
    </xf>
    <xf numFmtId="0" fontId="34" fillId="0" borderId="12" xfId="4" applyNumberFormat="1" applyFont="1" applyFill="1" applyBorder="1" applyAlignment="1" applyProtection="1">
      <alignment vertical="center" wrapText="1"/>
    </xf>
    <xf numFmtId="0" fontId="34" fillId="0" borderId="61" xfId="4" applyNumberFormat="1" applyFont="1" applyFill="1" applyBorder="1" applyAlignment="1" applyProtection="1">
      <alignment vertical="center" wrapText="1"/>
    </xf>
    <xf numFmtId="0" fontId="30" fillId="0" borderId="36" xfId="10" applyNumberFormat="1" applyFont="1" applyFill="1" applyBorder="1" applyAlignment="1" applyProtection="1">
      <alignment vertical="center" shrinkToFit="1"/>
    </xf>
    <xf numFmtId="0" fontId="30" fillId="0" borderId="37" xfId="10" applyNumberFormat="1" applyFont="1" applyFill="1" applyBorder="1" applyAlignment="1" applyProtection="1">
      <alignment vertical="center" shrinkToFit="1"/>
    </xf>
    <xf numFmtId="0" fontId="54" fillId="22" borderId="0" xfId="14" applyNumberFormat="1" applyBorder="1" applyProtection="1">
      <alignment vertical="center"/>
      <protection hidden="1"/>
    </xf>
    <xf numFmtId="0" fontId="54" fillId="22" borderId="0" xfId="14" applyNumberFormat="1" applyBorder="1" applyProtection="1">
      <alignment vertical="center"/>
      <protection locked="0"/>
    </xf>
    <xf numFmtId="0" fontId="5" fillId="5" borderId="9" xfId="4" applyNumberFormat="1" applyFont="1" applyFill="1" applyBorder="1" applyProtection="1">
      <alignment vertical="center"/>
      <protection locked="0"/>
    </xf>
    <xf numFmtId="0" fontId="5" fillId="5" borderId="9" xfId="4" applyNumberFormat="1" applyFont="1" applyFill="1" applyBorder="1" applyProtection="1">
      <alignment vertical="center"/>
      <protection hidden="1"/>
    </xf>
    <xf numFmtId="0" fontId="5" fillId="5" borderId="9" xfId="4" applyNumberFormat="1" applyFont="1" applyFill="1" applyBorder="1" applyProtection="1">
      <alignment vertical="center"/>
      <protection locked="0" hidden="1"/>
    </xf>
    <xf numFmtId="0" fontId="9" fillId="2" borderId="9" xfId="4" applyFont="1" applyFill="1" applyBorder="1" applyAlignment="1" applyProtection="1">
      <alignment vertical="center" shrinkToFit="1"/>
      <protection hidden="1"/>
    </xf>
    <xf numFmtId="0" fontId="9" fillId="0" borderId="9" xfId="4" applyFont="1" applyFill="1" applyBorder="1" applyAlignment="1" applyProtection="1">
      <alignment vertical="center" shrinkToFit="1"/>
      <protection hidden="1"/>
    </xf>
    <xf numFmtId="49" fontId="15" fillId="9" borderId="6" xfId="4" applyNumberFormat="1" applyFont="1" applyFill="1" applyBorder="1" applyProtection="1">
      <alignment vertical="center"/>
      <protection locked="0"/>
    </xf>
    <xf numFmtId="49" fontId="5" fillId="5" borderId="6" xfId="4" applyNumberFormat="1" applyFont="1" applyFill="1" applyBorder="1" applyProtection="1">
      <alignment vertical="center"/>
      <protection hidden="1"/>
    </xf>
    <xf numFmtId="49" fontId="5" fillId="5" borderId="9" xfId="4" applyNumberFormat="1" applyFont="1" applyFill="1" applyBorder="1" applyProtection="1">
      <alignment vertical="center"/>
      <protection hidden="1"/>
    </xf>
    <xf numFmtId="0" fontId="23" fillId="0" borderId="6" xfId="2" applyFont="1" applyFill="1" applyBorder="1" applyAlignment="1"/>
    <xf numFmtId="0" fontId="19" fillId="8" borderId="6" xfId="2" applyFont="1" applyFill="1" applyBorder="1" applyAlignment="1">
      <alignment vertical="center"/>
    </xf>
    <xf numFmtId="0" fontId="23" fillId="8" borderId="6" xfId="2" applyFont="1" applyFill="1" applyBorder="1" applyAlignment="1">
      <alignment vertical="center"/>
    </xf>
    <xf numFmtId="0" fontId="19" fillId="18" borderId="6" xfId="2" applyNumberFormat="1" applyFont="1" applyFill="1" applyBorder="1" applyAlignment="1">
      <alignment vertical="center"/>
    </xf>
    <xf numFmtId="0" fontId="15" fillId="18" borderId="6" xfId="4" applyNumberFormat="1" applyFont="1" applyFill="1" applyBorder="1" applyAlignment="1" applyProtection="1">
      <alignment vertical="center"/>
      <protection hidden="1"/>
    </xf>
    <xf numFmtId="0" fontId="19" fillId="18" borderId="6" xfId="2" applyFont="1" applyFill="1" applyBorder="1" applyAlignment="1">
      <alignment horizontal="left" vertical="top"/>
    </xf>
    <xf numFmtId="0" fontId="23" fillId="18" borderId="6" xfId="2" applyNumberFormat="1" applyFont="1" applyFill="1" applyBorder="1" applyAlignment="1">
      <alignment vertical="center"/>
    </xf>
    <xf numFmtId="0" fontId="17" fillId="13" borderId="0" xfId="4" applyFont="1" applyFill="1" applyAlignment="1" applyProtection="1">
      <alignment vertical="center"/>
      <protection hidden="1"/>
    </xf>
    <xf numFmtId="49" fontId="18" fillId="13" borderId="6" xfId="4" applyNumberFormat="1" applyFont="1" applyFill="1" applyBorder="1" applyAlignment="1">
      <alignment horizontal="left" vertical="center"/>
    </xf>
    <xf numFmtId="49" fontId="18" fillId="13" borderId="6" xfId="4" applyNumberFormat="1" applyFont="1" applyFill="1" applyBorder="1" applyAlignment="1">
      <alignment vertical="center"/>
    </xf>
    <xf numFmtId="0" fontId="18" fillId="13" borderId="6" xfId="4" applyFont="1" applyFill="1" applyBorder="1" applyAlignment="1">
      <alignment horizontal="left" vertical="center"/>
    </xf>
    <xf numFmtId="49" fontId="20" fillId="13" borderId="6" xfId="4" applyNumberFormat="1" applyFont="1" applyFill="1" applyBorder="1" applyAlignment="1">
      <alignment vertical="center"/>
    </xf>
    <xf numFmtId="6" fontId="5" fillId="5" borderId="0" xfId="4" applyNumberFormat="1" applyFont="1" applyFill="1" applyBorder="1" applyAlignment="1" applyProtection="1">
      <alignment vertical="center"/>
      <protection hidden="1"/>
    </xf>
    <xf numFmtId="0" fontId="31" fillId="16" borderId="0" xfId="4" applyNumberFormat="1" applyFont="1" applyFill="1" applyBorder="1" applyProtection="1">
      <alignment vertical="center"/>
      <protection hidden="1"/>
    </xf>
    <xf numFmtId="0" fontId="31" fillId="16" borderId="0" xfId="4" applyNumberFormat="1" applyFont="1" applyFill="1" applyBorder="1" applyProtection="1">
      <alignment vertical="center"/>
      <protection locked="0" hidden="1"/>
    </xf>
    <xf numFmtId="0" fontId="31" fillId="16" borderId="0" xfId="4" applyNumberFormat="1" applyFont="1" applyFill="1" applyBorder="1" applyAlignment="1" applyProtection="1">
      <alignment horizontal="left" vertical="center" wrapText="1"/>
      <protection hidden="1"/>
    </xf>
    <xf numFmtId="0" fontId="31" fillId="16" borderId="0" xfId="4" applyNumberFormat="1" applyFont="1" applyFill="1" applyProtection="1">
      <alignment vertical="center"/>
      <protection hidden="1"/>
    </xf>
    <xf numFmtId="0" fontId="20" fillId="4" borderId="2" xfId="4" applyFont="1" applyFill="1" applyBorder="1" applyAlignment="1" applyProtection="1">
      <alignment horizontal="right" vertical="center"/>
      <protection hidden="1"/>
    </xf>
    <xf numFmtId="0" fontId="15" fillId="4" borderId="6" xfId="4" applyFont="1" applyFill="1" applyBorder="1" applyAlignment="1" applyProtection="1">
      <alignment horizontal="right" vertical="center"/>
      <protection hidden="1"/>
    </xf>
    <xf numFmtId="182" fontId="34" fillId="0" borderId="131" xfId="6" applyNumberFormat="1" applyFont="1" applyBorder="1" applyAlignment="1" applyProtection="1">
      <alignment horizontal="center" vertical="center" shrinkToFit="1"/>
    </xf>
    <xf numFmtId="180" fontId="34" fillId="0" borderId="77" xfId="6" applyNumberFormat="1" applyFont="1" applyBorder="1" applyAlignment="1" applyProtection="1">
      <alignment horizontal="center" vertical="center" shrinkToFit="1"/>
    </xf>
    <xf numFmtId="176" fontId="34" fillId="0" borderId="128" xfId="4" applyNumberFormat="1" applyFont="1" applyFill="1" applyBorder="1" applyAlignment="1" applyProtection="1">
      <alignment vertical="center"/>
    </xf>
    <xf numFmtId="0" fontId="30" fillId="0" borderId="136" xfId="4" applyNumberFormat="1" applyFont="1" applyFill="1" applyBorder="1" applyAlignment="1" applyProtection="1">
      <alignment horizontal="center" vertical="center" shrinkToFit="1"/>
    </xf>
    <xf numFmtId="0" fontId="30" fillId="0" borderId="136" xfId="4" applyNumberFormat="1" applyFont="1" applyFill="1" applyBorder="1" applyAlignment="1" applyProtection="1">
      <alignment vertical="center" shrinkToFit="1"/>
    </xf>
    <xf numFmtId="0" fontId="34" fillId="0" borderId="136" xfId="4" applyFont="1" applyFill="1" applyBorder="1" applyAlignment="1" applyProtection="1">
      <alignment horizontal="center" vertical="center" shrinkToFit="1"/>
    </xf>
    <xf numFmtId="0" fontId="30" fillId="0" borderId="137" xfId="4" applyFont="1" applyFill="1" applyBorder="1" applyProtection="1">
      <alignment vertical="center"/>
    </xf>
    <xf numFmtId="0" fontId="34" fillId="0" borderId="137" xfId="4" applyFont="1" applyFill="1" applyBorder="1" applyAlignment="1" applyProtection="1">
      <alignment horizontal="right" vertical="center"/>
    </xf>
    <xf numFmtId="0" fontId="9" fillId="5" borderId="0" xfId="4" applyNumberFormat="1" applyFont="1" applyFill="1" applyBorder="1" applyAlignment="1" applyProtection="1">
      <alignment vertical="center" wrapText="1"/>
      <protection locked="0"/>
    </xf>
    <xf numFmtId="0" fontId="34" fillId="0" borderId="139" xfId="4" applyFont="1" applyFill="1" applyBorder="1" applyAlignment="1" applyProtection="1">
      <alignment horizontal="center" vertical="center" shrinkToFit="1"/>
    </xf>
    <xf numFmtId="0" fontId="30" fillId="0" borderId="139" xfId="4" applyNumberFormat="1" applyFont="1" applyFill="1" applyBorder="1" applyAlignment="1" applyProtection="1">
      <alignment horizontal="center" vertical="center" shrinkToFit="1"/>
    </xf>
    <xf numFmtId="0" fontId="30" fillId="0" borderId="139" xfId="4" applyNumberFormat="1" applyFont="1" applyFill="1" applyBorder="1" applyAlignment="1" applyProtection="1">
      <alignment vertical="center" shrinkToFit="1"/>
    </xf>
    <xf numFmtId="182" fontId="34" fillId="0" borderId="131" xfId="6" applyNumberFormat="1" applyFont="1" applyBorder="1" applyAlignment="1" applyProtection="1">
      <alignment horizontal="center" vertical="center" shrinkToFit="1"/>
      <protection locked="0"/>
    </xf>
    <xf numFmtId="182" fontId="34" fillId="0" borderId="77" xfId="6" applyNumberFormat="1" applyFont="1" applyBorder="1" applyAlignment="1" applyProtection="1">
      <alignment horizontal="center" vertical="center" shrinkToFit="1"/>
    </xf>
    <xf numFmtId="0" fontId="5" fillId="5" borderId="0" xfId="4" applyNumberFormat="1" applyFont="1" applyFill="1" applyBorder="1" applyProtection="1">
      <alignment vertical="center"/>
      <protection locked="0"/>
    </xf>
    <xf numFmtId="0" fontId="5" fillId="5" borderId="0" xfId="4" applyNumberFormat="1" applyFont="1" applyFill="1" applyBorder="1" applyProtection="1">
      <alignment vertical="center"/>
      <protection hidden="1"/>
    </xf>
    <xf numFmtId="49" fontId="5" fillId="5" borderId="0" xfId="4" applyNumberFormat="1" applyFont="1" applyFill="1" applyBorder="1" applyProtection="1">
      <alignment vertical="center"/>
      <protection hidden="1"/>
    </xf>
    <xf numFmtId="0" fontId="5" fillId="5" borderId="0" xfId="4" applyNumberFormat="1" applyFont="1" applyFill="1" applyBorder="1" applyProtection="1">
      <alignment vertical="center"/>
      <protection locked="0" hidden="1"/>
    </xf>
    <xf numFmtId="0" fontId="9" fillId="2" borderId="0" xfId="4" applyFont="1" applyFill="1" applyBorder="1" applyAlignment="1" applyProtection="1">
      <alignment vertical="center" shrinkToFit="1"/>
      <protection hidden="1"/>
    </xf>
    <xf numFmtId="0" fontId="9" fillId="2" borderId="0" xfId="4" applyFont="1" applyFill="1" applyBorder="1" applyAlignment="1" applyProtection="1">
      <alignment horizontal="right" vertical="center" shrinkToFit="1"/>
      <protection hidden="1"/>
    </xf>
    <xf numFmtId="0" fontId="9" fillId="0" borderId="0" xfId="4" applyFont="1" applyFill="1" applyBorder="1" applyAlignment="1" applyProtection="1">
      <alignment vertical="center" shrinkToFit="1"/>
      <protection hidden="1"/>
    </xf>
    <xf numFmtId="9" fontId="5" fillId="5" borderId="0" xfId="6" applyFont="1" applyFill="1" applyBorder="1" applyProtection="1">
      <alignment vertical="center"/>
      <protection hidden="1"/>
    </xf>
    <xf numFmtId="6" fontId="5" fillId="5" borderId="0" xfId="4" applyNumberFormat="1" applyFont="1" applyFill="1" applyBorder="1" applyProtection="1">
      <alignment vertical="center"/>
      <protection hidden="1"/>
    </xf>
    <xf numFmtId="6" fontId="29" fillId="0" borderId="0" xfId="5" applyFont="1" applyBorder="1" applyAlignment="1" applyProtection="1">
      <alignment horizontal="left" vertical="center" shrinkToFit="1"/>
    </xf>
    <xf numFmtId="6" fontId="29" fillId="0" borderId="34" xfId="5" applyFont="1" applyBorder="1" applyAlignment="1" applyProtection="1">
      <alignment horizontal="left" vertical="center" shrinkToFit="1"/>
    </xf>
    <xf numFmtId="0" fontId="9" fillId="0" borderId="0" xfId="3" applyFont="1" applyFill="1" applyAlignment="1" applyProtection="1">
      <alignment vertical="center"/>
      <protection locked="0"/>
    </xf>
    <xf numFmtId="6" fontId="5" fillId="0" borderId="0" xfId="4" applyNumberFormat="1" applyFont="1" applyFill="1" applyAlignment="1" applyProtection="1">
      <alignment vertical="center"/>
      <protection locked="0"/>
    </xf>
    <xf numFmtId="0" fontId="5" fillId="0" borderId="0" xfId="4" applyNumberFormat="1" applyFont="1" applyFill="1" applyAlignment="1" applyProtection="1">
      <alignment vertical="center"/>
      <protection locked="0"/>
    </xf>
    <xf numFmtId="0" fontId="5" fillId="0" borderId="0" xfId="4" applyNumberFormat="1" applyFont="1" applyFill="1" applyAlignment="1" applyProtection="1">
      <alignment vertical="center"/>
      <protection hidden="1"/>
    </xf>
    <xf numFmtId="0" fontId="15" fillId="0" borderId="0" xfId="6" applyNumberFormat="1" applyFont="1" applyFill="1" applyBorder="1" applyAlignment="1" applyProtection="1">
      <alignment horizontal="left" vertical="center"/>
      <protection locked="0" hidden="1"/>
    </xf>
    <xf numFmtId="0" fontId="15" fillId="0" borderId="0" xfId="4" applyNumberFormat="1" applyFont="1" applyFill="1" applyBorder="1" applyAlignment="1" applyProtection="1">
      <alignment horizontal="left" vertical="center"/>
      <protection locked="0" hidden="1"/>
    </xf>
    <xf numFmtId="0" fontId="16" fillId="0" borderId="0" xfId="4" applyNumberFormat="1" applyFont="1" applyFill="1" applyProtection="1">
      <alignment vertical="center"/>
      <protection hidden="1"/>
    </xf>
    <xf numFmtId="49" fontId="61" fillId="0" borderId="0" xfId="4" applyNumberFormat="1" applyFont="1" applyFill="1" applyProtection="1">
      <alignment vertical="center"/>
      <protection locked="0"/>
    </xf>
    <xf numFmtId="0" fontId="61" fillId="0" borderId="0" xfId="4" applyNumberFormat="1" applyFont="1" applyFill="1" applyProtection="1">
      <alignment vertical="center"/>
      <protection hidden="1"/>
    </xf>
    <xf numFmtId="0" fontId="5" fillId="4" borderId="9" xfId="4" applyNumberFormat="1" applyFont="1" applyFill="1" applyBorder="1" applyProtection="1">
      <alignment vertical="center"/>
      <protection locked="0"/>
    </xf>
    <xf numFmtId="0" fontId="5" fillId="4" borderId="9" xfId="4" applyNumberFormat="1" applyFont="1" applyFill="1" applyBorder="1" applyProtection="1">
      <alignment vertical="center"/>
      <protection hidden="1"/>
    </xf>
    <xf numFmtId="49" fontId="5" fillId="4" borderId="9" xfId="4" applyNumberFormat="1" applyFont="1" applyFill="1" applyBorder="1" applyProtection="1">
      <alignment vertical="center"/>
      <protection hidden="1"/>
    </xf>
    <xf numFmtId="0" fontId="5" fillId="4" borderId="9" xfId="4" applyNumberFormat="1" applyFont="1" applyFill="1" applyBorder="1" applyProtection="1">
      <alignment vertical="center"/>
      <protection locked="0" hidden="1"/>
    </xf>
    <xf numFmtId="0" fontId="9" fillId="24" borderId="9" xfId="4" applyFont="1" applyFill="1" applyBorder="1" applyAlignment="1" applyProtection="1">
      <alignment vertical="center" shrinkToFit="1"/>
      <protection hidden="1"/>
    </xf>
    <xf numFmtId="0" fontId="9" fillId="24" borderId="6" xfId="4" applyFont="1" applyFill="1" applyBorder="1" applyAlignment="1" applyProtection="1">
      <alignment horizontal="right" vertical="center" shrinkToFit="1"/>
      <protection hidden="1"/>
    </xf>
    <xf numFmtId="0" fontId="9" fillId="4" borderId="9" xfId="4" applyFont="1" applyFill="1" applyBorder="1" applyAlignment="1" applyProtection="1">
      <alignment vertical="center" shrinkToFit="1"/>
      <protection hidden="1"/>
    </xf>
    <xf numFmtId="0" fontId="9" fillId="24" borderId="6" xfId="4" applyFont="1" applyFill="1" applyBorder="1" applyAlignment="1" applyProtection="1">
      <alignment vertical="center" shrinkToFit="1"/>
      <protection hidden="1"/>
    </xf>
    <xf numFmtId="6" fontId="5" fillId="4" borderId="6" xfId="4" applyNumberFormat="1" applyFont="1" applyFill="1" applyBorder="1" applyProtection="1">
      <alignment vertical="center"/>
      <protection hidden="1"/>
    </xf>
    <xf numFmtId="10" fontId="5" fillId="5" borderId="6" xfId="6" applyNumberFormat="1" applyFont="1" applyFill="1" applyBorder="1" applyProtection="1">
      <alignment vertical="center"/>
      <protection hidden="1"/>
    </xf>
    <xf numFmtId="10" fontId="5" fillId="4" borderId="6" xfId="6" applyNumberFormat="1" applyFont="1" applyFill="1" applyBorder="1" applyProtection="1">
      <alignment vertical="center"/>
      <protection hidden="1"/>
    </xf>
    <xf numFmtId="0" fontId="9" fillId="24" borderId="9" xfId="4" applyFont="1" applyFill="1" applyBorder="1" applyAlignment="1" applyProtection="1">
      <alignment horizontal="right" vertical="center" shrinkToFit="1"/>
      <protection hidden="1"/>
    </xf>
    <xf numFmtId="0" fontId="62" fillId="0" borderId="6" xfId="4" applyFont="1" applyBorder="1" applyAlignment="1" applyProtection="1">
      <alignment vertical="center"/>
      <protection hidden="1"/>
    </xf>
    <xf numFmtId="6" fontId="29" fillId="0" borderId="40" xfId="5" applyFont="1" applyBorder="1" applyAlignment="1" applyProtection="1">
      <alignment horizontal="left" vertical="center" shrinkToFit="1"/>
    </xf>
    <xf numFmtId="0" fontId="12" fillId="0" borderId="0" xfId="0" applyFont="1" applyFill="1" applyAlignment="1">
      <alignment horizontal="left" vertical="center"/>
    </xf>
    <xf numFmtId="46" fontId="12" fillId="0" borderId="0" xfId="0" applyNumberFormat="1" applyFont="1" applyFill="1" applyAlignment="1">
      <alignment horizontal="left" vertical="center"/>
    </xf>
    <xf numFmtId="0" fontId="34" fillId="0" borderId="40" xfId="4" applyFont="1" applyFill="1" applyBorder="1" applyAlignment="1" applyProtection="1">
      <alignment horizontal="center" vertical="center" shrinkToFit="1"/>
    </xf>
    <xf numFmtId="0" fontId="5" fillId="4" borderId="6" xfId="4" applyNumberFormat="1" applyFont="1" applyFill="1" applyBorder="1" applyProtection="1">
      <alignment vertical="center"/>
      <protection locked="0"/>
    </xf>
    <xf numFmtId="0" fontId="5" fillId="4" borderId="6" xfId="4" applyNumberFormat="1" applyFont="1" applyFill="1" applyBorder="1" applyProtection="1">
      <alignment vertical="center"/>
      <protection locked="0" hidden="1"/>
    </xf>
    <xf numFmtId="0" fontId="9" fillId="4" borderId="6" xfId="4" applyFont="1" applyFill="1" applyBorder="1" applyAlignment="1" applyProtection="1">
      <alignment vertical="center" shrinkToFit="1"/>
      <protection hidden="1"/>
    </xf>
    <xf numFmtId="0" fontId="30" fillId="0" borderId="63" xfId="4" applyNumberFormat="1" applyFont="1" applyFill="1" applyBorder="1" applyAlignment="1" applyProtection="1">
      <alignment vertical="center" wrapText="1"/>
    </xf>
    <xf numFmtId="0" fontId="30" fillId="0" borderId="5" xfId="4" applyNumberFormat="1" applyFont="1" applyFill="1" applyBorder="1" applyAlignment="1" applyProtection="1">
      <alignment vertical="center" wrapText="1"/>
    </xf>
    <xf numFmtId="0" fontId="30" fillId="0" borderId="36" xfId="4" applyNumberFormat="1" applyFont="1" applyFill="1" applyBorder="1" applyAlignment="1" applyProtection="1">
      <alignment vertical="center" wrapText="1"/>
    </xf>
    <xf numFmtId="184" fontId="29" fillId="6" borderId="168" xfId="13" applyNumberFormat="1" applyFont="1" applyFill="1" applyBorder="1" applyAlignment="1" applyProtection="1">
      <alignment vertical="center" shrinkToFit="1"/>
    </xf>
    <xf numFmtId="184" fontId="29" fillId="6" borderId="21" xfId="5" applyNumberFormat="1" applyFont="1" applyFill="1" applyBorder="1" applyAlignment="1" applyProtection="1">
      <alignment vertical="center" shrinkToFit="1"/>
    </xf>
    <xf numFmtId="0" fontId="5" fillId="4" borderId="6" xfId="4" applyNumberFormat="1" applyFont="1" applyFill="1" applyBorder="1" applyAlignment="1" applyProtection="1">
      <alignment horizontal="left" vertical="center"/>
      <protection locked="0"/>
    </xf>
    <xf numFmtId="0" fontId="34" fillId="0" borderId="0" xfId="4" applyFont="1" applyFill="1" applyBorder="1" applyAlignment="1" applyProtection="1">
      <alignment horizontal="center" vertical="center" shrinkToFit="1"/>
    </xf>
    <xf numFmtId="0" fontId="31" fillId="0" borderId="17" xfId="4" applyNumberFormat="1" applyFont="1" applyFill="1" applyBorder="1" applyProtection="1">
      <alignment vertical="center"/>
    </xf>
    <xf numFmtId="0" fontId="42" fillId="0" borderId="169" xfId="0" applyFont="1" applyFill="1" applyBorder="1">
      <alignment vertical="center"/>
    </xf>
    <xf numFmtId="0" fontId="42" fillId="0" borderId="170" xfId="0" applyFont="1" applyFill="1" applyBorder="1">
      <alignment vertical="center"/>
    </xf>
    <xf numFmtId="0" fontId="42" fillId="0" borderId="0" xfId="0" applyFont="1" applyFill="1">
      <alignment vertical="center"/>
    </xf>
    <xf numFmtId="0" fontId="42" fillId="0" borderId="171" xfId="0" applyFont="1" applyFill="1" applyBorder="1">
      <alignment vertical="center"/>
    </xf>
    <xf numFmtId="0" fontId="42" fillId="0" borderId="172" xfId="0" applyFont="1" applyFill="1" applyBorder="1">
      <alignment vertical="center"/>
    </xf>
    <xf numFmtId="0" fontId="66" fillId="0" borderId="0" xfId="0" applyFont="1" applyFill="1" applyBorder="1">
      <alignment vertical="center"/>
    </xf>
    <xf numFmtId="0" fontId="42" fillId="0" borderId="0" xfId="0" applyFont="1" applyFill="1" applyBorder="1">
      <alignment vertical="center"/>
    </xf>
    <xf numFmtId="0" fontId="47" fillId="0" borderId="0" xfId="0" applyFont="1" applyFill="1" applyBorder="1">
      <alignment vertical="center"/>
    </xf>
    <xf numFmtId="0" fontId="35" fillId="0" borderId="0" xfId="0" applyFont="1" applyFill="1" applyBorder="1">
      <alignment vertical="center"/>
    </xf>
    <xf numFmtId="0" fontId="42" fillId="0" borderId="171" xfId="0" applyFont="1" applyBorder="1">
      <alignment vertical="center"/>
    </xf>
    <xf numFmtId="0" fontId="42" fillId="0" borderId="172" xfId="0" applyFont="1" applyFill="1" applyBorder="1" applyAlignment="1">
      <alignment vertical="center"/>
    </xf>
    <xf numFmtId="0" fontId="42" fillId="8" borderId="175" xfId="0" applyFont="1" applyFill="1" applyBorder="1" applyAlignment="1">
      <alignment vertical="center"/>
    </xf>
    <xf numFmtId="0" fontId="42" fillId="8" borderId="176" xfId="0" applyFont="1" applyFill="1" applyBorder="1" applyAlignment="1">
      <alignment vertical="center"/>
    </xf>
    <xf numFmtId="0" fontId="42" fillId="8" borderId="175" xfId="0" applyFont="1" applyFill="1" applyBorder="1">
      <alignment vertical="center"/>
    </xf>
    <xf numFmtId="0" fontId="42" fillId="8" borderId="176" xfId="0" applyFont="1" applyFill="1" applyBorder="1">
      <alignment vertical="center"/>
    </xf>
    <xf numFmtId="0" fontId="42" fillId="8" borderId="171" xfId="0" applyFont="1" applyFill="1" applyBorder="1" applyAlignment="1">
      <alignment vertical="center"/>
    </xf>
    <xf numFmtId="0" fontId="42" fillId="8" borderId="0" xfId="0" applyFont="1" applyFill="1" applyBorder="1" applyAlignment="1">
      <alignment vertical="center"/>
    </xf>
    <xf numFmtId="0" fontId="42" fillId="8" borderId="172" xfId="0" applyFont="1" applyFill="1" applyBorder="1" applyAlignment="1">
      <alignment vertical="center"/>
    </xf>
    <xf numFmtId="0" fontId="42" fillId="8" borderId="171" xfId="0" applyFont="1" applyFill="1" applyBorder="1">
      <alignment vertical="center"/>
    </xf>
    <xf numFmtId="0" fontId="42" fillId="8" borderId="0" xfId="0" applyFont="1" applyFill="1" applyBorder="1">
      <alignment vertical="center"/>
    </xf>
    <xf numFmtId="0" fontId="42" fillId="8" borderId="172" xfId="0" applyFont="1" applyFill="1" applyBorder="1">
      <alignment vertical="center"/>
    </xf>
    <xf numFmtId="0" fontId="59" fillId="8" borderId="171" xfId="0" applyFont="1" applyFill="1" applyBorder="1">
      <alignment vertical="center"/>
    </xf>
    <xf numFmtId="0" fontId="58" fillId="8" borderId="0" xfId="0" applyFont="1" applyFill="1" applyBorder="1">
      <alignment vertical="center"/>
    </xf>
    <xf numFmtId="0" fontId="42" fillId="8" borderId="177" xfId="0" applyFont="1" applyFill="1" applyBorder="1" applyAlignment="1">
      <alignment vertical="center"/>
    </xf>
    <xf numFmtId="0" fontId="42" fillId="8" borderId="178" xfId="0" applyFont="1" applyFill="1" applyBorder="1" applyAlignment="1">
      <alignment vertical="center"/>
    </xf>
    <xf numFmtId="0" fontId="42" fillId="8" borderId="179" xfId="0" applyFont="1" applyFill="1" applyBorder="1" applyAlignment="1">
      <alignment vertical="center"/>
    </xf>
    <xf numFmtId="0" fontId="59" fillId="8" borderId="177" xfId="0" applyFont="1" applyFill="1" applyBorder="1">
      <alignment vertical="center"/>
    </xf>
    <xf numFmtId="0" fontId="42" fillId="8" borderId="178" xfId="0" applyFont="1" applyFill="1" applyBorder="1">
      <alignment vertical="center"/>
    </xf>
    <xf numFmtId="0" fontId="42" fillId="8" borderId="179" xfId="0" applyFont="1" applyFill="1" applyBorder="1">
      <alignment vertical="center"/>
    </xf>
    <xf numFmtId="0" fontId="42" fillId="0" borderId="177" xfId="0" applyFont="1" applyFill="1" applyBorder="1">
      <alignment vertical="center"/>
    </xf>
    <xf numFmtId="0" fontId="42" fillId="0" borderId="178" xfId="0" applyFont="1" applyFill="1" applyBorder="1">
      <alignment vertical="center"/>
    </xf>
    <xf numFmtId="0" fontId="42" fillId="0" borderId="179" xfId="0" applyFont="1" applyFill="1" applyBorder="1">
      <alignment vertical="center"/>
    </xf>
    <xf numFmtId="0" fontId="43" fillId="0" borderId="0" xfId="0" applyFont="1" applyFill="1" applyBorder="1">
      <alignment vertical="center"/>
    </xf>
    <xf numFmtId="0" fontId="61" fillId="5" borderId="0" xfId="4" applyNumberFormat="1" applyFont="1" applyFill="1" applyProtection="1">
      <alignment vertical="center"/>
      <protection locked="0"/>
    </xf>
    <xf numFmtId="6" fontId="15" fillId="5" borderId="0" xfId="4" applyNumberFormat="1" applyFont="1" applyFill="1" applyProtection="1">
      <alignment vertical="center"/>
      <protection locked="0"/>
    </xf>
    <xf numFmtId="0" fontId="15" fillId="5" borderId="0" xfId="4" applyNumberFormat="1" applyFont="1" applyFill="1" applyBorder="1" applyProtection="1">
      <alignment vertical="center"/>
      <protection locked="0"/>
    </xf>
    <xf numFmtId="0" fontId="61" fillId="5" borderId="0" xfId="4" applyNumberFormat="1" applyFont="1" applyFill="1" applyProtection="1">
      <alignment vertical="center"/>
      <protection hidden="1"/>
    </xf>
    <xf numFmtId="0" fontId="15" fillId="5" borderId="0" xfId="4" applyNumberFormat="1" applyFont="1" applyFill="1" applyProtection="1">
      <alignment vertical="center"/>
      <protection hidden="1"/>
    </xf>
    <xf numFmtId="0" fontId="15" fillId="5" borderId="0" xfId="4" applyNumberFormat="1" applyFont="1" applyFill="1" applyProtection="1">
      <alignment vertical="center"/>
      <protection locked="0"/>
    </xf>
    <xf numFmtId="0" fontId="54" fillId="0" borderId="0" xfId="14" applyNumberFormat="1" applyFill="1" applyBorder="1" applyProtection="1">
      <alignment vertical="center"/>
      <protection locked="0"/>
    </xf>
    <xf numFmtId="0" fontId="54" fillId="0" borderId="0" xfId="14" applyNumberFormat="1" applyFill="1" applyProtection="1">
      <alignment vertical="center"/>
      <protection hidden="1"/>
    </xf>
    <xf numFmtId="0" fontId="54" fillId="0" borderId="0" xfId="14" applyNumberFormat="1" applyFill="1" applyBorder="1" applyProtection="1">
      <alignment vertical="center"/>
      <protection hidden="1"/>
    </xf>
    <xf numFmtId="0" fontId="68" fillId="0" borderId="31" xfId="4" applyNumberFormat="1" applyFont="1" applyFill="1" applyBorder="1" applyAlignment="1" applyProtection="1">
      <alignment vertical="center"/>
    </xf>
    <xf numFmtId="0" fontId="30" fillId="0" borderId="147" xfId="4" applyNumberFormat="1" applyFont="1" applyFill="1" applyBorder="1" applyAlignment="1" applyProtection="1">
      <alignment vertical="center" shrinkToFit="1"/>
    </xf>
    <xf numFmtId="0" fontId="30" fillId="0" borderId="147" xfId="4" applyNumberFormat="1" applyFont="1" applyFill="1" applyBorder="1" applyAlignment="1" applyProtection="1">
      <alignment vertical="center" shrinkToFit="1"/>
      <protection locked="0"/>
    </xf>
    <xf numFmtId="0" fontId="30" fillId="0" borderId="150" xfId="4" applyNumberFormat="1" applyFont="1" applyFill="1" applyBorder="1" applyAlignment="1" applyProtection="1">
      <alignment vertical="center" shrinkToFit="1"/>
    </xf>
    <xf numFmtId="49" fontId="30" fillId="0" borderId="193" xfId="4" applyNumberFormat="1" applyFont="1" applyFill="1" applyBorder="1" applyAlignment="1" applyProtection="1">
      <alignment vertical="center" shrinkToFit="1"/>
    </xf>
    <xf numFmtId="49" fontId="30" fillId="0" borderId="194" xfId="4" applyNumberFormat="1" applyFont="1" applyFill="1" applyBorder="1" applyAlignment="1" applyProtection="1">
      <alignment vertical="center" shrinkToFit="1"/>
    </xf>
    <xf numFmtId="49" fontId="30" fillId="0" borderId="5" xfId="4" applyNumberFormat="1" applyFont="1" applyFill="1" applyBorder="1" applyAlignment="1" applyProtection="1">
      <alignment vertical="center" shrinkToFit="1"/>
    </xf>
    <xf numFmtId="49" fontId="30" fillId="0" borderId="36" xfId="4" applyNumberFormat="1" applyFont="1" applyFill="1" applyBorder="1" applyAlignment="1" applyProtection="1">
      <alignment vertical="center" shrinkToFit="1"/>
    </xf>
    <xf numFmtId="0" fontId="30" fillId="0" borderId="193" xfId="4" applyNumberFormat="1" applyFont="1" applyFill="1" applyBorder="1" applyAlignment="1" applyProtection="1">
      <alignment vertical="center" shrinkToFit="1"/>
    </xf>
    <xf numFmtId="0" fontId="30" fillId="0" borderId="194" xfId="4" applyNumberFormat="1" applyFont="1" applyFill="1" applyBorder="1" applyAlignment="1" applyProtection="1">
      <alignment vertical="center" shrinkToFit="1"/>
    </xf>
    <xf numFmtId="0" fontId="30" fillId="0" borderId="195" xfId="4" applyNumberFormat="1" applyFont="1" applyFill="1" applyBorder="1" applyAlignment="1" applyProtection="1">
      <alignment vertical="center" shrinkToFit="1"/>
    </xf>
    <xf numFmtId="0" fontId="30" fillId="0" borderId="5" xfId="4" applyNumberFormat="1" applyFont="1" applyFill="1" applyBorder="1" applyAlignment="1" applyProtection="1">
      <alignment vertical="center" shrinkToFit="1"/>
    </xf>
    <xf numFmtId="0" fontId="30" fillId="0" borderId="36" xfId="4" applyNumberFormat="1" applyFont="1" applyFill="1" applyBorder="1" applyAlignment="1" applyProtection="1">
      <alignment vertical="center" shrinkToFit="1"/>
    </xf>
    <xf numFmtId="0" fontId="30" fillId="0" borderId="54" xfId="4" applyNumberFormat="1" applyFont="1" applyFill="1" applyBorder="1" applyAlignment="1" applyProtection="1">
      <alignment vertical="center" shrinkToFit="1"/>
    </xf>
    <xf numFmtId="0" fontId="30" fillId="0" borderId="36" xfId="4" applyNumberFormat="1" applyFont="1" applyFill="1" applyBorder="1" applyAlignment="1" applyProtection="1">
      <alignment vertical="center"/>
    </xf>
    <xf numFmtId="0" fontId="30" fillId="0" borderId="194" xfId="4" applyNumberFormat="1" applyFont="1" applyFill="1" applyBorder="1" applyAlignment="1" applyProtection="1">
      <alignment vertical="center"/>
    </xf>
    <xf numFmtId="0" fontId="30" fillId="0" borderId="99" xfId="4" applyNumberFormat="1" applyFont="1" applyFill="1" applyBorder="1" applyAlignment="1" applyProtection="1">
      <alignment vertical="center" shrinkToFit="1"/>
    </xf>
    <xf numFmtId="0" fontId="30" fillId="0" borderId="0" xfId="4" applyNumberFormat="1" applyFont="1" applyFill="1" applyBorder="1" applyAlignment="1" applyProtection="1">
      <alignment horizontal="left" vertical="center" wrapText="1"/>
    </xf>
    <xf numFmtId="49" fontId="30" fillId="29" borderId="194" xfId="4" applyNumberFormat="1" applyFont="1" applyFill="1" applyBorder="1" applyAlignment="1" applyProtection="1">
      <alignment horizontal="left" vertical="center" shrinkToFit="1"/>
    </xf>
    <xf numFmtId="49" fontId="30" fillId="29" borderId="196" xfId="4" applyNumberFormat="1" applyFont="1" applyFill="1" applyBorder="1" applyAlignment="1" applyProtection="1">
      <alignment horizontal="left" vertical="center" shrinkToFit="1"/>
    </xf>
    <xf numFmtId="49" fontId="30" fillId="29" borderId="36" xfId="4" applyNumberFormat="1" applyFont="1" applyFill="1" applyBorder="1" applyAlignment="1" applyProtection="1">
      <alignment horizontal="left" vertical="center" shrinkToFit="1"/>
    </xf>
    <xf numFmtId="49" fontId="30" fillId="29" borderId="37" xfId="4" applyNumberFormat="1" applyFont="1" applyFill="1" applyBorder="1" applyAlignment="1" applyProtection="1">
      <alignment horizontal="left" vertical="center" shrinkToFit="1"/>
    </xf>
    <xf numFmtId="49" fontId="30" fillId="29" borderId="0" xfId="4" applyNumberFormat="1" applyFont="1" applyFill="1" applyBorder="1" applyAlignment="1" applyProtection="1">
      <alignment horizontal="left" vertical="center" shrinkToFit="1"/>
    </xf>
    <xf numFmtId="49" fontId="30" fillId="29" borderId="34" xfId="4" applyNumberFormat="1" applyFont="1" applyFill="1" applyBorder="1" applyAlignment="1" applyProtection="1">
      <alignment horizontal="left" vertical="center" shrinkToFit="1"/>
    </xf>
    <xf numFmtId="49" fontId="30" fillId="29" borderId="40" xfId="4" applyNumberFormat="1" applyFont="1" applyFill="1" applyBorder="1" applyAlignment="1" applyProtection="1">
      <alignment horizontal="left" vertical="center" shrinkToFit="1"/>
    </xf>
    <xf numFmtId="49" fontId="30" fillId="29" borderId="43" xfId="4" applyNumberFormat="1" applyFont="1" applyFill="1" applyBorder="1" applyAlignment="1" applyProtection="1">
      <alignment horizontal="left" vertical="center" shrinkToFit="1"/>
    </xf>
    <xf numFmtId="0" fontId="30" fillId="0" borderId="0" xfId="4" applyNumberFormat="1" applyFont="1" applyFill="1" applyBorder="1" applyAlignment="1" applyProtection="1">
      <alignment horizontal="left" vertical="center" shrinkToFit="1"/>
    </xf>
    <xf numFmtId="0" fontId="31" fillId="30" borderId="0" xfId="4" applyNumberFormat="1" applyFont="1" applyFill="1" applyBorder="1" applyProtection="1">
      <alignment vertical="center"/>
      <protection locked="0"/>
    </xf>
    <xf numFmtId="0" fontId="29" fillId="0" borderId="0" xfId="4" applyNumberFormat="1" applyFont="1" applyFill="1" applyBorder="1" applyProtection="1">
      <alignment vertical="center"/>
      <protection locked="0"/>
    </xf>
    <xf numFmtId="0" fontId="55" fillId="0" borderId="0" xfId="4" applyNumberFormat="1" applyFont="1" applyFill="1" applyProtection="1">
      <alignment vertical="center"/>
      <protection locked="0"/>
    </xf>
    <xf numFmtId="49" fontId="30" fillId="29" borderId="36" xfId="4" applyNumberFormat="1" applyFont="1" applyFill="1" applyBorder="1" applyAlignment="1" applyProtection="1">
      <alignment vertical="center" shrinkToFit="1"/>
    </xf>
    <xf numFmtId="49" fontId="30" fillId="29" borderId="0" xfId="4" applyNumberFormat="1" applyFont="1" applyFill="1" applyBorder="1" applyAlignment="1" applyProtection="1">
      <alignment vertical="center" shrinkToFit="1"/>
    </xf>
    <xf numFmtId="49" fontId="30" fillId="29" borderId="40" xfId="4" applyNumberFormat="1" applyFont="1" applyFill="1" applyBorder="1" applyAlignment="1" applyProtection="1">
      <alignment vertical="center" shrinkToFit="1"/>
    </xf>
    <xf numFmtId="49" fontId="30" fillId="34" borderId="194" xfId="4" applyNumberFormat="1" applyFont="1" applyFill="1" applyBorder="1" applyAlignment="1" applyProtection="1">
      <alignment vertical="center" shrinkToFit="1"/>
    </xf>
    <xf numFmtId="0" fontId="30" fillId="34" borderId="194" xfId="4" applyNumberFormat="1" applyFont="1" applyFill="1" applyBorder="1" applyAlignment="1" applyProtection="1">
      <alignment vertical="center" wrapText="1" shrinkToFit="1"/>
    </xf>
    <xf numFmtId="0" fontId="30" fillId="34" borderId="40" xfId="4" applyNumberFormat="1" applyFont="1" applyFill="1" applyBorder="1" applyAlignment="1" applyProtection="1">
      <alignment vertical="center" wrapText="1" shrinkToFit="1"/>
    </xf>
    <xf numFmtId="0" fontId="30" fillId="34" borderId="193" xfId="4" applyNumberFormat="1" applyFont="1" applyFill="1" applyBorder="1" applyAlignment="1" applyProtection="1">
      <alignment vertical="center" wrapText="1" shrinkToFit="1"/>
    </xf>
    <xf numFmtId="0" fontId="30" fillId="34" borderId="42" xfId="4" applyNumberFormat="1" applyFont="1" applyFill="1" applyBorder="1" applyAlignment="1" applyProtection="1">
      <alignment vertical="center" wrapText="1" shrinkToFit="1"/>
    </xf>
    <xf numFmtId="0" fontId="30" fillId="0" borderId="200" xfId="4" applyNumberFormat="1" applyFont="1" applyFill="1" applyBorder="1" applyAlignment="1" applyProtection="1">
      <alignment horizontal="center" vertical="center" shrinkToFit="1"/>
    </xf>
    <xf numFmtId="0" fontId="30" fillId="0" borderId="67" xfId="4" applyNumberFormat="1" applyFont="1" applyFill="1" applyBorder="1" applyAlignment="1" applyProtection="1">
      <alignment horizontal="center" vertical="center" shrinkToFit="1"/>
    </xf>
    <xf numFmtId="14" fontId="31" fillId="0" borderId="0" xfId="4" applyNumberFormat="1" applyFont="1" applyFill="1" applyProtection="1">
      <alignment vertical="center"/>
      <protection locked="0"/>
    </xf>
    <xf numFmtId="0" fontId="31" fillId="0" borderId="0" xfId="4" applyNumberFormat="1" applyFont="1" applyProtection="1">
      <alignment vertical="center"/>
      <protection locked="0"/>
    </xf>
    <xf numFmtId="0" fontId="58" fillId="0" borderId="0" xfId="0" applyFont="1">
      <alignment vertical="center"/>
    </xf>
    <xf numFmtId="0" fontId="31" fillId="0" borderId="0" xfId="4" applyFont="1" applyFill="1" applyBorder="1" applyProtection="1">
      <alignment vertical="center"/>
    </xf>
    <xf numFmtId="0" fontId="19" fillId="27" borderId="6" xfId="2" applyFont="1" applyFill="1" applyBorder="1" applyAlignment="1">
      <alignment vertical="center"/>
    </xf>
    <xf numFmtId="0" fontId="5" fillId="27" borderId="6" xfId="4" applyFont="1" applyFill="1" applyBorder="1" applyProtection="1">
      <alignment vertical="center"/>
      <protection hidden="1"/>
    </xf>
    <xf numFmtId="0" fontId="15" fillId="27" borderId="6" xfId="4" applyFont="1" applyFill="1" applyBorder="1" applyAlignment="1" applyProtection="1">
      <alignment vertical="center"/>
      <protection hidden="1"/>
    </xf>
    <xf numFmtId="0" fontId="5" fillId="27" borderId="0" xfId="4" applyNumberFormat="1" applyFont="1" applyFill="1" applyBorder="1" applyProtection="1">
      <alignment vertical="center"/>
      <protection hidden="1"/>
    </xf>
    <xf numFmtId="0" fontId="5" fillId="0" borderId="6" xfId="4" applyNumberFormat="1" applyFont="1" applyFill="1" applyBorder="1" applyAlignment="1" applyProtection="1">
      <alignment vertical="center"/>
      <protection hidden="1"/>
    </xf>
    <xf numFmtId="0" fontId="5" fillId="4" borderId="6" xfId="4" applyNumberFormat="1" applyFont="1" applyFill="1" applyBorder="1" applyAlignment="1" applyProtection="1">
      <alignment vertical="center"/>
      <protection hidden="1"/>
    </xf>
    <xf numFmtId="0" fontId="15" fillId="4" borderId="6" xfId="4" applyNumberFormat="1" applyFont="1" applyFill="1" applyBorder="1" applyAlignment="1" applyProtection="1">
      <alignment horizontal="right" vertical="center"/>
      <protection hidden="1"/>
    </xf>
    <xf numFmtId="0" fontId="5" fillId="0" borderId="6" xfId="4" applyFont="1" applyFill="1" applyBorder="1" applyAlignment="1" applyProtection="1">
      <alignment vertical="center"/>
      <protection hidden="1"/>
    </xf>
    <xf numFmtId="0" fontId="5" fillId="4" borderId="6" xfId="4" applyFont="1" applyFill="1" applyBorder="1" applyAlignment="1" applyProtection="1">
      <alignment vertical="center"/>
      <protection hidden="1"/>
    </xf>
    <xf numFmtId="0" fontId="5" fillId="21" borderId="6" xfId="4" applyNumberFormat="1" applyFont="1" applyFill="1" applyBorder="1" applyAlignment="1" applyProtection="1">
      <alignment vertical="center"/>
      <protection hidden="1"/>
    </xf>
    <xf numFmtId="0" fontId="15" fillId="21" borderId="6" xfId="4" applyNumberFormat="1" applyFont="1" applyFill="1" applyBorder="1" applyAlignment="1" applyProtection="1">
      <alignment vertical="center"/>
      <protection hidden="1"/>
    </xf>
    <xf numFmtId="0" fontId="15" fillId="21" borderId="6" xfId="4" applyNumberFormat="1" applyFont="1" applyFill="1" applyBorder="1" applyAlignment="1" applyProtection="1">
      <alignment horizontal="right" vertical="center"/>
      <protection hidden="1"/>
    </xf>
    <xf numFmtId="0" fontId="5" fillId="0" borderId="6" xfId="7" applyNumberFormat="1" applyFont="1" applyFill="1" applyBorder="1" applyAlignment="1" applyProtection="1">
      <alignment vertical="center"/>
      <protection hidden="1"/>
    </xf>
    <xf numFmtId="0" fontId="5" fillId="21" borderId="6" xfId="7" applyNumberFormat="1" applyFont="1" applyFill="1" applyBorder="1" applyAlignment="1" applyProtection="1">
      <alignment vertical="center"/>
      <protection hidden="1"/>
    </xf>
    <xf numFmtId="0" fontId="15" fillId="21" borderId="6" xfId="7" applyNumberFormat="1" applyFont="1" applyFill="1" applyBorder="1" applyAlignment="1" applyProtection="1">
      <alignment horizontal="right" vertical="center"/>
      <protection hidden="1"/>
    </xf>
    <xf numFmtId="0" fontId="5" fillId="21" borderId="6" xfId="4" applyNumberFormat="1" applyFont="1" applyFill="1" applyBorder="1" applyAlignment="1" applyProtection="1">
      <alignment vertical="center"/>
      <protection locked="0"/>
    </xf>
    <xf numFmtId="0" fontId="15" fillId="21" borderId="6" xfId="4" applyNumberFormat="1" applyFont="1" applyFill="1" applyBorder="1" applyAlignment="1" applyProtection="1">
      <alignment vertical="center"/>
      <protection locked="0"/>
    </xf>
    <xf numFmtId="0" fontId="5" fillId="0" borderId="0" xfId="4" applyNumberFormat="1" applyFont="1" applyFill="1" applyBorder="1" applyAlignment="1" applyProtection="1">
      <alignment horizontal="center" vertical="center" shrinkToFit="1"/>
      <protection hidden="1"/>
    </xf>
    <xf numFmtId="0" fontId="5" fillId="0" borderId="0" xfId="4" applyNumberFormat="1" applyFont="1" applyFill="1" applyBorder="1" applyAlignment="1" applyProtection="1">
      <alignment vertical="center" shrinkToFit="1"/>
      <protection hidden="1"/>
    </xf>
    <xf numFmtId="0" fontId="5" fillId="0" borderId="0" xfId="4" applyFont="1" applyFill="1" applyBorder="1" applyAlignment="1" applyProtection="1">
      <alignment vertical="center"/>
      <protection locked="0"/>
    </xf>
    <xf numFmtId="0" fontId="5" fillId="0" borderId="0" xfId="4" applyNumberFormat="1" applyFont="1" applyFill="1" applyBorder="1" applyProtection="1">
      <alignment vertical="center"/>
      <protection hidden="1"/>
    </xf>
    <xf numFmtId="49" fontId="5" fillId="0" borderId="0" xfId="4" applyNumberFormat="1" applyFont="1" applyFill="1" applyProtection="1">
      <alignment vertical="center"/>
      <protection locked="0"/>
    </xf>
    <xf numFmtId="0" fontId="5" fillId="0" borderId="6" xfId="4" applyNumberFormat="1" applyFont="1" applyFill="1" applyBorder="1" applyProtection="1">
      <alignment vertical="center"/>
      <protection hidden="1"/>
    </xf>
    <xf numFmtId="0" fontId="15" fillId="0" borderId="194" xfId="4" applyNumberFormat="1" applyFont="1" applyFill="1" applyBorder="1" applyProtection="1">
      <alignment vertical="center"/>
      <protection hidden="1"/>
    </xf>
    <xf numFmtId="0" fontId="15" fillId="0" borderId="36" xfId="4" applyNumberFormat="1" applyFont="1" applyFill="1" applyBorder="1" applyProtection="1">
      <alignment vertical="center"/>
      <protection hidden="1"/>
    </xf>
    <xf numFmtId="0" fontId="9" fillId="0" borderId="6" xfId="4" applyFont="1" applyFill="1" applyBorder="1" applyAlignment="1" applyProtection="1">
      <alignment vertical="center" shrinkToFit="1"/>
      <protection hidden="1"/>
    </xf>
    <xf numFmtId="6" fontId="29" fillId="0" borderId="194" xfId="5" applyFont="1" applyBorder="1" applyAlignment="1" applyProtection="1">
      <alignment horizontal="left" vertical="center" shrinkToFit="1"/>
    </xf>
    <xf numFmtId="0" fontId="29" fillId="0" borderId="200" xfId="4" applyFont="1" applyFill="1" applyBorder="1" applyAlignment="1" applyProtection="1">
      <alignment vertical="center"/>
    </xf>
    <xf numFmtId="6" fontId="29" fillId="0" borderId="200" xfId="5" applyFont="1" applyBorder="1" applyAlignment="1" applyProtection="1">
      <alignment horizontal="left" vertical="center" shrinkToFit="1"/>
    </xf>
    <xf numFmtId="0" fontId="29" fillId="0" borderId="194" xfId="4" applyFont="1" applyFill="1" applyBorder="1" applyAlignment="1" applyProtection="1">
      <alignment vertical="center"/>
    </xf>
    <xf numFmtId="0" fontId="29" fillId="0" borderId="200" xfId="4" applyFont="1" applyFill="1" applyBorder="1" applyProtection="1">
      <alignment vertical="center"/>
    </xf>
    <xf numFmtId="0" fontId="15" fillId="0" borderId="0" xfId="4" applyNumberFormat="1" applyFont="1" applyFill="1" applyAlignment="1" applyProtection="1">
      <alignment horizontal="left" vertical="center"/>
      <protection hidden="1"/>
    </xf>
    <xf numFmtId="0" fontId="34" fillId="0" borderId="200" xfId="4" applyFont="1" applyFill="1" applyBorder="1" applyAlignment="1" applyProtection="1">
      <alignment horizontal="center" vertical="center" shrinkToFit="1"/>
    </xf>
    <xf numFmtId="6" fontId="29" fillId="0" borderId="194" xfId="5" applyFont="1" applyBorder="1" applyAlignment="1" applyProtection="1">
      <alignment horizontal="left" vertical="center" shrinkToFit="1"/>
      <protection locked="0"/>
    </xf>
    <xf numFmtId="0" fontId="34" fillId="2" borderId="200" xfId="4" applyFont="1" applyFill="1" applyBorder="1" applyAlignment="1" applyProtection="1">
      <alignment horizontal="center" vertical="center" shrinkToFit="1"/>
      <protection locked="0"/>
    </xf>
    <xf numFmtId="0" fontId="29" fillId="0" borderId="200" xfId="4" applyFont="1" applyFill="1" applyBorder="1" applyAlignment="1" applyProtection="1">
      <alignment vertical="center"/>
      <protection locked="0"/>
    </xf>
    <xf numFmtId="0" fontId="34" fillId="2" borderId="31" xfId="4" applyFont="1" applyFill="1" applyBorder="1" applyAlignment="1" applyProtection="1">
      <alignment horizontal="center" vertical="center" shrinkToFit="1"/>
    </xf>
    <xf numFmtId="0" fontId="29" fillId="0" borderId="31" xfId="4" applyFont="1" applyFill="1" applyBorder="1" applyAlignment="1" applyProtection="1">
      <alignment vertical="center"/>
    </xf>
    <xf numFmtId="6" fontId="29" fillId="0" borderId="31" xfId="5" applyFont="1" applyBorder="1" applyAlignment="1" applyProtection="1">
      <alignment horizontal="left" vertical="center" shrinkToFit="1"/>
    </xf>
    <xf numFmtId="0" fontId="34" fillId="2" borderId="76" xfId="4" applyFont="1" applyFill="1" applyBorder="1" applyAlignment="1" applyProtection="1">
      <alignment horizontal="center" vertical="center" shrinkToFit="1"/>
    </xf>
    <xf numFmtId="0" fontId="15" fillId="0" borderId="0" xfId="4" applyNumberFormat="1" applyFont="1" applyFill="1" applyAlignment="1" applyProtection="1">
      <alignment horizontal="left" vertical="center"/>
      <protection locked="0"/>
    </xf>
    <xf numFmtId="0" fontId="5" fillId="0" borderId="0" xfId="4" applyNumberFormat="1" applyFont="1" applyFill="1" applyProtection="1">
      <alignment vertical="center"/>
      <protection locked="0"/>
    </xf>
    <xf numFmtId="0" fontId="5" fillId="0" borderId="6" xfId="4" applyNumberFormat="1" applyFont="1" applyFill="1" applyBorder="1" applyProtection="1">
      <alignment vertical="center"/>
      <protection locked="0"/>
    </xf>
    <xf numFmtId="185" fontId="5" fillId="0" borderId="6" xfId="13" applyNumberFormat="1" applyFont="1" applyFill="1" applyBorder="1" applyProtection="1">
      <alignment vertical="center"/>
      <protection hidden="1"/>
    </xf>
    <xf numFmtId="185" fontId="5" fillId="5" borderId="6" xfId="4" applyNumberFormat="1" applyFont="1" applyFill="1" applyBorder="1" applyProtection="1">
      <alignment vertical="center"/>
      <protection hidden="1"/>
    </xf>
    <xf numFmtId="0" fontId="5" fillId="0" borderId="9" xfId="4" applyNumberFormat="1" applyFont="1" applyFill="1" applyBorder="1" applyProtection="1">
      <alignment vertical="center"/>
      <protection hidden="1"/>
    </xf>
    <xf numFmtId="10" fontId="5" fillId="0" borderId="6" xfId="18" applyNumberFormat="1" applyFont="1" applyFill="1" applyBorder="1" applyProtection="1">
      <alignment vertical="center"/>
      <protection hidden="1"/>
    </xf>
    <xf numFmtId="0" fontId="9" fillId="5" borderId="6" xfId="4" applyNumberFormat="1" applyFont="1" applyFill="1" applyBorder="1" applyAlignment="1" applyProtection="1">
      <alignment horizontal="right" vertical="center"/>
      <protection locked="0"/>
    </xf>
    <xf numFmtId="49" fontId="5" fillId="0" borderId="6" xfId="4" applyNumberFormat="1" applyFont="1" applyFill="1" applyBorder="1" applyProtection="1">
      <alignment vertical="center"/>
      <protection hidden="1"/>
    </xf>
    <xf numFmtId="0" fontId="15" fillId="30" borderId="0" xfId="4" applyNumberFormat="1" applyFont="1" applyFill="1" applyAlignment="1" applyProtection="1">
      <alignment horizontal="left" vertical="center"/>
      <protection locked="0" hidden="1"/>
    </xf>
    <xf numFmtId="0" fontId="34" fillId="0" borderId="77" xfId="6" applyNumberFormat="1" applyFont="1" applyBorder="1" applyAlignment="1" applyProtection="1">
      <alignment vertical="center" shrinkToFit="1"/>
    </xf>
    <xf numFmtId="0" fontId="34" fillId="0" borderId="76" xfId="6" applyNumberFormat="1" applyFont="1" applyBorder="1" applyAlignment="1" applyProtection="1">
      <alignment vertical="center" shrinkToFit="1"/>
    </xf>
    <xf numFmtId="0" fontId="34" fillId="0" borderId="200" xfId="6" applyNumberFormat="1" applyFont="1" applyBorder="1" applyAlignment="1" applyProtection="1">
      <alignment vertical="center" shrinkToFit="1"/>
    </xf>
    <xf numFmtId="0" fontId="30" fillId="0" borderId="60" xfId="4" applyNumberFormat="1" applyFont="1" applyFill="1" applyBorder="1" applyAlignment="1" applyProtection="1">
      <alignment vertical="center" shrinkToFit="1"/>
    </xf>
    <xf numFmtId="0" fontId="30" fillId="8" borderId="0" xfId="4" applyFont="1" applyFill="1">
      <alignment vertical="center"/>
    </xf>
    <xf numFmtId="0" fontId="30" fillId="8" borderId="0" xfId="4" applyNumberFormat="1" applyFont="1" applyFill="1">
      <alignment vertical="center"/>
    </xf>
    <xf numFmtId="0" fontId="30" fillId="8" borderId="38" xfId="4" applyFont="1" applyFill="1" applyBorder="1" applyAlignment="1">
      <alignment horizontal="center" vertical="center"/>
    </xf>
    <xf numFmtId="49" fontId="113" fillId="35" borderId="6" xfId="19" applyNumberFormat="1" applyFont="1" applyFill="1" applyBorder="1" applyAlignment="1">
      <alignment horizontal="center" vertical="center"/>
    </xf>
    <xf numFmtId="0" fontId="114" fillId="33" borderId="9" xfId="19" applyNumberFormat="1" applyFont="1" applyFill="1" applyBorder="1" applyAlignment="1">
      <alignment horizontal="center" vertical="center" wrapText="1"/>
    </xf>
    <xf numFmtId="0" fontId="30" fillId="36" borderId="6" xfId="19" applyFont="1" applyFill="1" applyBorder="1" applyAlignment="1">
      <alignment horizontal="center" vertical="center"/>
    </xf>
    <xf numFmtId="49" fontId="30" fillId="36" borderId="6" xfId="19" applyNumberFormat="1" applyFont="1" applyFill="1" applyBorder="1" applyAlignment="1">
      <alignment horizontal="center" wrapText="1"/>
    </xf>
    <xf numFmtId="49" fontId="30" fillId="36" borderId="6" xfId="19" applyNumberFormat="1" applyFont="1" applyFill="1" applyBorder="1" applyAlignment="1">
      <alignment horizontal="center"/>
    </xf>
    <xf numFmtId="49" fontId="30" fillId="36" borderId="10" xfId="19" applyNumberFormat="1" applyFont="1" applyFill="1" applyBorder="1" applyAlignment="1">
      <alignment horizontal="center" wrapText="1"/>
    </xf>
    <xf numFmtId="49" fontId="30" fillId="36" borderId="11" xfId="19" applyNumberFormat="1" applyFont="1" applyFill="1" applyBorder="1" applyAlignment="1">
      <alignment horizontal="center" wrapText="1"/>
    </xf>
    <xf numFmtId="49" fontId="30" fillId="36" borderId="9" xfId="19" applyNumberFormat="1" applyFont="1" applyFill="1" applyBorder="1" applyAlignment="1">
      <alignment horizontal="center" wrapText="1"/>
    </xf>
    <xf numFmtId="0" fontId="30" fillId="0" borderId="6" xfId="19" applyFont="1" applyBorder="1" applyAlignment="1">
      <alignment vertical="center"/>
    </xf>
    <xf numFmtId="0" fontId="30" fillId="0" borderId="6" xfId="19" applyFont="1" applyFill="1" applyBorder="1" applyAlignment="1">
      <alignment vertical="center"/>
    </xf>
    <xf numFmtId="49" fontId="30" fillId="36" borderId="6" xfId="4" applyNumberFormat="1" applyFont="1" applyFill="1" applyBorder="1" applyAlignment="1">
      <alignment horizontal="center"/>
    </xf>
    <xf numFmtId="0" fontId="30" fillId="0" borderId="6" xfId="4" applyFont="1" applyFill="1" applyBorder="1">
      <alignment vertical="center"/>
    </xf>
    <xf numFmtId="0" fontId="115" fillId="0" borderId="6" xfId="19" applyNumberFormat="1" applyFont="1" applyFill="1" applyBorder="1" applyAlignment="1">
      <alignment horizontal="center" wrapText="1"/>
    </xf>
    <xf numFmtId="0" fontId="30" fillId="0" borderId="6" xfId="19" applyFont="1" applyFill="1" applyBorder="1" applyAlignment="1">
      <alignment vertical="center" wrapText="1"/>
    </xf>
    <xf numFmtId="0" fontId="30" fillId="0" borderId="6" xfId="19" applyFont="1" applyBorder="1" applyAlignment="1">
      <alignment vertical="center" wrapText="1"/>
    </xf>
    <xf numFmtId="0" fontId="116" fillId="0" borderId="6" xfId="19" applyFont="1" applyFill="1" applyBorder="1" applyAlignment="1">
      <alignment vertical="center"/>
    </xf>
    <xf numFmtId="0" fontId="30" fillId="0" borderId="9" xfId="19" applyFont="1" applyBorder="1" applyAlignment="1">
      <alignment vertical="center" wrapText="1"/>
    </xf>
    <xf numFmtId="0" fontId="15" fillId="28" borderId="0" xfId="4" applyNumberFormat="1" applyFont="1" applyFill="1" applyProtection="1">
      <alignment vertical="center"/>
      <protection locked="0"/>
    </xf>
    <xf numFmtId="0" fontId="30" fillId="8" borderId="6" xfId="4" applyFont="1" applyFill="1" applyBorder="1">
      <alignment vertical="center"/>
    </xf>
    <xf numFmtId="0" fontId="30" fillId="31" borderId="6" xfId="4" applyFont="1" applyFill="1" applyBorder="1" applyAlignment="1">
      <alignment horizontal="center" vertical="center" wrapText="1"/>
    </xf>
    <xf numFmtId="0" fontId="30" fillId="28" borderId="0" xfId="4" applyFont="1" applyFill="1">
      <alignment vertical="center"/>
    </xf>
    <xf numFmtId="0" fontId="28" fillId="28" borderId="0" xfId="4" applyFont="1" applyFill="1" applyProtection="1">
      <alignment vertical="center"/>
      <protection locked="0"/>
    </xf>
    <xf numFmtId="0" fontId="30" fillId="8" borderId="36" xfId="4" applyFont="1" applyFill="1" applyBorder="1">
      <alignment vertical="center"/>
    </xf>
    <xf numFmtId="0" fontId="118" fillId="8" borderId="0" xfId="4" applyFont="1" applyFill="1">
      <alignment vertical="center"/>
    </xf>
    <xf numFmtId="0" fontId="117" fillId="8" borderId="36" xfId="4" applyFont="1" applyFill="1" applyBorder="1" applyAlignment="1">
      <alignment horizontal="center" vertical="center"/>
    </xf>
    <xf numFmtId="0" fontId="10" fillId="0" borderId="6" xfId="4" applyFont="1" applyBorder="1" applyAlignment="1" applyProtection="1">
      <alignment horizontal="center" vertical="center"/>
      <protection locked="0"/>
    </xf>
    <xf numFmtId="0" fontId="30" fillId="28" borderId="0" xfId="4" applyNumberFormat="1" applyFont="1" applyFill="1">
      <alignment vertical="center"/>
    </xf>
    <xf numFmtId="0" fontId="117" fillId="8" borderId="0" xfId="4" applyFont="1" applyFill="1" applyAlignment="1">
      <alignment horizontal="center" vertical="center"/>
    </xf>
    <xf numFmtId="0" fontId="28" fillId="28" borderId="0" xfId="4" applyNumberFormat="1" applyFont="1" applyFill="1">
      <alignment vertical="center"/>
    </xf>
    <xf numFmtId="0" fontId="15" fillId="28" borderId="0" xfId="4" applyNumberFormat="1" applyFont="1" applyFill="1" applyAlignment="1" applyProtection="1">
      <alignment horizontal="right" vertical="center"/>
      <protection locked="0"/>
    </xf>
    <xf numFmtId="0" fontId="5" fillId="0" borderId="9" xfId="4" applyNumberFormat="1" applyFont="1" applyFill="1" applyBorder="1" applyProtection="1">
      <alignment vertical="center"/>
      <protection locked="0"/>
    </xf>
    <xf numFmtId="49" fontId="5" fillId="0" borderId="9" xfId="4" applyNumberFormat="1" applyFont="1" applyFill="1" applyBorder="1" applyProtection="1">
      <alignment vertical="center"/>
      <protection hidden="1"/>
    </xf>
    <xf numFmtId="0" fontId="5" fillId="0" borderId="195" xfId="4" applyNumberFormat="1" applyFont="1" applyFill="1" applyBorder="1" applyProtection="1">
      <alignment vertical="center"/>
      <protection hidden="1"/>
    </xf>
    <xf numFmtId="10" fontId="5" fillId="0" borderId="9" xfId="18" applyNumberFormat="1" applyFont="1" applyFill="1" applyBorder="1" applyProtection="1">
      <alignment vertical="center"/>
      <protection hidden="1"/>
    </xf>
    <xf numFmtId="0" fontId="5" fillId="0" borderId="10" xfId="4" applyNumberFormat="1" applyFont="1" applyFill="1" applyBorder="1" applyProtection="1">
      <alignment vertical="center"/>
      <protection hidden="1"/>
    </xf>
    <xf numFmtId="0" fontId="5" fillId="0" borderId="10" xfId="4" applyNumberFormat="1" applyFont="1" applyFill="1" applyBorder="1" applyProtection="1">
      <alignment vertical="center"/>
      <protection locked="0"/>
    </xf>
    <xf numFmtId="49" fontId="5" fillId="0" borderId="10" xfId="4" applyNumberFormat="1" applyFont="1" applyFill="1" applyBorder="1" applyProtection="1">
      <alignment vertical="center"/>
      <protection hidden="1"/>
    </xf>
    <xf numFmtId="0" fontId="5" fillId="0" borderId="38" xfId="4" applyNumberFormat="1" applyFont="1" applyFill="1" applyBorder="1" applyProtection="1">
      <alignment vertical="center"/>
      <protection hidden="1"/>
    </xf>
    <xf numFmtId="0" fontId="17" fillId="0" borderId="6" xfId="0" applyFont="1" applyFill="1" applyBorder="1" applyAlignment="1">
      <alignment horizontal="left" vertical="center" readingOrder="1"/>
    </xf>
    <xf numFmtId="0" fontId="17" fillId="0" borderId="6" xfId="4" applyFont="1" applyBorder="1" applyAlignment="1" applyProtection="1">
      <alignment vertical="center"/>
      <protection hidden="1"/>
    </xf>
    <xf numFmtId="0" fontId="30" fillId="0" borderId="56" xfId="4" applyNumberFormat="1" applyFont="1" applyFill="1" applyBorder="1" applyAlignment="1" applyProtection="1">
      <alignment horizontal="center" vertical="center" shrinkToFit="1"/>
    </xf>
    <xf numFmtId="183" fontId="15" fillId="4" borderId="6" xfId="4" applyNumberFormat="1" applyFont="1" applyFill="1" applyBorder="1" applyAlignment="1" applyProtection="1">
      <alignment horizontal="right" vertical="center"/>
      <protection hidden="1"/>
    </xf>
    <xf numFmtId="0" fontId="17" fillId="0" borderId="6" xfId="4" applyFont="1" applyFill="1" applyBorder="1" applyProtection="1">
      <alignment vertical="center"/>
      <protection hidden="1"/>
    </xf>
    <xf numFmtId="0" fontId="31" fillId="30" borderId="0" xfId="4" applyNumberFormat="1" applyFont="1" applyFill="1" applyProtection="1">
      <alignment vertical="center"/>
      <protection locked="0"/>
    </xf>
    <xf numFmtId="0" fontId="11" fillId="0" borderId="0" xfId="4" applyProtection="1">
      <alignment vertical="center"/>
    </xf>
    <xf numFmtId="0" fontId="75" fillId="0" borderId="0" xfId="20" applyFont="1" applyFill="1" applyAlignment="1" applyProtection="1">
      <alignment vertical="center"/>
    </xf>
    <xf numFmtId="0" fontId="75" fillId="0" borderId="0" xfId="4" applyFont="1" applyFill="1" applyProtection="1">
      <alignment vertical="center"/>
    </xf>
    <xf numFmtId="0" fontId="23" fillId="0" borderId="0" xfId="4" applyFont="1" applyFill="1" applyProtection="1">
      <alignment vertical="center"/>
    </xf>
    <xf numFmtId="0" fontId="76" fillId="0" borderId="0" xfId="4" applyFont="1" applyBorder="1" applyAlignment="1" applyProtection="1">
      <alignment horizontal="center" vertical="center" wrapText="1"/>
    </xf>
    <xf numFmtId="0" fontId="10" fillId="32" borderId="111" xfId="4" applyFont="1" applyFill="1" applyBorder="1" applyAlignment="1" applyProtection="1">
      <alignment horizontal="left" vertical="center"/>
    </xf>
    <xf numFmtId="0" fontId="11" fillId="0" borderId="0" xfId="4" applyBorder="1" applyAlignment="1" applyProtection="1">
      <alignment horizontal="left" vertical="center"/>
    </xf>
    <xf numFmtId="0" fontId="11" fillId="0" borderId="0" xfId="4" applyBorder="1" applyProtection="1">
      <alignment vertical="center"/>
    </xf>
    <xf numFmtId="0" fontId="75" fillId="0" borderId="0" xfId="20" applyFont="1" applyFill="1" applyAlignment="1" applyProtection="1"/>
    <xf numFmtId="0" fontId="10" fillId="32" borderId="214" xfId="4" applyFont="1" applyFill="1" applyBorder="1" applyAlignment="1" applyProtection="1">
      <alignment horizontal="left" vertical="center"/>
    </xf>
    <xf numFmtId="0" fontId="10" fillId="32" borderId="112" xfId="4" applyFont="1" applyFill="1" applyBorder="1" applyAlignment="1" applyProtection="1">
      <alignment horizontal="left" vertical="center"/>
    </xf>
    <xf numFmtId="0" fontId="23" fillId="26" borderId="0" xfId="4" applyFont="1" applyFill="1" applyProtection="1">
      <alignment vertical="center"/>
    </xf>
    <xf numFmtId="0" fontId="11" fillId="0" borderId="0" xfId="4" applyAlignment="1" applyProtection="1">
      <alignment horizontal="left" vertical="center"/>
    </xf>
    <xf numFmtId="0" fontId="19" fillId="0" borderId="0" xfId="4" applyFont="1" applyAlignment="1" applyProtection="1">
      <alignment horizontal="left" vertical="center"/>
    </xf>
    <xf numFmtId="0" fontId="19" fillId="0" borderId="0" xfId="4" applyFont="1" applyProtection="1">
      <alignment vertical="center"/>
    </xf>
    <xf numFmtId="0" fontId="77" fillId="0" borderId="0" xfId="4" applyFont="1" applyFill="1" applyProtection="1">
      <alignment vertical="center"/>
    </xf>
    <xf numFmtId="0" fontId="79" fillId="32" borderId="6" xfId="4" applyFont="1" applyFill="1" applyBorder="1" applyAlignment="1" applyProtection="1">
      <alignment horizontal="center" vertical="center"/>
    </xf>
    <xf numFmtId="0" fontId="80" fillId="0" borderId="0" xfId="4" applyFont="1" applyBorder="1" applyAlignment="1" applyProtection="1">
      <alignment horizontal="left" vertical="center" wrapText="1"/>
    </xf>
    <xf numFmtId="0" fontId="78" fillId="0" borderId="0" xfId="4" applyFont="1" applyBorder="1" applyAlignment="1" applyProtection="1">
      <alignment horizontal="left" vertical="center" wrapText="1"/>
    </xf>
    <xf numFmtId="0" fontId="10" fillId="0" borderId="0" xfId="4" applyFont="1" applyBorder="1" applyAlignment="1" applyProtection="1">
      <alignment horizontal="center" vertical="center"/>
    </xf>
    <xf numFmtId="0" fontId="10" fillId="0" borderId="0" xfId="4" applyFont="1" applyBorder="1" applyProtection="1">
      <alignment vertical="center"/>
    </xf>
    <xf numFmtId="0" fontId="78" fillId="0" borderId="192" xfId="4" applyFont="1" applyBorder="1" applyAlignment="1" applyProtection="1">
      <alignment horizontal="left" vertical="center"/>
    </xf>
    <xf numFmtId="0" fontId="78" fillId="0" borderId="2" xfId="4" applyFont="1" applyBorder="1" applyAlignment="1" applyProtection="1">
      <alignment horizontal="left" vertical="center"/>
    </xf>
    <xf numFmtId="0" fontId="78" fillId="0" borderId="0" xfId="4" applyFont="1" applyBorder="1" applyAlignment="1" applyProtection="1">
      <alignment horizontal="left" vertical="center"/>
    </xf>
    <xf numFmtId="0" fontId="81" fillId="0" borderId="0" xfId="4" applyFont="1" applyFill="1" applyBorder="1" applyAlignment="1" applyProtection="1">
      <alignment horizontal="left" vertical="center"/>
    </xf>
    <xf numFmtId="0" fontId="11" fillId="0" borderId="0" xfId="4" applyAlignment="1" applyProtection="1">
      <alignment horizontal="right" vertical="center"/>
    </xf>
    <xf numFmtId="0" fontId="10" fillId="0" borderId="6" xfId="4" applyFont="1" applyBorder="1" applyAlignment="1" applyProtection="1">
      <alignment vertical="center" wrapText="1"/>
      <protection locked="0"/>
    </xf>
    <xf numFmtId="0" fontId="30" fillId="0" borderId="10" xfId="19" applyFont="1" applyBorder="1" applyAlignment="1">
      <alignment vertical="center"/>
    </xf>
    <xf numFmtId="0" fontId="30" fillId="0" borderId="9" xfId="19" applyFont="1" applyBorder="1" applyAlignment="1">
      <alignment vertical="center"/>
    </xf>
    <xf numFmtId="0" fontId="30" fillId="0" borderId="11" xfId="19" applyFont="1" applyBorder="1" applyAlignment="1">
      <alignment vertical="center"/>
    </xf>
    <xf numFmtId="0" fontId="30" fillId="0" borderId="10" xfId="19" applyFont="1" applyFill="1" applyBorder="1" applyAlignment="1">
      <alignment vertical="center"/>
    </xf>
    <xf numFmtId="0" fontId="30" fillId="0" borderId="11" xfId="19" applyFont="1" applyFill="1" applyBorder="1" applyAlignment="1">
      <alignment vertical="center"/>
    </xf>
    <xf numFmtId="0" fontId="30" fillId="0" borderId="6" xfId="4" applyFont="1" applyFill="1" applyBorder="1" applyAlignment="1">
      <alignment vertical="center"/>
    </xf>
    <xf numFmtId="0" fontId="34" fillId="8" borderId="0" xfId="4" applyFont="1" applyFill="1">
      <alignment vertical="center"/>
    </xf>
    <xf numFmtId="0" fontId="28" fillId="4" borderId="0" xfId="4" applyFont="1" applyFill="1">
      <alignment vertical="center"/>
    </xf>
    <xf numFmtId="0" fontId="28" fillId="4" borderId="0" xfId="4" applyNumberFormat="1" applyFont="1" applyFill="1">
      <alignment vertical="center"/>
    </xf>
    <xf numFmtId="0" fontId="23" fillId="4" borderId="0" xfId="4" applyFont="1" applyFill="1" applyProtection="1">
      <alignment vertical="center"/>
    </xf>
    <xf numFmtId="0" fontId="19" fillId="30" borderId="6" xfId="2" applyFont="1" applyFill="1" applyBorder="1" applyAlignment="1">
      <alignment vertical="center"/>
    </xf>
    <xf numFmtId="0" fontId="39" fillId="0" borderId="193" xfId="4" applyNumberFormat="1" applyFont="1" applyFill="1" applyBorder="1" applyAlignment="1" applyProtection="1">
      <alignment vertical="center" shrinkToFit="1"/>
    </xf>
    <xf numFmtId="0" fontId="39" fillId="0" borderId="194" xfId="4" applyNumberFormat="1" applyFont="1" applyFill="1" applyBorder="1" applyAlignment="1" applyProtection="1">
      <alignment vertical="center" shrinkToFit="1"/>
    </xf>
    <xf numFmtId="0" fontId="29" fillId="0" borderId="194" xfId="4" applyNumberFormat="1" applyFont="1" applyFill="1" applyBorder="1" applyAlignment="1" applyProtection="1">
      <alignment horizontal="center" vertical="center" shrinkToFit="1"/>
    </xf>
    <xf numFmtId="0" fontId="29" fillId="0" borderId="196" xfId="4" applyNumberFormat="1" applyFont="1" applyFill="1" applyBorder="1" applyAlignment="1" applyProtection="1">
      <alignment horizontal="center" vertical="center" shrinkToFit="1"/>
    </xf>
    <xf numFmtId="0" fontId="30" fillId="0" borderId="60" xfId="4" applyNumberFormat="1" applyFont="1" applyFill="1" applyBorder="1" applyAlignment="1" applyProtection="1">
      <alignment horizontal="center" vertical="center" shrinkToFit="1"/>
    </xf>
    <xf numFmtId="0" fontId="34" fillId="0" borderId="208" xfId="4" applyNumberFormat="1" applyFont="1" applyFill="1" applyBorder="1" applyAlignment="1" applyProtection="1">
      <alignment horizontal="center" vertical="center" wrapText="1"/>
    </xf>
    <xf numFmtId="0" fontId="15" fillId="4" borderId="0" xfId="4" applyNumberFormat="1" applyFont="1" applyFill="1" applyProtection="1">
      <alignment vertical="center"/>
      <protection locked="0"/>
    </xf>
    <xf numFmtId="0" fontId="30" fillId="0" borderId="0" xfId="4" applyNumberFormat="1" applyFont="1" applyFill="1" applyBorder="1" applyAlignment="1" applyProtection="1">
      <alignment horizontal="center" vertical="center" shrinkToFit="1"/>
    </xf>
    <xf numFmtId="0" fontId="60" fillId="0" borderId="0" xfId="4" applyFont="1" applyFill="1" applyBorder="1" applyAlignment="1" applyProtection="1">
      <alignment horizontal="center" vertical="center" shrinkToFit="1"/>
    </xf>
    <xf numFmtId="0" fontId="30" fillId="0" borderId="0" xfId="10" applyNumberFormat="1" applyFont="1" applyFill="1" applyBorder="1" applyAlignment="1" applyProtection="1">
      <alignment horizontal="left" vertical="center" shrinkToFit="1"/>
    </xf>
    <xf numFmtId="0" fontId="73" fillId="0" borderId="0" xfId="10" applyNumberFormat="1" applyFont="1" applyFill="1" applyBorder="1" applyAlignment="1" applyProtection="1">
      <alignment horizontal="left" vertical="center" shrinkToFit="1"/>
    </xf>
    <xf numFmtId="0" fontId="40" fillId="0" borderId="0" xfId="10" applyNumberFormat="1" applyFont="1" applyFill="1" applyBorder="1" applyAlignment="1" applyProtection="1">
      <alignment horizontal="left" vertical="center" shrinkToFit="1"/>
    </xf>
    <xf numFmtId="0" fontId="39" fillId="0" borderId="0" xfId="4" applyNumberFormat="1" applyFont="1" applyFill="1" applyBorder="1" applyAlignment="1" applyProtection="1">
      <alignment horizontal="left" vertical="center" shrinkToFit="1"/>
    </xf>
    <xf numFmtId="0" fontId="39" fillId="0" borderId="34" xfId="4" applyNumberFormat="1" applyFont="1" applyFill="1" applyBorder="1" applyAlignment="1" applyProtection="1">
      <alignment horizontal="left" vertical="center" shrinkToFit="1"/>
    </xf>
    <xf numFmtId="0" fontId="39" fillId="0" borderId="208" xfId="4" applyNumberFormat="1" applyFont="1" applyFill="1" applyBorder="1" applyAlignment="1" applyProtection="1">
      <alignment horizontal="left" vertical="center" shrinkToFit="1"/>
    </xf>
    <xf numFmtId="49" fontId="30" fillId="0" borderId="136" xfId="4" applyNumberFormat="1" applyFont="1" applyFill="1" applyBorder="1" applyAlignment="1" applyProtection="1">
      <alignment horizontal="center" vertical="center" shrinkToFit="1"/>
    </xf>
    <xf numFmtId="49" fontId="30" fillId="0" borderId="139" xfId="4" applyNumberFormat="1" applyFont="1" applyFill="1" applyBorder="1" applyAlignment="1" applyProtection="1">
      <alignment horizontal="center" vertical="center" shrinkToFit="1"/>
    </xf>
    <xf numFmtId="6" fontId="63" fillId="0" borderId="40" xfId="13" applyFont="1" applyFill="1" applyBorder="1" applyAlignment="1" applyProtection="1">
      <alignment vertical="center"/>
    </xf>
    <xf numFmtId="6" fontId="34" fillId="0" borderId="40" xfId="13" applyFont="1" applyFill="1" applyBorder="1" applyAlignment="1" applyProtection="1">
      <alignment vertical="center" shrinkToFit="1"/>
    </xf>
    <xf numFmtId="0" fontId="23" fillId="0" borderId="6" xfId="2" applyFont="1" applyFill="1" applyBorder="1" applyAlignment="1">
      <alignment vertical="center"/>
    </xf>
    <xf numFmtId="0" fontId="29" fillId="0" borderId="194" xfId="5" applyNumberFormat="1" applyFont="1" applyBorder="1" applyAlignment="1" applyProtection="1">
      <alignment horizontal="left" vertical="center" shrinkToFit="1"/>
    </xf>
    <xf numFmtId="0" fontId="29" fillId="0" borderId="131" xfId="5" applyNumberFormat="1" applyFont="1" applyBorder="1" applyAlignment="1" applyProtection="1">
      <alignment horizontal="left" vertical="center" shrinkToFit="1"/>
    </xf>
    <xf numFmtId="0" fontId="15" fillId="28" borderId="0" xfId="4" applyNumberFormat="1" applyFont="1" applyFill="1" applyAlignment="1" applyProtection="1">
      <alignment horizontal="left" vertical="center"/>
      <protection locked="0"/>
    </xf>
    <xf numFmtId="0" fontId="15" fillId="0" borderId="6" xfId="4" applyNumberFormat="1" applyFont="1" applyFill="1" applyBorder="1" applyProtection="1">
      <alignment vertical="center"/>
      <protection locked="0"/>
    </xf>
    <xf numFmtId="0" fontId="15" fillId="0" borderId="6" xfId="4" applyNumberFormat="1" applyFont="1" applyFill="1" applyBorder="1" applyProtection="1">
      <alignment vertical="center"/>
      <protection hidden="1"/>
    </xf>
    <xf numFmtId="0" fontId="15" fillId="0" borderId="10" xfId="4" applyNumberFormat="1" applyFont="1" applyFill="1" applyBorder="1" applyProtection="1">
      <alignment vertical="center"/>
      <protection hidden="1"/>
    </xf>
    <xf numFmtId="0" fontId="15" fillId="0" borderId="11" xfId="4" applyNumberFormat="1" applyFont="1" applyFill="1" applyBorder="1" applyProtection="1">
      <alignment vertical="center"/>
      <protection hidden="1"/>
    </xf>
    <xf numFmtId="49" fontId="5" fillId="0" borderId="0" xfId="4" applyNumberFormat="1" applyFont="1" applyFill="1" applyProtection="1">
      <alignment vertical="center"/>
      <protection hidden="1"/>
    </xf>
    <xf numFmtId="0" fontId="34" fillId="0" borderId="208" xfId="4" applyFont="1" applyFill="1" applyBorder="1" applyAlignment="1" applyProtection="1">
      <alignment horizontal="center" vertical="center" shrinkToFit="1"/>
    </xf>
    <xf numFmtId="6" fontId="29" fillId="0" borderId="208" xfId="5" applyFont="1" applyBorder="1" applyAlignment="1" applyProtection="1">
      <alignment horizontal="left" vertical="center" shrinkToFit="1"/>
    </xf>
    <xf numFmtId="0" fontId="34" fillId="0" borderId="0" xfId="4" applyFont="1" applyFill="1" applyBorder="1" applyAlignment="1" applyProtection="1">
      <alignment horizontal="center" vertical="center" shrinkToFit="1"/>
    </xf>
    <xf numFmtId="0" fontId="15" fillId="26" borderId="0" xfId="4" applyNumberFormat="1" applyFont="1" applyFill="1" applyProtection="1">
      <alignment vertical="center"/>
      <protection locked="0"/>
    </xf>
    <xf numFmtId="0" fontId="31" fillId="59" borderId="0" xfId="4" applyNumberFormat="1" applyFont="1" applyFill="1" applyBorder="1" applyProtection="1">
      <alignment vertical="center"/>
      <protection locked="0"/>
    </xf>
    <xf numFmtId="0" fontId="17" fillId="0" borderId="6" xfId="0" applyFont="1" applyFill="1" applyBorder="1" applyAlignment="1">
      <alignment vertical="center" wrapText="1"/>
    </xf>
    <xf numFmtId="0" fontId="31" fillId="26" borderId="0" xfId="4" applyNumberFormat="1" applyFont="1" applyFill="1" applyBorder="1" applyProtection="1">
      <alignment vertical="center"/>
      <protection locked="0"/>
    </xf>
    <xf numFmtId="0" fontId="30" fillId="0" borderId="242" xfId="4" applyNumberFormat="1" applyFont="1" applyFill="1" applyBorder="1" applyAlignment="1" applyProtection="1">
      <alignment vertical="center" shrinkToFit="1"/>
    </xf>
    <xf numFmtId="0" fontId="30" fillId="0" borderId="215" xfId="4" applyNumberFormat="1" applyFont="1" applyFill="1" applyBorder="1" applyAlignment="1" applyProtection="1">
      <alignment horizontal="center" vertical="center" shrinkToFit="1"/>
    </xf>
    <xf numFmtId="0" fontId="30" fillId="0" borderId="243" xfId="4" applyNumberFormat="1" applyFont="1" applyFill="1" applyBorder="1" applyAlignment="1" applyProtection="1">
      <alignment horizontal="center" vertical="center" shrinkToFit="1"/>
    </xf>
    <xf numFmtId="0" fontId="34" fillId="0" borderId="243" xfId="4" applyNumberFormat="1" applyFont="1" applyFill="1" applyBorder="1" applyAlignment="1" applyProtection="1">
      <alignment vertical="center" shrinkToFit="1"/>
    </xf>
    <xf numFmtId="0" fontId="34" fillId="0" borderId="244" xfId="4" applyNumberFormat="1" applyFont="1" applyFill="1" applyBorder="1" applyAlignment="1" applyProtection="1">
      <alignment vertical="center" shrinkToFit="1"/>
    </xf>
    <xf numFmtId="0" fontId="31" fillId="0" borderId="0" xfId="4" applyNumberFormat="1" applyFont="1" applyFill="1" applyBorder="1" applyAlignment="1" applyProtection="1">
      <alignment horizontal="left" vertical="center"/>
      <protection locked="0"/>
    </xf>
    <xf numFmtId="0" fontId="43" fillId="7" borderId="38" xfId="4" applyNumberFormat="1" applyFont="1" applyFill="1" applyBorder="1" applyAlignment="1" applyProtection="1">
      <alignment vertical="center" wrapText="1"/>
    </xf>
    <xf numFmtId="0" fontId="43" fillId="7" borderId="54" xfId="4" applyNumberFormat="1" applyFont="1" applyFill="1" applyBorder="1" applyAlignment="1" applyProtection="1">
      <alignment vertical="center" wrapText="1"/>
    </xf>
    <xf numFmtId="49" fontId="31" fillId="0" borderId="0" xfId="4" applyNumberFormat="1" applyFont="1" applyFill="1" applyBorder="1" applyProtection="1">
      <alignment vertical="center"/>
      <protection hidden="1"/>
    </xf>
    <xf numFmtId="0" fontId="31" fillId="4" borderId="0" xfId="4" applyNumberFormat="1" applyFont="1" applyFill="1" applyBorder="1" applyProtection="1">
      <alignment vertical="center"/>
      <protection locked="0"/>
    </xf>
    <xf numFmtId="0" fontId="34" fillId="0" borderId="36" xfId="4" applyFont="1" applyFill="1" applyBorder="1" applyAlignment="1" applyProtection="1">
      <alignment horizontal="center" vertical="center" shrinkToFit="1"/>
    </xf>
    <xf numFmtId="0" fontId="34" fillId="0" borderId="194" xfId="4" applyFont="1" applyFill="1" applyBorder="1" applyAlignment="1" applyProtection="1">
      <alignment horizontal="center" vertical="center" shrinkToFit="1"/>
    </xf>
    <xf numFmtId="0" fontId="34" fillId="0" borderId="200" xfId="4" applyFont="1" applyFill="1" applyBorder="1" applyAlignment="1" applyProtection="1">
      <alignment horizontal="center" vertical="center" shrinkToFit="1"/>
    </xf>
    <xf numFmtId="0" fontId="42" fillId="2" borderId="4" xfId="4" applyFont="1" applyFill="1" applyBorder="1" applyAlignment="1" applyProtection="1">
      <alignment horizontal="center" vertical="center" shrinkToFit="1"/>
    </xf>
    <xf numFmtId="0" fontId="42" fillId="2" borderId="200" xfId="4" applyFont="1" applyFill="1" applyBorder="1" applyAlignment="1" applyProtection="1">
      <alignment horizontal="center" vertical="center" shrinkToFit="1"/>
    </xf>
    <xf numFmtId="6" fontId="29" fillId="0" borderId="194" xfId="5" applyFont="1" applyFill="1" applyBorder="1" applyAlignment="1" applyProtection="1">
      <alignment horizontal="left" vertical="center" shrinkToFit="1"/>
    </xf>
    <xf numFmtId="0" fontId="34" fillId="0" borderId="107" xfId="4" applyFont="1" applyFill="1" applyBorder="1" applyAlignment="1" applyProtection="1">
      <alignment horizontal="center" vertical="center" shrinkToFit="1"/>
      <protection locked="0"/>
    </xf>
    <xf numFmtId="0" fontId="34" fillId="0" borderId="67" xfId="4" applyFont="1" applyFill="1" applyBorder="1" applyAlignment="1" applyProtection="1">
      <alignment horizontal="center" vertical="center" shrinkToFit="1"/>
      <protection locked="0"/>
    </xf>
    <xf numFmtId="0" fontId="34" fillId="2" borderId="76" xfId="4" applyFont="1" applyFill="1" applyBorder="1" applyAlignment="1" applyProtection="1">
      <alignment horizontal="center" vertical="center" shrinkToFit="1"/>
      <protection locked="0"/>
    </xf>
    <xf numFmtId="6" fontId="29" fillId="0" borderId="131" xfId="5" applyFont="1" applyBorder="1" applyAlignment="1" applyProtection="1">
      <alignment horizontal="left" vertical="center" shrinkToFit="1"/>
      <protection locked="0"/>
    </xf>
    <xf numFmtId="0" fontId="34" fillId="2" borderId="19" xfId="4" applyFont="1" applyFill="1" applyBorder="1" applyAlignment="1" applyProtection="1">
      <alignment horizontal="center" vertical="center" shrinkToFit="1"/>
      <protection locked="0"/>
    </xf>
    <xf numFmtId="0" fontId="34" fillId="2" borderId="20" xfId="4" applyFont="1" applyFill="1" applyBorder="1" applyAlignment="1" applyProtection="1">
      <alignment horizontal="center" vertical="center" shrinkToFit="1"/>
      <protection locked="0"/>
    </xf>
    <xf numFmtId="0" fontId="29" fillId="0" borderId="20" xfId="4" applyFont="1" applyFill="1" applyBorder="1" applyAlignment="1" applyProtection="1">
      <alignment vertical="center"/>
      <protection locked="0"/>
    </xf>
    <xf numFmtId="6" fontId="29" fillId="0" borderId="20" xfId="5" applyFont="1" applyBorder="1" applyAlignment="1" applyProtection="1">
      <alignment horizontal="left" vertical="center" shrinkToFit="1"/>
      <protection locked="0"/>
    </xf>
    <xf numFmtId="6" fontId="29" fillId="0" borderId="116" xfId="5" applyFont="1" applyBorder="1" applyAlignment="1" applyProtection="1">
      <alignment horizontal="left" vertical="center" shrinkToFit="1"/>
      <protection locked="0"/>
    </xf>
    <xf numFmtId="6" fontId="29" fillId="0" borderId="131" xfId="5" applyFont="1" applyBorder="1" applyAlignment="1" applyProtection="1">
      <alignment horizontal="left" vertical="center" shrinkToFit="1"/>
    </xf>
    <xf numFmtId="0" fontId="42" fillId="2" borderId="36" xfId="4" applyFont="1" applyFill="1" applyBorder="1" applyAlignment="1" applyProtection="1">
      <alignment horizontal="center" vertical="center" shrinkToFit="1"/>
    </xf>
    <xf numFmtId="0" fontId="30" fillId="0" borderId="7" xfId="4" applyNumberFormat="1" applyFont="1" applyFill="1" applyBorder="1" applyAlignment="1" applyProtection="1">
      <alignment horizontal="center" vertical="center" shrinkToFit="1"/>
    </xf>
    <xf numFmtId="0" fontId="30" fillId="0" borderId="9" xfId="4" applyNumberFormat="1" applyFont="1" applyFill="1" applyBorder="1" applyAlignment="1" applyProtection="1">
      <alignment horizontal="center" vertical="center" shrinkToFit="1"/>
    </xf>
    <xf numFmtId="0" fontId="15" fillId="26" borderId="0" xfId="4" applyNumberFormat="1" applyFont="1" applyFill="1" applyAlignment="1" applyProtection="1">
      <alignment horizontal="left" vertical="center"/>
      <protection locked="0" hidden="1"/>
    </xf>
    <xf numFmtId="0" fontId="34" fillId="0" borderId="193" xfId="4" applyFont="1" applyFill="1" applyBorder="1" applyAlignment="1" applyProtection="1">
      <alignment horizontal="center" vertical="center" shrinkToFit="1"/>
    </xf>
    <xf numFmtId="0" fontId="34" fillId="0" borderId="8" xfId="4" applyFont="1" applyFill="1" applyBorder="1" applyAlignment="1" applyProtection="1">
      <alignment horizontal="center" vertical="center" shrinkToFit="1"/>
    </xf>
    <xf numFmtId="0" fontId="5" fillId="0" borderId="6" xfId="4" applyNumberFormat="1" applyFont="1" applyFill="1" applyBorder="1" applyAlignment="1" applyProtection="1">
      <alignment vertical="center" shrinkToFit="1"/>
      <protection hidden="1"/>
    </xf>
    <xf numFmtId="0" fontId="34" fillId="0" borderId="5" xfId="4" applyFont="1" applyFill="1" applyBorder="1" applyAlignment="1" applyProtection="1">
      <alignment horizontal="center" vertical="center" shrinkToFit="1"/>
    </xf>
    <xf numFmtId="0" fontId="15" fillId="0" borderId="194" xfId="4" applyNumberFormat="1" applyFont="1" applyFill="1" applyBorder="1" applyProtection="1">
      <alignment vertical="center"/>
      <protection locked="0"/>
    </xf>
    <xf numFmtId="0" fontId="29" fillId="0" borderId="193" xfId="4" applyFont="1" applyFill="1" applyBorder="1" applyAlignment="1" applyProtection="1">
      <alignment vertical="center"/>
    </xf>
    <xf numFmtId="0" fontId="15" fillId="26" borderId="36" xfId="4" applyNumberFormat="1" applyFont="1" applyFill="1" applyBorder="1" applyProtection="1">
      <alignment vertical="center"/>
      <protection locked="0"/>
    </xf>
    <xf numFmtId="0" fontId="31" fillId="0" borderId="6" xfId="4" applyNumberFormat="1" applyFont="1" applyFill="1" applyBorder="1" applyProtection="1">
      <alignment vertical="center"/>
      <protection locked="0"/>
    </xf>
    <xf numFmtId="49" fontId="31" fillId="0" borderId="6" xfId="4" applyNumberFormat="1" applyFont="1" applyFill="1" applyBorder="1" applyProtection="1">
      <alignment vertical="center"/>
      <protection locked="0"/>
    </xf>
    <xf numFmtId="0" fontId="31" fillId="0" borderId="6" xfId="4" applyNumberFormat="1" applyFont="1" applyFill="1" applyBorder="1" applyProtection="1">
      <alignment vertical="center"/>
      <protection hidden="1"/>
    </xf>
    <xf numFmtId="0" fontId="31" fillId="0" borderId="10" xfId="4" applyNumberFormat="1" applyFont="1" applyFill="1" applyBorder="1" applyProtection="1">
      <alignment vertical="center"/>
      <protection locked="0"/>
    </xf>
    <xf numFmtId="0" fontId="31" fillId="0" borderId="9" xfId="4" applyNumberFormat="1" applyFont="1" applyFill="1" applyBorder="1" applyProtection="1">
      <alignment vertical="center"/>
      <protection locked="0"/>
    </xf>
    <xf numFmtId="0" fontId="31" fillId="0" borderId="8" xfId="4" applyNumberFormat="1" applyFont="1" applyFill="1" applyBorder="1" applyProtection="1">
      <alignment vertical="center"/>
      <protection locked="0"/>
    </xf>
    <xf numFmtId="0" fontId="31" fillId="0" borderId="11" xfId="4" applyNumberFormat="1" applyFont="1" applyFill="1" applyBorder="1" applyProtection="1">
      <alignment vertical="center"/>
      <protection locked="0"/>
    </xf>
    <xf numFmtId="0" fontId="31" fillId="0" borderId="8" xfId="4" applyNumberFormat="1" applyFont="1" applyFill="1" applyBorder="1" applyProtection="1">
      <alignment vertical="center"/>
      <protection hidden="1"/>
    </xf>
    <xf numFmtId="0" fontId="31" fillId="0" borderId="10" xfId="4" applyNumberFormat="1" applyFont="1" applyFill="1" applyBorder="1" applyProtection="1">
      <alignment vertical="center"/>
      <protection hidden="1"/>
    </xf>
    <xf numFmtId="0" fontId="31" fillId="0" borderId="5" xfId="4" applyNumberFormat="1" applyFont="1" applyFill="1" applyBorder="1" applyProtection="1">
      <alignment vertical="center"/>
      <protection hidden="1"/>
    </xf>
    <xf numFmtId="0" fontId="31" fillId="0" borderId="11" xfId="4" applyNumberFormat="1" applyFont="1" applyFill="1" applyBorder="1" applyProtection="1">
      <alignment vertical="center"/>
      <protection hidden="1"/>
    </xf>
    <xf numFmtId="0" fontId="41" fillId="0" borderId="0" xfId="4" applyFont="1" applyBorder="1" applyProtection="1">
      <alignment vertical="center"/>
    </xf>
    <xf numFmtId="6" fontId="28" fillId="0" borderId="18" xfId="5" applyFont="1" applyFill="1" applyBorder="1" applyProtection="1">
      <alignment vertical="center"/>
    </xf>
    <xf numFmtId="0" fontId="53" fillId="0" borderId="101" xfId="4" applyNumberFormat="1" applyFont="1" applyFill="1" applyBorder="1" applyProtection="1">
      <alignment vertical="center"/>
    </xf>
    <xf numFmtId="0" fontId="30" fillId="0" borderId="102" xfId="4" applyFont="1" applyBorder="1" applyProtection="1">
      <alignment vertical="center"/>
    </xf>
    <xf numFmtId="0" fontId="41" fillId="0" borderId="102" xfId="4" applyFont="1" applyBorder="1" applyProtection="1">
      <alignment vertical="center"/>
    </xf>
    <xf numFmtId="6" fontId="28" fillId="0" borderId="103" xfId="5" applyFont="1" applyFill="1" applyBorder="1" applyProtection="1">
      <alignment vertical="center"/>
    </xf>
    <xf numFmtId="0" fontId="34" fillId="0" borderId="31" xfId="4" applyNumberFormat="1" applyFont="1" applyFill="1" applyBorder="1" applyAlignment="1" applyProtection="1">
      <alignment vertical="center" wrapText="1"/>
    </xf>
    <xf numFmtId="0" fontId="34" fillId="0" borderId="0" xfId="4" applyNumberFormat="1" applyFont="1" applyFill="1" applyBorder="1" applyAlignment="1" applyProtection="1">
      <alignment vertical="center" wrapText="1"/>
    </xf>
    <xf numFmtId="0" fontId="34" fillId="0" borderId="40" xfId="4" applyNumberFormat="1" applyFont="1" applyFill="1" applyBorder="1" applyAlignment="1" applyProtection="1">
      <alignment vertical="center" wrapText="1"/>
    </xf>
    <xf numFmtId="0" fontId="34" fillId="0" borderId="0" xfId="4" applyNumberFormat="1" applyFont="1" applyFill="1" applyBorder="1" applyAlignment="1" applyProtection="1">
      <alignment horizontal="left" vertical="center"/>
    </xf>
    <xf numFmtId="0" fontId="34" fillId="0" borderId="40" xfId="4" applyNumberFormat="1" applyFont="1" applyFill="1" applyBorder="1" applyAlignment="1" applyProtection="1">
      <alignment horizontal="left" vertical="center"/>
    </xf>
    <xf numFmtId="0" fontId="30" fillId="0" borderId="146" xfId="4" applyNumberFormat="1" applyFont="1" applyFill="1" applyBorder="1" applyAlignment="1" applyProtection="1">
      <alignment vertical="center" shrinkToFit="1"/>
    </xf>
    <xf numFmtId="0" fontId="30" fillId="0" borderId="145" xfId="4" applyNumberFormat="1" applyFont="1" applyFill="1" applyBorder="1" applyAlignment="1" applyProtection="1">
      <alignment vertical="center" shrinkToFit="1"/>
    </xf>
    <xf numFmtId="0" fontId="34" fillId="2" borderId="200" xfId="4" applyFont="1" applyFill="1" applyBorder="1" applyAlignment="1" applyProtection="1">
      <alignment horizontal="center" vertical="center" shrinkToFit="1"/>
    </xf>
    <xf numFmtId="0" fontId="42" fillId="2" borderId="4" xfId="4" applyFont="1" applyFill="1" applyBorder="1" applyAlignment="1" applyProtection="1">
      <alignment horizontal="center" vertical="center" shrinkToFit="1"/>
    </xf>
    <xf numFmtId="0" fontId="42" fillId="2" borderId="200" xfId="4" applyFont="1" applyFill="1" applyBorder="1" applyAlignment="1" applyProtection="1">
      <alignment horizontal="center" vertical="center" shrinkToFit="1"/>
    </xf>
    <xf numFmtId="0" fontId="34" fillId="0" borderId="200" xfId="4" applyFont="1" applyFill="1" applyBorder="1" applyAlignment="1" applyProtection="1">
      <alignment horizontal="center" vertical="center" shrinkToFit="1"/>
    </xf>
    <xf numFmtId="0" fontId="60" fillId="0" borderId="0" xfId="4" applyFont="1" applyFill="1" applyBorder="1" applyAlignment="1" applyProtection="1">
      <alignment horizontal="center" vertical="center" shrinkToFit="1"/>
    </xf>
    <xf numFmtId="0" fontId="34" fillId="0" borderId="40" xfId="4" applyNumberFormat="1" applyFont="1" applyFill="1" applyBorder="1" applyAlignment="1" applyProtection="1">
      <alignment vertical="top"/>
    </xf>
    <xf numFmtId="0" fontId="34" fillId="0" borderId="41" xfId="4" applyNumberFormat="1" applyFont="1" applyFill="1" applyBorder="1" applyAlignment="1" applyProtection="1">
      <alignment vertical="top"/>
    </xf>
    <xf numFmtId="0" fontId="36" fillId="8" borderId="42" xfId="4" applyNumberFormat="1" applyFont="1" applyFill="1" applyBorder="1" applyAlignment="1" applyProtection="1">
      <alignment vertical="top"/>
    </xf>
    <xf numFmtId="0" fontId="31" fillId="0" borderId="0" xfId="4" applyNumberFormat="1" applyFont="1" applyFill="1" applyAlignment="1" applyProtection="1">
      <alignment horizontal="left" vertical="center"/>
      <protection locked="0"/>
    </xf>
    <xf numFmtId="0" fontId="36" fillId="8" borderId="40" xfId="4" applyNumberFormat="1" applyFont="1" applyFill="1" applyBorder="1" applyAlignment="1" applyProtection="1">
      <alignment vertical="top"/>
    </xf>
    <xf numFmtId="0" fontId="34" fillId="8" borderId="0" xfId="4" applyNumberFormat="1" applyFont="1" applyFill="1" applyBorder="1" applyAlignment="1" applyProtection="1">
      <alignment horizontal="left" vertical="center" shrinkToFit="1"/>
    </xf>
    <xf numFmtId="0" fontId="34" fillId="8" borderId="34" xfId="4" applyNumberFormat="1" applyFont="1" applyFill="1" applyBorder="1" applyAlignment="1" applyProtection="1">
      <alignment horizontal="left" vertical="center" shrinkToFit="1"/>
    </xf>
    <xf numFmtId="0" fontId="34" fillId="0" borderId="42" xfId="4" applyNumberFormat="1" applyFont="1" applyFill="1" applyBorder="1" applyAlignment="1" applyProtection="1">
      <alignment horizontal="left" vertical="center"/>
    </xf>
    <xf numFmtId="0" fontId="36" fillId="8" borderId="40" xfId="4" applyNumberFormat="1" applyFont="1" applyFill="1" applyBorder="1" applyAlignment="1" applyProtection="1">
      <alignment horizontal="left" vertical="center"/>
    </xf>
    <xf numFmtId="0" fontId="36" fillId="8" borderId="40" xfId="4" applyNumberFormat="1" applyFont="1" applyFill="1" applyBorder="1" applyAlignment="1" applyProtection="1">
      <alignment horizontal="left" vertical="center" wrapText="1" shrinkToFit="1"/>
    </xf>
    <xf numFmtId="0" fontId="36" fillId="8" borderId="41" xfId="4" applyNumberFormat="1" applyFont="1" applyFill="1" applyBorder="1" applyAlignment="1" applyProtection="1">
      <alignment horizontal="left" vertical="center" wrapText="1" shrinkToFit="1"/>
    </xf>
    <xf numFmtId="0" fontId="36" fillId="8" borderId="43" xfId="4" applyNumberFormat="1" applyFont="1" applyFill="1" applyBorder="1" applyAlignment="1" applyProtection="1">
      <alignment horizontal="left" vertical="center" wrapText="1" shrinkToFit="1"/>
    </xf>
    <xf numFmtId="0" fontId="36" fillId="8" borderId="42" xfId="4" applyNumberFormat="1" applyFont="1" applyFill="1" applyBorder="1" applyAlignment="1" applyProtection="1">
      <alignment horizontal="left" vertical="center" wrapText="1" shrinkToFit="1"/>
    </xf>
    <xf numFmtId="0" fontId="34" fillId="0" borderId="8" xfId="4" applyNumberFormat="1" applyFont="1" applyFill="1" applyBorder="1" applyAlignment="1" applyProtection="1">
      <alignment horizontal="left" vertical="center"/>
    </xf>
    <xf numFmtId="0" fontId="34" fillId="8" borderId="38" xfId="4" applyNumberFormat="1" applyFont="1" applyFill="1" applyBorder="1" applyAlignment="1" applyProtection="1">
      <alignment horizontal="left" vertical="center" shrinkToFit="1"/>
    </xf>
    <xf numFmtId="0" fontId="34" fillId="8" borderId="8" xfId="4" applyNumberFormat="1" applyFont="1" applyFill="1" applyBorder="1" applyAlignment="1" applyProtection="1">
      <alignment horizontal="left" vertical="center" shrinkToFit="1"/>
    </xf>
    <xf numFmtId="0" fontId="34" fillId="8" borderId="40" xfId="4" applyNumberFormat="1" applyFont="1" applyFill="1" applyBorder="1" applyAlignment="1" applyProtection="1">
      <alignment vertical="center" shrinkToFit="1"/>
    </xf>
    <xf numFmtId="0" fontId="34" fillId="8" borderId="43" xfId="4" applyNumberFormat="1" applyFont="1" applyFill="1" applyBorder="1" applyAlignment="1" applyProtection="1">
      <alignment vertical="center" shrinkToFit="1"/>
    </xf>
    <xf numFmtId="0" fontId="31" fillId="0" borderId="0" xfId="4" applyNumberFormat="1" applyFont="1" applyFill="1" applyBorder="1" applyAlignment="1" applyProtection="1">
      <alignment vertical="center"/>
      <protection locked="0"/>
    </xf>
    <xf numFmtId="0" fontId="34" fillId="0" borderId="31" xfId="4" applyNumberFormat="1" applyFont="1" applyFill="1" applyBorder="1" applyAlignment="1" applyProtection="1">
      <alignment vertical="center" wrapText="1"/>
    </xf>
    <xf numFmtId="0" fontId="34" fillId="0" borderId="0" xfId="4" applyNumberFormat="1" applyFont="1" applyFill="1" applyBorder="1" applyAlignment="1" applyProtection="1">
      <alignment vertical="center" wrapText="1"/>
    </xf>
    <xf numFmtId="0" fontId="39" fillId="0" borderId="8" xfId="4" applyNumberFormat="1" applyFont="1" applyFill="1" applyBorder="1" applyAlignment="1" applyProtection="1">
      <alignment horizontal="left" vertical="center" shrinkToFit="1"/>
      <protection locked="0"/>
    </xf>
    <xf numFmtId="0" fontId="30" fillId="0" borderId="56" xfId="4" applyNumberFormat="1" applyFont="1" applyFill="1" applyBorder="1" applyAlignment="1" applyProtection="1">
      <alignment horizontal="center" vertical="center" shrinkToFit="1"/>
    </xf>
    <xf numFmtId="0" fontId="34" fillId="0" borderId="40" xfId="4" applyNumberFormat="1" applyFont="1" applyFill="1" applyBorder="1" applyAlignment="1" applyProtection="1">
      <alignment vertical="center" wrapText="1"/>
    </xf>
    <xf numFmtId="0" fontId="34" fillId="0" borderId="0" xfId="4" applyNumberFormat="1" applyFont="1" applyFill="1" applyBorder="1" applyAlignment="1" applyProtection="1">
      <alignment horizontal="left" vertical="center"/>
    </xf>
    <xf numFmtId="0" fontId="30" fillId="0" borderId="1" xfId="4" applyNumberFormat="1" applyFont="1" applyFill="1" applyBorder="1" applyAlignment="1" applyProtection="1">
      <alignment horizontal="center" vertical="center" shrinkToFit="1"/>
    </xf>
    <xf numFmtId="0" fontId="34" fillId="0" borderId="40" xfId="4" applyNumberFormat="1" applyFont="1" applyFill="1" applyBorder="1" applyAlignment="1" applyProtection="1">
      <alignment horizontal="left" vertical="center"/>
    </xf>
    <xf numFmtId="0" fontId="30" fillId="0" borderId="0" xfId="4" applyNumberFormat="1" applyFont="1" applyFill="1" applyBorder="1" applyAlignment="1" applyProtection="1">
      <alignment horizontal="center" vertical="center" shrinkToFit="1"/>
    </xf>
    <xf numFmtId="0" fontId="34" fillId="0" borderId="1" xfId="4" applyNumberFormat="1" applyFont="1" applyFill="1" applyBorder="1" applyAlignment="1" applyProtection="1">
      <alignment horizontal="left" vertical="center" shrinkToFit="1"/>
    </xf>
    <xf numFmtId="0" fontId="60" fillId="0" borderId="0" xfId="4" applyFont="1" applyFill="1" applyBorder="1" applyAlignment="1" applyProtection="1">
      <alignment horizontal="center" vertical="center" shrinkToFit="1"/>
    </xf>
    <xf numFmtId="0" fontId="34" fillId="0" borderId="4" xfId="4" applyFont="1" applyFill="1" applyBorder="1" applyAlignment="1" applyProtection="1">
      <alignment horizontal="center" vertical="center" shrinkToFit="1"/>
      <protection locked="0"/>
    </xf>
    <xf numFmtId="0" fontId="34" fillId="8" borderId="0" xfId="4" applyNumberFormat="1" applyFont="1" applyFill="1" applyBorder="1" applyAlignment="1" applyProtection="1">
      <alignment horizontal="left" vertical="center" shrinkToFit="1"/>
    </xf>
    <xf numFmtId="49" fontId="61" fillId="15" borderId="0" xfId="0" applyNumberFormat="1" applyFont="1" applyFill="1" applyProtection="1">
      <alignment vertical="center"/>
      <protection locked="0"/>
    </xf>
    <xf numFmtId="49" fontId="61" fillId="15" borderId="0" xfId="0" applyNumberFormat="1" applyFont="1" applyFill="1">
      <alignment vertical="center"/>
    </xf>
    <xf numFmtId="49" fontId="61" fillId="0" borderId="0" xfId="0" applyNumberFormat="1" applyFont="1" applyFill="1" applyProtection="1">
      <alignment vertical="center"/>
      <protection locked="0"/>
    </xf>
    <xf numFmtId="0" fontId="61" fillId="0" borderId="0" xfId="0" applyNumberFormat="1" applyFont="1" applyFill="1" applyProtection="1">
      <alignment vertical="center"/>
      <protection locked="0"/>
    </xf>
    <xf numFmtId="49" fontId="61" fillId="0" borderId="0" xfId="0" applyNumberFormat="1" applyFont="1" applyFill="1">
      <alignment vertical="center"/>
    </xf>
    <xf numFmtId="0" fontId="5" fillId="0" borderId="0" xfId="0" applyNumberFormat="1" applyFont="1" applyFill="1" applyProtection="1">
      <alignment vertical="center"/>
      <protection locked="0"/>
    </xf>
    <xf numFmtId="49" fontId="61" fillId="0" borderId="0" xfId="4" applyNumberFormat="1" applyFont="1" applyFill="1" applyProtection="1">
      <alignment vertical="center"/>
      <protection hidden="1"/>
    </xf>
    <xf numFmtId="49" fontId="5" fillId="5" borderId="0" xfId="4" applyNumberFormat="1" applyFont="1" applyFill="1" applyProtection="1">
      <alignment vertical="center"/>
      <protection hidden="1"/>
    </xf>
    <xf numFmtId="49" fontId="5" fillId="0" borderId="0" xfId="4" applyNumberFormat="1" applyFont="1" applyFill="1" applyBorder="1" applyProtection="1">
      <alignment vertical="center"/>
      <protection locked="0"/>
    </xf>
    <xf numFmtId="49" fontId="5" fillId="0" borderId="0" xfId="4" applyNumberFormat="1" applyFont="1" applyFill="1" applyBorder="1" applyProtection="1">
      <alignment vertical="center"/>
      <protection hidden="1"/>
    </xf>
    <xf numFmtId="6" fontId="55" fillId="0" borderId="40" xfId="13" applyFont="1" applyFill="1" applyBorder="1" applyAlignment="1" applyProtection="1">
      <alignment vertical="center"/>
    </xf>
    <xf numFmtId="6" fontId="129" fillId="0" borderId="40" xfId="5" applyFont="1" applyBorder="1" applyAlignment="1" applyProtection="1">
      <alignment horizontal="left" vertical="center"/>
    </xf>
    <xf numFmtId="0" fontId="60" fillId="0" borderId="31" xfId="4" applyFont="1" applyFill="1" applyBorder="1" applyAlignment="1" applyProtection="1">
      <alignment vertical="center" shrinkToFit="1"/>
    </xf>
    <xf numFmtId="0" fontId="115" fillId="0" borderId="0" xfId="4" applyFont="1" applyFill="1" applyBorder="1" applyAlignment="1" applyProtection="1">
      <alignment horizontal="left" vertical="center"/>
    </xf>
    <xf numFmtId="0" fontId="60" fillId="0" borderId="252" xfId="4" applyFont="1" applyFill="1" applyBorder="1" applyAlignment="1" applyProtection="1">
      <alignment vertical="center" shrinkToFit="1"/>
    </xf>
    <xf numFmtId="0" fontId="60" fillId="0" borderId="99" xfId="4" applyFont="1" applyFill="1" applyBorder="1" applyAlignment="1" applyProtection="1">
      <alignment vertical="center" shrinkToFit="1"/>
    </xf>
    <xf numFmtId="0" fontId="60" fillId="0" borderId="104" xfId="4" applyFont="1" applyFill="1" applyBorder="1" applyAlignment="1" applyProtection="1">
      <alignment vertical="center" shrinkToFit="1"/>
    </xf>
    <xf numFmtId="0" fontId="34" fillId="0" borderId="34" xfId="4" applyFont="1" applyFill="1" applyBorder="1" applyAlignment="1" applyProtection="1">
      <alignment vertical="center"/>
    </xf>
    <xf numFmtId="0" fontId="34" fillId="0" borderId="43" xfId="4" applyFont="1" applyFill="1" applyBorder="1" applyAlignment="1" applyProtection="1">
      <alignment vertical="center"/>
    </xf>
    <xf numFmtId="184" fontId="30" fillId="0" borderId="0" xfId="5" applyNumberFormat="1" applyFont="1" applyFill="1" applyBorder="1" applyAlignment="1" applyProtection="1">
      <alignment vertical="center"/>
    </xf>
    <xf numFmtId="49" fontId="28" fillId="0" borderId="0" xfId="13" applyNumberFormat="1" applyFont="1" applyFill="1" applyBorder="1" applyAlignment="1" applyProtection="1">
      <alignment vertical="center"/>
    </xf>
    <xf numFmtId="49" fontId="28" fillId="0" borderId="34" xfId="13" applyNumberFormat="1" applyFont="1" applyFill="1" applyBorder="1" applyAlignment="1" applyProtection="1">
      <alignment vertical="center"/>
    </xf>
    <xf numFmtId="0" fontId="34" fillId="0" borderId="208" xfId="4" applyFont="1" applyFill="1" applyBorder="1" applyAlignment="1" applyProtection="1">
      <alignment vertical="center" shrinkToFit="1"/>
    </xf>
    <xf numFmtId="0" fontId="34" fillId="2" borderId="245" xfId="4" applyFont="1" applyFill="1" applyBorder="1" applyAlignment="1" applyProtection="1">
      <alignment horizontal="center" vertical="center" shrinkToFit="1"/>
    </xf>
    <xf numFmtId="0" fontId="29" fillId="0" borderId="245" xfId="4" applyFont="1" applyFill="1" applyBorder="1" applyAlignment="1" applyProtection="1">
      <alignment vertical="center"/>
    </xf>
    <xf numFmtId="6" fontId="29" fillId="0" borderId="245" xfId="5" applyFont="1" applyBorder="1" applyAlignment="1" applyProtection="1">
      <alignment horizontal="left" vertical="center" shrinkToFit="1"/>
    </xf>
    <xf numFmtId="0" fontId="34" fillId="0" borderId="36" xfId="4" applyFont="1" applyFill="1" applyBorder="1" applyAlignment="1" applyProtection="1">
      <alignment vertical="center" shrinkToFit="1"/>
    </xf>
    <xf numFmtId="0" fontId="41" fillId="0" borderId="23" xfId="4" applyFont="1" applyBorder="1" applyAlignment="1" applyProtection="1">
      <alignment vertical="center" shrinkToFit="1"/>
    </xf>
    <xf numFmtId="0" fontId="0" fillId="0" borderId="23" xfId="0" applyBorder="1" applyAlignment="1" applyProtection="1">
      <alignment vertical="center" shrinkToFit="1"/>
    </xf>
    <xf numFmtId="0" fontId="0" fillId="0" borderId="246" xfId="0" applyBorder="1" applyAlignment="1" applyProtection="1">
      <alignment vertical="center" shrinkToFit="1"/>
    </xf>
    <xf numFmtId="0" fontId="34" fillId="0" borderId="192" xfId="4" applyFont="1" applyFill="1" applyBorder="1" applyAlignment="1" applyProtection="1">
      <alignment vertical="center" shrinkToFit="1"/>
    </xf>
    <xf numFmtId="0" fontId="34" fillId="0" borderId="77" xfId="4" applyFont="1" applyFill="1" applyBorder="1" applyAlignment="1" applyProtection="1">
      <alignment vertical="center" shrinkToFit="1"/>
    </xf>
    <xf numFmtId="0" fontId="43" fillId="0" borderId="166" xfId="4" applyFont="1" applyFill="1" applyBorder="1" applyAlignment="1" applyProtection="1">
      <alignment horizontal="left" vertical="center"/>
    </xf>
    <xf numFmtId="0" fontId="5" fillId="0" borderId="6" xfId="4" applyNumberFormat="1" applyFont="1" applyFill="1" applyBorder="1" applyProtection="1">
      <alignment vertical="center"/>
      <protection locked="0" hidden="1"/>
    </xf>
    <xf numFmtId="0" fontId="5" fillId="2" borderId="6" xfId="4" applyNumberFormat="1" applyFont="1" applyFill="1" applyBorder="1" applyAlignment="1" applyProtection="1">
      <alignment vertical="center" shrinkToFit="1"/>
      <protection hidden="1"/>
    </xf>
    <xf numFmtId="0" fontId="5" fillId="2" borderId="6" xfId="4" applyNumberFormat="1" applyFont="1" applyFill="1" applyBorder="1" applyAlignment="1" applyProtection="1">
      <alignment horizontal="right" vertical="center" shrinkToFit="1"/>
      <protection hidden="1"/>
    </xf>
    <xf numFmtId="6" fontId="5" fillId="5" borderId="6" xfId="13" applyFont="1" applyFill="1" applyBorder="1" applyAlignment="1" applyProtection="1">
      <alignment vertical="center" shrinkToFit="1"/>
      <protection hidden="1"/>
    </xf>
    <xf numFmtId="10" fontId="5" fillId="5" borderId="6" xfId="18" applyNumberFormat="1" applyFont="1" applyFill="1" applyBorder="1" applyAlignment="1" applyProtection="1">
      <alignment vertical="center" shrinkToFit="1"/>
      <protection hidden="1"/>
    </xf>
    <xf numFmtId="0" fontId="5" fillId="0" borderId="6" xfId="4" applyNumberFormat="1" applyFont="1" applyFill="1" applyBorder="1" applyAlignment="1" applyProtection="1">
      <alignment horizontal="right" vertical="center" shrinkToFit="1"/>
      <protection hidden="1"/>
    </xf>
    <xf numFmtId="0" fontId="34" fillId="0" borderId="0" xfId="4" applyNumberFormat="1" applyFont="1" applyFill="1" applyBorder="1" applyAlignment="1" applyProtection="1">
      <alignment horizontal="center" vertical="center" shrinkToFit="1"/>
    </xf>
    <xf numFmtId="0" fontId="20" fillId="0" borderId="0" xfId="4" applyFont="1" applyBorder="1" applyProtection="1">
      <alignment vertical="center"/>
      <protection hidden="1"/>
    </xf>
    <xf numFmtId="49" fontId="17" fillId="0" borderId="6" xfId="4" applyNumberFormat="1" applyFont="1" applyFill="1" applyBorder="1" applyAlignment="1"/>
    <xf numFmtId="49" fontId="17" fillId="0" borderId="6" xfId="4" applyNumberFormat="1" applyFont="1" applyFill="1" applyBorder="1" applyAlignment="1">
      <alignment horizontal="left"/>
    </xf>
    <xf numFmtId="0" fontId="17" fillId="0" borderId="6" xfId="4" applyFont="1" applyBorder="1" applyAlignment="1" applyProtection="1">
      <protection hidden="1"/>
    </xf>
    <xf numFmtId="0" fontId="17" fillId="4" borderId="6" xfId="4" applyFont="1" applyFill="1" applyBorder="1" applyAlignment="1" applyProtection="1">
      <protection hidden="1"/>
    </xf>
    <xf numFmtId="0" fontId="20" fillId="0" borderId="6" xfId="4" applyFont="1" applyBorder="1" applyAlignment="1" applyProtection="1">
      <protection hidden="1"/>
    </xf>
    <xf numFmtId="49" fontId="20" fillId="0" borderId="6" xfId="4" applyNumberFormat="1" applyFont="1" applyFill="1" applyBorder="1" applyAlignment="1"/>
    <xf numFmtId="49" fontId="20" fillId="0" borderId="6" xfId="4" applyNumberFormat="1" applyFont="1" applyFill="1" applyBorder="1" applyAlignment="1">
      <alignment horizontal="left"/>
    </xf>
    <xf numFmtId="0" fontId="20" fillId="4" borderId="6" xfId="4" applyFont="1" applyFill="1" applyBorder="1" applyAlignment="1" applyProtection="1">
      <protection hidden="1"/>
    </xf>
    <xf numFmtId="0" fontId="20" fillId="30" borderId="2" xfId="4" applyFont="1" applyFill="1" applyBorder="1" applyAlignment="1" applyProtection="1">
      <alignment horizontal="right" vertical="center"/>
      <protection hidden="1"/>
    </xf>
    <xf numFmtId="0" fontId="17" fillId="0" borderId="2" xfId="4" applyFont="1" applyBorder="1" applyAlignment="1" applyProtection="1">
      <alignment vertical="center"/>
      <protection hidden="1"/>
    </xf>
    <xf numFmtId="0" fontId="17" fillId="0" borderId="6" xfId="4" applyFont="1" applyFill="1" applyBorder="1" applyAlignment="1" applyProtection="1">
      <alignment vertical="center"/>
      <protection hidden="1"/>
    </xf>
    <xf numFmtId="0" fontId="20" fillId="0" borderId="6" xfId="4" applyFont="1" applyFill="1" applyBorder="1" applyAlignment="1" applyProtection="1">
      <alignment vertical="center"/>
      <protection hidden="1"/>
    </xf>
    <xf numFmtId="0" fontId="20" fillId="4" borderId="6" xfId="4" applyFont="1" applyFill="1" applyBorder="1" applyAlignment="1" applyProtection="1">
      <alignment horizontal="right" vertical="center"/>
      <protection hidden="1"/>
    </xf>
    <xf numFmtId="6" fontId="5" fillId="0" borderId="6" xfId="13" applyFont="1" applyFill="1" applyBorder="1" applyAlignment="1" applyProtection="1">
      <alignment vertical="center" shrinkToFit="1"/>
      <protection hidden="1"/>
    </xf>
    <xf numFmtId="6" fontId="15" fillId="0" borderId="6" xfId="13" applyFont="1" applyFill="1" applyBorder="1" applyAlignment="1" applyProtection="1">
      <alignment vertical="center" shrinkToFit="1"/>
      <protection hidden="1"/>
    </xf>
    <xf numFmtId="6" fontId="5" fillId="0" borderId="0" xfId="4" applyNumberFormat="1" applyFont="1" applyFill="1" applyAlignment="1" applyProtection="1">
      <alignment vertical="center" shrinkToFit="1"/>
      <protection locked="0"/>
    </xf>
    <xf numFmtId="0" fontId="34" fillId="0" borderId="200" xfId="4" applyFont="1" applyFill="1" applyBorder="1" applyAlignment="1" applyProtection="1">
      <alignment horizontal="center" vertical="center" shrinkToFit="1"/>
    </xf>
    <xf numFmtId="0" fontId="31" fillId="0" borderId="0" xfId="4" applyNumberFormat="1" applyFont="1" applyFill="1" applyBorder="1" applyProtection="1">
      <alignment vertical="center"/>
    </xf>
    <xf numFmtId="0" fontId="34" fillId="0" borderId="63" xfId="4" applyNumberFormat="1" applyFont="1" applyFill="1" applyBorder="1" applyAlignment="1" applyProtection="1">
      <alignment vertical="center"/>
    </xf>
    <xf numFmtId="0" fontId="34" fillId="0" borderId="32" xfId="4" applyNumberFormat="1" applyFont="1" applyFill="1" applyBorder="1" applyAlignment="1" applyProtection="1">
      <alignment vertical="center"/>
    </xf>
    <xf numFmtId="0" fontId="34" fillId="0" borderId="8" xfId="4" applyNumberFormat="1" applyFont="1" applyFill="1" applyBorder="1" applyAlignment="1" applyProtection="1">
      <alignment vertical="center"/>
    </xf>
    <xf numFmtId="0" fontId="34" fillId="0" borderId="0" xfId="4" applyNumberFormat="1" applyFont="1" applyFill="1" applyBorder="1" applyAlignment="1" applyProtection="1">
      <alignment vertical="center"/>
    </xf>
    <xf numFmtId="0" fontId="34" fillId="0" borderId="34" xfId="4" applyNumberFormat="1" applyFont="1" applyFill="1" applyBorder="1" applyAlignment="1" applyProtection="1">
      <alignment vertical="center"/>
    </xf>
    <xf numFmtId="0" fontId="34" fillId="8" borderId="0" xfId="4" applyNumberFormat="1" applyFont="1" applyFill="1" applyBorder="1" applyAlignment="1" applyProtection="1">
      <alignment vertical="center" wrapText="1" shrinkToFit="1"/>
    </xf>
    <xf numFmtId="0" fontId="36" fillId="8" borderId="40" xfId="4" applyNumberFormat="1" applyFont="1" applyFill="1" applyBorder="1" applyAlignment="1" applyProtection="1">
      <alignment vertical="center"/>
    </xf>
    <xf numFmtId="0" fontId="31" fillId="0" borderId="193" xfId="4" applyNumberFormat="1" applyFont="1" applyFill="1" applyBorder="1" applyProtection="1">
      <alignment vertical="center"/>
      <protection locked="0"/>
    </xf>
    <xf numFmtId="0" fontId="31" fillId="0" borderId="5" xfId="4" applyNumberFormat="1" applyFont="1" applyFill="1" applyBorder="1" applyProtection="1">
      <alignment vertical="center"/>
      <protection locked="0"/>
    </xf>
    <xf numFmtId="49" fontId="31" fillId="0" borderId="9" xfId="4" applyNumberFormat="1" applyFont="1" applyFill="1" applyBorder="1" applyProtection="1">
      <alignment vertical="center"/>
      <protection locked="0"/>
    </xf>
    <xf numFmtId="49" fontId="31" fillId="0" borderId="193" xfId="4" applyNumberFormat="1" applyFont="1" applyFill="1" applyBorder="1" applyProtection="1">
      <alignment vertical="center"/>
      <protection locked="0"/>
    </xf>
    <xf numFmtId="0" fontId="31" fillId="0" borderId="54" xfId="4" applyNumberFormat="1" applyFont="1" applyFill="1" applyBorder="1" applyProtection="1">
      <alignment vertical="center"/>
      <protection locked="0"/>
    </xf>
    <xf numFmtId="0" fontId="31" fillId="0" borderId="36" xfId="4" applyNumberFormat="1" applyFont="1" applyFill="1" applyBorder="1" applyProtection="1">
      <alignment vertical="center"/>
      <protection hidden="1"/>
    </xf>
    <xf numFmtId="0" fontId="31" fillId="0" borderId="38" xfId="4" applyNumberFormat="1" applyFont="1" applyFill="1" applyBorder="1" applyProtection="1">
      <alignment vertical="center"/>
      <protection locked="0"/>
    </xf>
    <xf numFmtId="0" fontId="30" fillId="0" borderId="0" xfId="4" applyFont="1" applyFill="1" applyAlignment="1" applyProtection="1">
      <alignment vertical="center"/>
      <protection hidden="1"/>
    </xf>
    <xf numFmtId="49" fontId="31" fillId="0" borderId="6" xfId="4" applyNumberFormat="1" applyFont="1" applyFill="1" applyBorder="1" applyProtection="1">
      <alignment vertical="center"/>
      <protection hidden="1"/>
    </xf>
    <xf numFmtId="0" fontId="31" fillId="0" borderId="6" xfId="4" applyFont="1" applyFill="1" applyBorder="1" applyProtection="1">
      <alignment vertical="center"/>
      <protection hidden="1"/>
    </xf>
    <xf numFmtId="0" fontId="28" fillId="0" borderId="6" xfId="0" applyFont="1" applyFill="1" applyBorder="1" applyAlignment="1">
      <alignment vertical="center"/>
    </xf>
    <xf numFmtId="0" fontId="28" fillId="0" borderId="6" xfId="2" applyFont="1" applyFill="1" applyBorder="1" applyAlignment="1">
      <alignment vertical="center"/>
    </xf>
    <xf numFmtId="0" fontId="31" fillId="0" borderId="9" xfId="4" applyNumberFormat="1" applyFont="1" applyFill="1" applyBorder="1" applyProtection="1">
      <alignment vertical="center"/>
      <protection hidden="1"/>
    </xf>
    <xf numFmtId="0" fontId="31" fillId="0" borderId="193" xfId="4" applyNumberFormat="1" applyFont="1" applyFill="1" applyBorder="1" applyProtection="1">
      <alignment vertical="center"/>
      <protection hidden="1"/>
    </xf>
    <xf numFmtId="49" fontId="31" fillId="0" borderId="193" xfId="4" applyNumberFormat="1" applyFont="1" applyFill="1" applyBorder="1" applyProtection="1">
      <alignment vertical="center"/>
      <protection hidden="1"/>
    </xf>
    <xf numFmtId="0" fontId="31" fillId="0" borderId="193" xfId="4" applyFont="1" applyFill="1" applyBorder="1" applyProtection="1">
      <alignment vertical="center"/>
      <protection hidden="1"/>
    </xf>
    <xf numFmtId="0" fontId="28" fillId="0" borderId="9" xfId="0" applyFont="1" applyFill="1" applyBorder="1" applyAlignment="1">
      <alignment vertical="center"/>
    </xf>
    <xf numFmtId="0" fontId="28" fillId="0" borderId="9" xfId="2" applyFont="1" applyFill="1" applyBorder="1" applyAlignment="1">
      <alignment vertical="center"/>
    </xf>
    <xf numFmtId="49" fontId="31" fillId="0" borderId="10" xfId="4" applyNumberFormat="1" applyFont="1" applyFill="1" applyBorder="1" applyProtection="1">
      <alignment vertical="center"/>
      <protection locked="0"/>
    </xf>
    <xf numFmtId="49" fontId="31" fillId="0" borderId="5" xfId="4" applyNumberFormat="1" applyFont="1" applyFill="1" applyBorder="1" applyProtection="1">
      <alignment vertical="center"/>
      <protection hidden="1"/>
    </xf>
    <xf numFmtId="0" fontId="31" fillId="0" borderId="8" xfId="4" applyFont="1" applyFill="1" applyBorder="1" applyProtection="1">
      <alignment vertical="center"/>
      <protection hidden="1"/>
    </xf>
    <xf numFmtId="0" fontId="28" fillId="0" borderId="10" xfId="0" applyFont="1" applyFill="1" applyBorder="1" applyAlignment="1">
      <alignment vertical="center"/>
    </xf>
    <xf numFmtId="0" fontId="28" fillId="0" borderId="10" xfId="2" applyFont="1" applyFill="1" applyBorder="1" applyAlignment="1">
      <alignment vertical="center"/>
    </xf>
    <xf numFmtId="49" fontId="31" fillId="0" borderId="0" xfId="4" applyNumberFormat="1" applyFont="1" applyFill="1" applyProtection="1">
      <alignment vertical="center"/>
      <protection hidden="1"/>
    </xf>
    <xf numFmtId="0" fontId="31" fillId="0" borderId="5" xfId="4" applyFont="1" applyFill="1" applyBorder="1" applyProtection="1">
      <alignment vertical="center"/>
      <protection hidden="1"/>
    </xf>
    <xf numFmtId="49" fontId="31" fillId="0" borderId="11" xfId="4" applyNumberFormat="1" applyFont="1" applyFill="1" applyBorder="1" applyProtection="1">
      <alignment vertical="center"/>
      <protection locked="0"/>
    </xf>
    <xf numFmtId="0" fontId="28" fillId="0" borderId="11" xfId="0" applyFont="1" applyFill="1" applyBorder="1" applyAlignment="1">
      <alignment vertical="center"/>
    </xf>
    <xf numFmtId="0" fontId="28" fillId="0" borderId="11" xfId="4" applyFont="1" applyFill="1" applyBorder="1" applyAlignment="1" applyProtection="1">
      <alignment vertical="center"/>
      <protection hidden="1"/>
    </xf>
    <xf numFmtId="49" fontId="31" fillId="0" borderId="0" xfId="4" applyNumberFormat="1" applyFont="1" applyFill="1" applyProtection="1">
      <alignment vertical="center"/>
      <protection locked="0"/>
    </xf>
    <xf numFmtId="0" fontId="30" fillId="0" borderId="0" xfId="2" applyFont="1" applyFill="1" applyAlignment="1">
      <alignment vertical="center"/>
    </xf>
    <xf numFmtId="0" fontId="43" fillId="0" borderId="0" xfId="0" applyFont="1" applyFill="1" applyAlignment="1">
      <alignment vertical="center"/>
    </xf>
    <xf numFmtId="0" fontId="43" fillId="0" borderId="0" xfId="0" quotePrefix="1" applyFont="1" applyFill="1" applyAlignment="1">
      <alignment vertical="center"/>
    </xf>
    <xf numFmtId="0" fontId="30" fillId="0" borderId="0" xfId="2" applyFont="1" applyFill="1" applyAlignment="1"/>
    <xf numFmtId="0" fontId="133" fillId="0" borderId="0" xfId="0" applyFont="1" applyFill="1" applyAlignment="1">
      <alignment vertical="center"/>
    </xf>
    <xf numFmtId="0" fontId="134" fillId="0" borderId="0" xfId="2" applyFont="1" applyFill="1" applyAlignment="1">
      <alignment vertical="center"/>
    </xf>
    <xf numFmtId="0" fontId="133" fillId="0" borderId="0" xfId="4" applyFont="1" applyFill="1" applyAlignment="1" applyProtection="1">
      <alignment vertical="center"/>
      <protection hidden="1"/>
    </xf>
    <xf numFmtId="10" fontId="30" fillId="0" borderId="0" xfId="6" applyNumberFormat="1" applyFont="1" applyFill="1" applyBorder="1" applyAlignment="1" applyProtection="1">
      <alignment vertical="center" shrinkToFit="1"/>
    </xf>
    <xf numFmtId="6" fontId="30" fillId="0" borderId="0" xfId="13" applyFont="1" applyFill="1" applyBorder="1" applyAlignment="1" applyProtection="1">
      <alignment vertical="center" shrinkToFit="1"/>
    </xf>
    <xf numFmtId="0" fontId="15" fillId="0" borderId="36" xfId="4" applyNumberFormat="1" applyFont="1" applyFill="1" applyBorder="1" applyAlignment="1" applyProtection="1">
      <alignment horizontal="left" vertical="center"/>
      <protection locked="0"/>
    </xf>
    <xf numFmtId="0" fontId="34" fillId="0" borderId="8" xfId="4" applyFont="1" applyFill="1" applyBorder="1" applyAlignment="1" applyProtection="1">
      <alignment vertical="center" shrinkToFit="1"/>
    </xf>
    <xf numFmtId="0" fontId="34" fillId="0" borderId="0" xfId="4" applyFont="1" applyFill="1" applyBorder="1" applyAlignment="1" applyProtection="1">
      <alignment vertical="center" shrinkToFit="1"/>
    </xf>
    <xf numFmtId="0" fontId="30" fillId="0" borderId="0" xfId="4" applyFont="1" applyBorder="1" applyAlignment="1" applyProtection="1">
      <alignment vertical="center"/>
    </xf>
    <xf numFmtId="0" fontId="5" fillId="0" borderId="36" xfId="4" applyNumberFormat="1" applyFont="1" applyFill="1" applyBorder="1" applyProtection="1">
      <alignment vertical="center"/>
      <protection locked="0"/>
    </xf>
    <xf numFmtId="0" fontId="5" fillId="0" borderId="36" xfId="4" applyNumberFormat="1" applyFont="1" applyFill="1" applyBorder="1" applyProtection="1">
      <alignment vertical="center"/>
      <protection hidden="1"/>
    </xf>
    <xf numFmtId="6" fontId="5" fillId="0" borderId="36" xfId="13" applyFont="1" applyFill="1" applyBorder="1" applyAlignment="1" applyProtection="1">
      <alignment vertical="center" shrinkToFit="1"/>
      <protection hidden="1"/>
    </xf>
    <xf numFmtId="0" fontId="5" fillId="0" borderId="194" xfId="4" applyNumberFormat="1" applyFont="1" applyFill="1" applyBorder="1" applyProtection="1">
      <alignment vertical="center"/>
      <protection hidden="1"/>
    </xf>
    <xf numFmtId="49" fontId="5" fillId="0" borderId="194" xfId="4" applyNumberFormat="1" applyFont="1" applyFill="1" applyBorder="1" applyProtection="1">
      <alignment vertical="center"/>
      <protection hidden="1"/>
    </xf>
    <xf numFmtId="0" fontId="5" fillId="0" borderId="194" xfId="4" applyNumberFormat="1" applyFont="1" applyFill="1" applyBorder="1" applyProtection="1">
      <alignment vertical="center"/>
      <protection locked="0" hidden="1"/>
    </xf>
    <xf numFmtId="0" fontId="5" fillId="0" borderId="194" xfId="4" applyNumberFormat="1" applyFont="1" applyFill="1" applyBorder="1" applyAlignment="1" applyProtection="1">
      <alignment vertical="center" shrinkToFit="1"/>
      <protection hidden="1"/>
    </xf>
    <xf numFmtId="0" fontId="5" fillId="0" borderId="194" xfId="4" applyNumberFormat="1" applyFont="1" applyFill="1" applyBorder="1" applyAlignment="1" applyProtection="1">
      <alignment horizontal="right" vertical="center" shrinkToFit="1"/>
      <protection hidden="1"/>
    </xf>
    <xf numFmtId="6" fontId="5" fillId="0" borderId="194" xfId="13" applyFont="1" applyFill="1" applyBorder="1" applyAlignment="1" applyProtection="1">
      <alignment vertical="center" shrinkToFit="1"/>
      <protection hidden="1"/>
    </xf>
    <xf numFmtId="10" fontId="5" fillId="0" borderId="194" xfId="18" applyNumberFormat="1" applyFont="1" applyFill="1" applyBorder="1" applyAlignment="1" applyProtection="1">
      <alignment vertical="center" shrinkToFit="1"/>
      <protection hidden="1"/>
    </xf>
    <xf numFmtId="0" fontId="5" fillId="0" borderId="0" xfId="4" applyNumberFormat="1" applyFont="1" applyFill="1" applyBorder="1" applyProtection="1">
      <alignment vertical="center"/>
      <protection locked="0"/>
    </xf>
    <xf numFmtId="0" fontId="5" fillId="0" borderId="0" xfId="4" applyNumberFormat="1" applyFont="1" applyFill="1" applyBorder="1" applyProtection="1">
      <alignment vertical="center"/>
      <protection locked="0" hidden="1"/>
    </xf>
    <xf numFmtId="0" fontId="5" fillId="0" borderId="0" xfId="4" applyNumberFormat="1" applyFont="1" applyFill="1" applyBorder="1" applyAlignment="1" applyProtection="1">
      <alignment horizontal="right" vertical="center" shrinkToFit="1"/>
      <protection hidden="1"/>
    </xf>
    <xf numFmtId="6" fontId="5" fillId="0" borderId="0" xfId="13" applyFont="1" applyFill="1" applyBorder="1" applyAlignment="1" applyProtection="1">
      <alignment vertical="center" shrinkToFit="1"/>
      <protection hidden="1"/>
    </xf>
    <xf numFmtId="10" fontId="5" fillId="0" borderId="0" xfId="18" applyNumberFormat="1" applyFont="1" applyFill="1" applyBorder="1" applyAlignment="1" applyProtection="1">
      <alignment vertical="center" shrinkToFit="1"/>
      <protection hidden="1"/>
    </xf>
    <xf numFmtId="0" fontId="15" fillId="26" borderId="194" xfId="4" applyNumberFormat="1" applyFont="1" applyFill="1" applyBorder="1" applyProtection="1">
      <alignment vertical="center"/>
      <protection locked="0"/>
    </xf>
    <xf numFmtId="0" fontId="124" fillId="0" borderId="36" xfId="4" applyFont="1" applyFill="1" applyBorder="1" applyAlignment="1" applyProtection="1">
      <alignment horizontal="left" vertical="center" wrapText="1"/>
    </xf>
    <xf numFmtId="0" fontId="31" fillId="0" borderId="261" xfId="5" applyNumberFormat="1" applyFont="1" applyFill="1" applyBorder="1" applyAlignment="1" applyProtection="1">
      <alignment vertical="center" wrapText="1"/>
    </xf>
    <xf numFmtId="0" fontId="20" fillId="30" borderId="6" xfId="2" applyFont="1" applyFill="1" applyBorder="1" applyAlignment="1"/>
    <xf numFmtId="183" fontId="15" fillId="21" borderId="6" xfId="4" applyNumberFormat="1" applyFont="1" applyFill="1" applyBorder="1" applyAlignment="1" applyProtection="1">
      <alignment horizontal="right" vertical="center"/>
      <protection hidden="1"/>
    </xf>
    <xf numFmtId="0" fontId="29" fillId="0" borderId="192" xfId="4" applyFont="1" applyBorder="1" applyAlignment="1" applyProtection="1">
      <alignment vertical="center" shrinkToFit="1"/>
    </xf>
    <xf numFmtId="0" fontId="29" fillId="0" borderId="200" xfId="4" applyFont="1" applyBorder="1" applyAlignment="1" applyProtection="1">
      <alignment vertical="center" shrinkToFit="1"/>
    </xf>
    <xf numFmtId="0" fontId="31" fillId="0" borderId="0" xfId="4" applyNumberFormat="1" applyFont="1" applyFill="1" applyAlignment="1" applyProtection="1">
      <alignment horizontal="left" vertical="center"/>
      <protection locked="0" hidden="1"/>
    </xf>
    <xf numFmtId="0" fontId="20" fillId="21" borderId="6" xfId="4" applyFont="1" applyFill="1" applyBorder="1" applyAlignment="1" applyProtection="1">
      <alignment horizontal="right" vertical="center"/>
      <protection hidden="1"/>
    </xf>
    <xf numFmtId="0" fontId="31" fillId="0" borderId="0" xfId="4" applyNumberFormat="1" applyFont="1" applyFill="1" applyBorder="1" applyAlignment="1" applyProtection="1">
      <alignment horizontal="left" vertical="center"/>
      <protection hidden="1"/>
    </xf>
    <xf numFmtId="0" fontId="31" fillId="4" borderId="0" xfId="4" applyNumberFormat="1" applyFont="1" applyFill="1" applyBorder="1" applyAlignment="1" applyProtection="1">
      <alignment horizontal="left" vertical="center"/>
      <protection locked="0"/>
    </xf>
    <xf numFmtId="0" fontId="53" fillId="0" borderId="22" xfId="4" applyFont="1" applyBorder="1" applyAlignment="1" applyProtection="1">
      <alignment vertical="center" shrinkToFit="1"/>
    </xf>
    <xf numFmtId="0" fontId="135" fillId="0" borderId="20" xfId="0" applyFont="1" applyBorder="1" applyAlignment="1" applyProtection="1">
      <alignment vertical="center" shrinkToFit="1"/>
    </xf>
    <xf numFmtId="0" fontId="52" fillId="0" borderId="20" xfId="0" applyFont="1" applyBorder="1" applyAlignment="1" applyProtection="1">
      <alignment vertical="center"/>
    </xf>
    <xf numFmtId="0" fontId="52" fillId="0" borderId="20" xfId="0" applyFont="1" applyBorder="1" applyAlignment="1" applyProtection="1">
      <alignment horizontal="right" vertical="center"/>
    </xf>
    <xf numFmtId="0" fontId="31" fillId="5" borderId="194" xfId="4" applyNumberFormat="1" applyFont="1" applyFill="1" applyBorder="1" applyAlignment="1" applyProtection="1">
      <alignment horizontal="right" vertical="center"/>
      <protection locked="0"/>
    </xf>
    <xf numFmtId="0" fontId="30" fillId="0" borderId="7" xfId="4" applyNumberFormat="1" applyFont="1" applyFill="1" applyBorder="1" applyAlignment="1" applyProtection="1">
      <alignment horizontal="center" vertical="center" shrinkToFit="1"/>
    </xf>
    <xf numFmtId="0" fontId="30" fillId="0" borderId="9" xfId="4" applyNumberFormat="1" applyFont="1" applyFill="1" applyBorder="1" applyAlignment="1" applyProtection="1">
      <alignment horizontal="center" vertical="center" shrinkToFit="1"/>
    </xf>
    <xf numFmtId="0" fontId="34" fillId="2" borderId="200" xfId="4" applyFont="1" applyFill="1" applyBorder="1" applyAlignment="1" applyProtection="1">
      <alignment horizontal="center" vertical="center" shrinkToFit="1"/>
    </xf>
    <xf numFmtId="0" fontId="42" fillId="2" borderId="4" xfId="4" applyFont="1" applyFill="1" applyBorder="1" applyAlignment="1" applyProtection="1">
      <alignment horizontal="center" vertical="center" shrinkToFit="1"/>
    </xf>
    <xf numFmtId="0" fontId="42" fillId="2" borderId="200" xfId="4" applyFont="1" applyFill="1" applyBorder="1" applyAlignment="1" applyProtection="1">
      <alignment horizontal="center" vertical="center" shrinkToFit="1"/>
    </xf>
    <xf numFmtId="0" fontId="34" fillId="0" borderId="200" xfId="4" applyFont="1" applyFill="1" applyBorder="1" applyAlignment="1" applyProtection="1">
      <alignment horizontal="center" vertical="center" shrinkToFit="1"/>
    </xf>
    <xf numFmtId="6" fontId="5" fillId="0" borderId="6" xfId="13" applyFont="1" applyFill="1" applyBorder="1" applyAlignment="1" applyProtection="1">
      <alignment vertical="center" shrinkToFit="1"/>
      <protection hidden="1"/>
    </xf>
    <xf numFmtId="0" fontId="42" fillId="2" borderId="36" xfId="4" applyFont="1" applyFill="1" applyBorder="1" applyAlignment="1" applyProtection="1">
      <alignment horizontal="center" vertical="center" shrinkToFit="1"/>
    </xf>
    <xf numFmtId="0" fontId="34" fillId="0" borderId="194" xfId="4" applyFont="1" applyFill="1" applyBorder="1" applyAlignment="1" applyProtection="1">
      <alignment horizontal="center" vertical="center" shrinkToFit="1"/>
    </xf>
    <xf numFmtId="0" fontId="34" fillId="0" borderId="36" xfId="4" applyFont="1" applyFill="1" applyBorder="1" applyAlignment="1" applyProtection="1">
      <alignment horizontal="center" vertical="center" shrinkToFit="1"/>
    </xf>
    <xf numFmtId="0" fontId="34" fillId="0" borderId="0" xfId="4" applyFont="1" applyFill="1" applyBorder="1" applyAlignment="1" applyProtection="1">
      <alignment horizontal="center" vertical="center" shrinkToFit="1"/>
    </xf>
    <xf numFmtId="0" fontId="34" fillId="0" borderId="200" xfId="4" applyFont="1" applyFill="1" applyBorder="1" applyAlignment="1" applyProtection="1">
      <alignment horizontal="center" vertical="center" shrinkToFit="1"/>
      <protection locked="0"/>
    </xf>
    <xf numFmtId="0" fontId="30" fillId="2" borderId="31" xfId="4" applyFont="1" applyFill="1" applyBorder="1" applyAlignment="1" applyProtection="1">
      <alignment horizontal="left" vertical="center"/>
    </xf>
    <xf numFmtId="0" fontId="34" fillId="2" borderId="208" xfId="4" applyFont="1" applyFill="1" applyBorder="1" applyAlignment="1" applyProtection="1">
      <alignment horizontal="center" vertical="center" shrinkToFit="1"/>
    </xf>
    <xf numFmtId="0" fontId="29" fillId="0" borderId="208" xfId="4" applyFont="1" applyFill="1" applyBorder="1" applyAlignment="1" applyProtection="1">
      <alignment vertical="center"/>
    </xf>
    <xf numFmtId="6" fontId="29" fillId="0" borderId="20" xfId="5" applyFont="1" applyBorder="1" applyAlignment="1" applyProtection="1">
      <alignment horizontal="left" vertical="center" shrinkToFit="1"/>
    </xf>
    <xf numFmtId="6" fontId="29" fillId="0" borderId="116" xfId="5" applyFont="1" applyBorder="1" applyAlignment="1" applyProtection="1">
      <alignment horizontal="left" vertical="center" shrinkToFit="1"/>
    </xf>
    <xf numFmtId="0" fontId="34" fillId="0" borderId="200" xfId="4" applyFont="1" applyFill="1" applyBorder="1" applyAlignment="1" applyProtection="1">
      <alignment horizontal="center" vertical="center" shrinkToFit="1"/>
    </xf>
    <xf numFmtId="0" fontId="136" fillId="0" borderId="245" xfId="4" applyFont="1" applyFill="1" applyBorder="1" applyAlignment="1" applyProtection="1">
      <alignment horizontal="left" vertical="center" wrapText="1"/>
    </xf>
    <xf numFmtId="0" fontId="52" fillId="0" borderId="245" xfId="4" applyFont="1" applyFill="1" applyBorder="1" applyAlignment="1" applyProtection="1">
      <alignment horizontal="right" vertical="center"/>
    </xf>
    <xf numFmtId="0" fontId="124" fillId="0" borderId="166" xfId="4" applyFont="1" applyFill="1" applyBorder="1" applyAlignment="1" applyProtection="1">
      <alignment horizontal="left" vertical="center" wrapText="1"/>
    </xf>
    <xf numFmtId="0" fontId="5" fillId="0" borderId="194" xfId="4" applyNumberFormat="1" applyFont="1" applyFill="1" applyBorder="1" applyProtection="1">
      <alignment vertical="center"/>
      <protection locked="0"/>
    </xf>
    <xf numFmtId="0" fontId="15" fillId="0" borderId="36" xfId="4" applyNumberFormat="1" applyFont="1" applyFill="1" applyBorder="1" applyProtection="1">
      <alignment vertical="center"/>
      <protection locked="0"/>
    </xf>
    <xf numFmtId="0" fontId="17" fillId="0" borderId="6" xfId="4" applyFont="1" applyBorder="1" applyProtection="1">
      <alignment vertical="center"/>
      <protection hidden="1"/>
    </xf>
    <xf numFmtId="0" fontId="34" fillId="0" borderId="0" xfId="4" applyNumberFormat="1" applyFont="1" applyFill="1" applyBorder="1" applyAlignment="1" applyProtection="1">
      <alignment vertical="center" wrapText="1"/>
    </xf>
    <xf numFmtId="0" fontId="34" fillId="2" borderId="200" xfId="4" applyFont="1" applyFill="1" applyBorder="1" applyAlignment="1" applyProtection="1">
      <alignment horizontal="center" vertical="center" shrinkToFit="1"/>
    </xf>
    <xf numFmtId="0" fontId="34" fillId="0" borderId="34" xfId="4" applyNumberFormat="1" applyFont="1" applyFill="1" applyBorder="1" applyAlignment="1" applyProtection="1">
      <alignment vertical="center" wrapText="1"/>
    </xf>
    <xf numFmtId="0" fontId="34" fillId="8" borderId="8" xfId="4" applyNumberFormat="1" applyFont="1" applyFill="1" applyBorder="1" applyAlignment="1" applyProtection="1">
      <alignment vertical="center"/>
    </xf>
    <xf numFmtId="0" fontId="34" fillId="8" borderId="0" xfId="4" applyNumberFormat="1" applyFont="1" applyFill="1" applyBorder="1" applyAlignment="1" applyProtection="1">
      <alignment vertical="center"/>
    </xf>
    <xf numFmtId="10" fontId="52" fillId="60" borderId="266" xfId="6" applyNumberFormat="1" applyFont="1" applyFill="1" applyBorder="1" applyAlignment="1" applyProtection="1">
      <alignment vertical="center" shrinkToFit="1"/>
    </xf>
    <xf numFmtId="0" fontId="29" fillId="0" borderId="5" xfId="4" applyFont="1" applyFill="1" applyBorder="1" applyAlignment="1" applyProtection="1">
      <alignment vertical="center"/>
    </xf>
    <xf numFmtId="0" fontId="29" fillId="0" borderId="192" xfId="4" applyFont="1" applyFill="1" applyBorder="1" applyAlignment="1" applyProtection="1">
      <alignment vertical="center"/>
    </xf>
    <xf numFmtId="0" fontId="34" fillId="2" borderId="23" xfId="4" applyFont="1" applyFill="1" applyBorder="1" applyAlignment="1" applyProtection="1">
      <alignment horizontal="center" vertical="center" shrinkToFit="1"/>
    </xf>
    <xf numFmtId="0" fontId="29" fillId="0" borderId="23" xfId="4" applyFont="1" applyFill="1" applyBorder="1" applyAlignment="1" applyProtection="1">
      <alignment vertical="center"/>
    </xf>
    <xf numFmtId="6" fontId="29" fillId="0" borderId="23" xfId="5" applyFont="1" applyBorder="1" applyAlignment="1" applyProtection="1">
      <alignment horizontal="left" vertical="center" shrinkToFit="1"/>
    </xf>
    <xf numFmtId="0" fontId="34" fillId="2" borderId="19" xfId="4" applyFont="1" applyFill="1" applyBorder="1" applyAlignment="1" applyProtection="1">
      <alignment horizontal="center" vertical="center" shrinkToFit="1"/>
    </xf>
    <xf numFmtId="0" fontId="34" fillId="2" borderId="20" xfId="4" applyFont="1" applyFill="1" applyBorder="1" applyAlignment="1" applyProtection="1">
      <alignment horizontal="center" vertical="center" shrinkToFit="1"/>
    </xf>
    <xf numFmtId="0" fontId="29" fillId="0" borderId="20" xfId="4" applyFont="1" applyFill="1" applyBorder="1" applyAlignment="1" applyProtection="1">
      <alignment vertical="center"/>
    </xf>
    <xf numFmtId="0" fontId="15" fillId="0" borderId="0" xfId="4" applyFont="1" applyFill="1" applyBorder="1" applyProtection="1">
      <alignment vertical="center"/>
      <protection hidden="1"/>
    </xf>
    <xf numFmtId="0" fontId="53" fillId="0" borderId="9" xfId="4" applyNumberFormat="1" applyFont="1" applyFill="1" applyBorder="1" applyAlignment="1" applyProtection="1">
      <alignment horizontal="center" vertical="center" shrinkToFit="1"/>
    </xf>
    <xf numFmtId="10" fontId="34" fillId="0" borderId="56" xfId="6" applyNumberFormat="1" applyFont="1" applyBorder="1" applyAlignment="1" applyProtection="1">
      <alignment horizontal="center" vertical="center" shrinkToFit="1"/>
    </xf>
    <xf numFmtId="0" fontId="39" fillId="0" borderId="192" xfId="4" applyNumberFormat="1" applyFont="1" applyFill="1" applyBorder="1" applyAlignment="1" applyProtection="1">
      <alignment horizontal="left" vertical="center" shrinkToFit="1"/>
      <protection locked="0"/>
    </xf>
    <xf numFmtId="6" fontId="29" fillId="0" borderId="231" xfId="5" applyFont="1" applyBorder="1" applyAlignment="1" applyProtection="1">
      <alignment horizontal="left" vertical="center" shrinkToFit="1"/>
    </xf>
    <xf numFmtId="0" fontId="34" fillId="0" borderId="35" xfId="4" applyFont="1" applyFill="1" applyBorder="1" applyAlignment="1" applyProtection="1">
      <alignment horizontal="center" vertical="center" shrinkToFit="1"/>
      <protection locked="0"/>
    </xf>
    <xf numFmtId="0" fontId="29" fillId="2" borderId="54" xfId="4" applyFont="1" applyFill="1" applyBorder="1" applyAlignment="1" applyProtection="1">
      <alignment horizontal="center" vertical="center" shrinkToFit="1"/>
    </xf>
    <xf numFmtId="49" fontId="20" fillId="0" borderId="6" xfId="4" applyNumberFormat="1" applyFont="1" applyFill="1" applyBorder="1" applyAlignment="1">
      <alignment vertical="center"/>
    </xf>
    <xf numFmtId="0" fontId="20" fillId="0" borderId="6" xfId="0" applyFont="1" applyFill="1" applyBorder="1" applyAlignment="1">
      <alignment vertical="center"/>
    </xf>
    <xf numFmtId="6" fontId="5" fillId="0" borderId="6" xfId="13" applyFont="1" applyFill="1" applyBorder="1" applyAlignment="1" applyProtection="1">
      <alignment vertical="center" shrinkToFit="1"/>
      <protection hidden="1"/>
    </xf>
    <xf numFmtId="0" fontId="34" fillId="0" borderId="36" xfId="4" applyFont="1" applyFill="1" applyBorder="1" applyAlignment="1" applyProtection="1">
      <alignment horizontal="center" vertical="center" shrinkToFit="1"/>
    </xf>
    <xf numFmtId="0" fontId="43" fillId="0" borderId="153" xfId="4" applyFont="1" applyFill="1" applyBorder="1" applyAlignment="1" applyProtection="1">
      <alignment horizontal="left" vertical="center"/>
    </xf>
    <xf numFmtId="0" fontId="34" fillId="0" borderId="31" xfId="4" applyFont="1" applyFill="1" applyBorder="1" applyAlignment="1" applyProtection="1">
      <alignment horizontal="center" vertical="center" shrinkToFit="1"/>
    </xf>
    <xf numFmtId="0" fontId="34" fillId="2" borderId="0" xfId="4" applyFont="1" applyFill="1" applyBorder="1" applyAlignment="1" applyProtection="1">
      <alignment horizontal="center" vertical="center" shrinkToFit="1"/>
    </xf>
    <xf numFmtId="0" fontId="34" fillId="0" borderId="36" xfId="4" applyFont="1" applyFill="1" applyBorder="1" applyAlignment="1" applyProtection="1">
      <alignment horizontal="center" vertical="center" shrinkToFit="1"/>
      <protection locked="0"/>
    </xf>
    <xf numFmtId="0" fontId="29" fillId="0" borderId="269" xfId="4" applyFont="1" applyFill="1" applyBorder="1" applyProtection="1">
      <alignment vertical="center"/>
    </xf>
    <xf numFmtId="0" fontId="29" fillId="0" borderId="270" xfId="4" applyFont="1" applyFill="1" applyBorder="1" applyProtection="1">
      <alignment vertical="center"/>
    </xf>
    <xf numFmtId="0" fontId="29" fillId="0" borderId="228" xfId="4" applyFont="1" applyFill="1" applyBorder="1" applyProtection="1">
      <alignment vertical="center"/>
    </xf>
    <xf numFmtId="0" fontId="29" fillId="0" borderId="270" xfId="4" applyFont="1" applyFill="1" applyBorder="1" applyAlignment="1" applyProtection="1">
      <alignment vertical="center"/>
    </xf>
    <xf numFmtId="0" fontId="29" fillId="0" borderId="36" xfId="4" applyFont="1" applyFill="1" applyBorder="1" applyAlignment="1" applyProtection="1">
      <alignment vertical="center"/>
    </xf>
    <xf numFmtId="0" fontId="34" fillId="2" borderId="278" xfId="4" applyFont="1" applyFill="1" applyBorder="1" applyAlignment="1" applyProtection="1">
      <alignment horizontal="center" vertical="center" shrinkToFit="1"/>
    </xf>
    <xf numFmtId="0" fontId="34" fillId="2" borderId="270" xfId="4" applyFont="1" applyFill="1" applyBorder="1" applyAlignment="1" applyProtection="1">
      <alignment horizontal="center" vertical="center" shrinkToFit="1"/>
    </xf>
    <xf numFmtId="6" fontId="29" fillId="0" borderId="270" xfId="5" applyFont="1" applyBorder="1" applyAlignment="1" applyProtection="1">
      <alignment horizontal="left" vertical="center" shrinkToFit="1"/>
    </xf>
    <xf numFmtId="0" fontId="31" fillId="26" borderId="0" xfId="4" applyNumberFormat="1" applyFont="1" applyFill="1" applyBorder="1" applyAlignment="1" applyProtection="1">
      <alignment horizontal="left" vertical="center"/>
      <protection locked="0"/>
    </xf>
    <xf numFmtId="0" fontId="117" fillId="0" borderId="0" xfId="4" applyNumberFormat="1" applyFont="1" applyFill="1" applyBorder="1" applyAlignment="1" applyProtection="1">
      <alignment horizontal="left" vertical="center"/>
    </xf>
    <xf numFmtId="0" fontId="15" fillId="26" borderId="0" xfId="6" applyNumberFormat="1" applyFont="1" applyFill="1" applyBorder="1" applyAlignment="1" applyProtection="1">
      <alignment horizontal="left" vertical="center"/>
      <protection locked="0" hidden="1"/>
    </xf>
    <xf numFmtId="0" fontId="15" fillId="26" borderId="0" xfId="4" applyNumberFormat="1" applyFont="1" applyFill="1" applyAlignment="1" applyProtection="1">
      <alignment horizontal="right" vertical="center"/>
      <protection locked="0"/>
    </xf>
    <xf numFmtId="0" fontId="15" fillId="26" borderId="0" xfId="4" applyNumberFormat="1" applyFont="1" applyFill="1" applyAlignment="1" applyProtection="1">
      <alignment horizontal="left" vertical="center"/>
      <protection locked="0"/>
    </xf>
    <xf numFmtId="0" fontId="15" fillId="26" borderId="0" xfId="4" applyNumberFormat="1" applyFont="1" applyFill="1" applyBorder="1" applyProtection="1">
      <alignment vertical="center"/>
      <protection locked="0"/>
    </xf>
    <xf numFmtId="0" fontId="5" fillId="3" borderId="6" xfId="4" applyNumberFormat="1" applyFont="1" applyFill="1" applyBorder="1" applyProtection="1">
      <alignment vertical="center"/>
      <protection locked="0"/>
    </xf>
    <xf numFmtId="0" fontId="15" fillId="3" borderId="274" xfId="4" applyNumberFormat="1" applyFont="1" applyFill="1" applyBorder="1" applyProtection="1">
      <alignment vertical="center"/>
      <protection locked="0"/>
    </xf>
    <xf numFmtId="0" fontId="15" fillId="3" borderId="0" xfId="4" applyNumberFormat="1" applyFont="1" applyFill="1" applyProtection="1">
      <alignment vertical="center"/>
      <protection locked="0"/>
    </xf>
    <xf numFmtId="49" fontId="15" fillId="5" borderId="6" xfId="4" applyNumberFormat="1" applyFont="1" applyFill="1" applyBorder="1" applyProtection="1">
      <alignment vertical="center"/>
      <protection hidden="1"/>
    </xf>
    <xf numFmtId="0" fontId="15" fillId="3" borderId="6" xfId="4" applyNumberFormat="1" applyFont="1" applyFill="1" applyBorder="1" applyProtection="1">
      <alignment vertical="center"/>
      <protection locked="0"/>
    </xf>
    <xf numFmtId="0" fontId="5" fillId="0" borderId="274" xfId="4" applyNumberFormat="1" applyFont="1" applyFill="1" applyBorder="1" applyProtection="1">
      <alignment vertical="center"/>
      <protection locked="0"/>
    </xf>
    <xf numFmtId="0" fontId="5" fillId="3" borderId="276" xfId="4" applyNumberFormat="1" applyFont="1" applyFill="1" applyBorder="1" applyProtection="1">
      <alignment vertical="center"/>
      <protection locked="0"/>
    </xf>
    <xf numFmtId="0" fontId="5" fillId="5" borderId="276" xfId="4" applyNumberFormat="1" applyFont="1" applyFill="1" applyBorder="1" applyProtection="1">
      <alignment vertical="center"/>
      <protection locked="0"/>
    </xf>
    <xf numFmtId="0" fontId="5" fillId="3" borderId="10" xfId="4" applyNumberFormat="1" applyFont="1" applyFill="1" applyBorder="1" applyProtection="1">
      <alignment vertical="center"/>
      <protection locked="0"/>
    </xf>
    <xf numFmtId="0" fontId="5" fillId="5" borderId="10" xfId="4" applyNumberFormat="1" applyFont="1" applyFill="1" applyBorder="1" applyProtection="1">
      <alignment vertical="center"/>
      <protection locked="0"/>
    </xf>
    <xf numFmtId="0" fontId="5" fillId="3" borderId="11" xfId="4" applyNumberFormat="1" applyFont="1" applyFill="1" applyBorder="1" applyProtection="1">
      <alignment vertical="center"/>
      <protection locked="0"/>
    </xf>
    <xf numFmtId="0" fontId="15" fillId="3" borderId="11" xfId="4" applyNumberFormat="1" applyFont="1" applyFill="1" applyBorder="1" applyProtection="1">
      <alignment vertical="center"/>
      <protection locked="0"/>
    </xf>
    <xf numFmtId="0" fontId="5" fillId="5" borderId="11" xfId="4" applyNumberFormat="1" applyFont="1" applyFill="1" applyBorder="1" applyProtection="1">
      <alignment vertical="center"/>
      <protection locked="0"/>
    </xf>
    <xf numFmtId="0" fontId="5" fillId="5" borderId="274" xfId="4" applyNumberFormat="1" applyFont="1" applyFill="1" applyBorder="1" applyProtection="1">
      <alignment vertical="center"/>
      <protection locked="0"/>
    </xf>
    <xf numFmtId="0" fontId="5" fillId="0" borderId="274" xfId="4" applyNumberFormat="1" applyFont="1" applyFill="1" applyBorder="1" applyProtection="1">
      <alignment vertical="center"/>
      <protection hidden="1"/>
    </xf>
    <xf numFmtId="0" fontId="140" fillId="2" borderId="6" xfId="4" applyFont="1" applyFill="1" applyBorder="1" applyAlignment="1" applyProtection="1">
      <alignment vertical="center" shrinkToFit="1"/>
      <protection hidden="1"/>
    </xf>
    <xf numFmtId="49" fontId="15" fillId="0" borderId="6" xfId="4" applyNumberFormat="1" applyFont="1" applyFill="1" applyBorder="1" applyProtection="1">
      <alignment vertical="center"/>
      <protection hidden="1"/>
    </xf>
    <xf numFmtId="49" fontId="15" fillId="27" borderId="6" xfId="4" applyNumberFormat="1" applyFont="1" applyFill="1" applyBorder="1" applyProtection="1">
      <alignment vertical="center"/>
      <protection locked="0"/>
    </xf>
    <xf numFmtId="0" fontId="15" fillId="27" borderId="274" xfId="4" applyNumberFormat="1" applyFont="1" applyFill="1" applyBorder="1" applyProtection="1">
      <alignment vertical="center"/>
      <protection hidden="1"/>
    </xf>
    <xf numFmtId="0" fontId="29" fillId="0" borderId="36" xfId="4" applyFont="1" applyFill="1" applyBorder="1" applyProtection="1">
      <alignment vertical="center"/>
    </xf>
    <xf numFmtId="0" fontId="29" fillId="0" borderId="272" xfId="4" applyFont="1" applyFill="1" applyBorder="1" applyProtection="1">
      <alignment vertical="center"/>
    </xf>
    <xf numFmtId="0" fontId="29" fillId="0" borderId="281" xfId="4" applyFont="1" applyFill="1" applyBorder="1" applyProtection="1">
      <alignment vertical="center"/>
    </xf>
    <xf numFmtId="49" fontId="15" fillId="21" borderId="6" xfId="4" applyNumberFormat="1" applyFont="1" applyFill="1" applyBorder="1" applyProtection="1">
      <alignment vertical="center"/>
      <protection hidden="1"/>
    </xf>
    <xf numFmtId="0" fontId="34" fillId="0" borderId="273" xfId="4" applyFont="1" applyFill="1" applyBorder="1" applyAlignment="1" applyProtection="1">
      <alignment horizontal="center" vertical="center" shrinkToFit="1"/>
    </xf>
    <xf numFmtId="0" fontId="34" fillId="0" borderId="283" xfId="4" applyFont="1" applyFill="1" applyBorder="1" applyAlignment="1" applyProtection="1">
      <alignment horizontal="center" vertical="center" shrinkToFit="1"/>
    </xf>
    <xf numFmtId="0" fontId="38" fillId="0" borderId="31" xfId="4" applyFont="1" applyFill="1" applyBorder="1" applyAlignment="1" applyProtection="1">
      <alignment horizontal="center" vertical="center" shrinkToFit="1"/>
    </xf>
    <xf numFmtId="0" fontId="38" fillId="0" borderId="40" xfId="4" applyFont="1" applyFill="1" applyBorder="1" applyAlignment="1" applyProtection="1">
      <alignment horizontal="center" vertical="center" shrinkToFit="1"/>
    </xf>
    <xf numFmtId="0" fontId="30" fillId="2" borderId="0" xfId="4" applyFont="1" applyFill="1" applyBorder="1" applyAlignment="1" applyProtection="1">
      <alignment horizontal="left" vertical="center"/>
    </xf>
    <xf numFmtId="0" fontId="34" fillId="0" borderId="31" xfId="4" applyFont="1" applyFill="1" applyBorder="1" applyAlignment="1" applyProtection="1">
      <alignment vertical="center" shrinkToFit="1"/>
    </xf>
    <xf numFmtId="0" fontId="34" fillId="2" borderId="286" xfId="4" applyFont="1" applyFill="1" applyBorder="1" applyAlignment="1" applyProtection="1">
      <alignment horizontal="center" vertical="center" shrinkToFit="1"/>
    </xf>
    <xf numFmtId="6" fontId="29" fillId="0" borderId="273" xfId="5" applyFont="1" applyBorder="1" applyAlignment="1" applyProtection="1">
      <alignment horizontal="left" vertical="center" shrinkToFit="1"/>
    </xf>
    <xf numFmtId="6" fontId="29" fillId="0" borderId="273" xfId="5" applyFont="1" applyFill="1" applyBorder="1" applyAlignment="1" applyProtection="1">
      <alignment horizontal="left" vertical="center" shrinkToFit="1"/>
    </xf>
    <xf numFmtId="0" fontId="29" fillId="0" borderId="273" xfId="5" applyNumberFormat="1" applyFont="1" applyBorder="1" applyAlignment="1" applyProtection="1">
      <alignment horizontal="left" vertical="center" shrinkToFit="1"/>
    </xf>
    <xf numFmtId="0" fontId="29" fillId="0" borderId="283" xfId="5" applyNumberFormat="1" applyFont="1" applyBorder="1" applyAlignment="1" applyProtection="1">
      <alignment horizontal="left" vertical="center" shrinkToFit="1"/>
    </xf>
    <xf numFmtId="49" fontId="15" fillId="0" borderId="9" xfId="4" applyNumberFormat="1" applyFont="1" applyFill="1" applyBorder="1" applyProtection="1">
      <alignment vertical="center"/>
      <protection hidden="1"/>
    </xf>
    <xf numFmtId="0" fontId="34" fillId="0" borderId="269" xfId="4" applyFont="1" applyFill="1" applyBorder="1" applyAlignment="1" applyProtection="1">
      <alignment horizontal="center" vertical="center" shrinkToFit="1"/>
    </xf>
    <xf numFmtId="0" fontId="34" fillId="0" borderId="284" xfId="4" applyFont="1" applyFill="1" applyBorder="1" applyAlignment="1" applyProtection="1">
      <alignment horizontal="center" vertical="center" shrinkToFit="1"/>
    </xf>
    <xf numFmtId="6" fontId="29" fillId="0" borderId="156" xfId="5" applyFont="1" applyBorder="1" applyAlignment="1" applyProtection="1">
      <alignment horizontal="left" vertical="center" shrinkToFit="1"/>
    </xf>
    <xf numFmtId="6" fontId="29" fillId="0" borderId="283" xfId="5" applyFont="1" applyBorder="1" applyAlignment="1" applyProtection="1">
      <alignment horizontal="left" vertical="center" shrinkToFit="1"/>
    </xf>
    <xf numFmtId="0" fontId="29" fillId="0" borderId="269" xfId="4" applyFont="1" applyBorder="1" applyAlignment="1" applyProtection="1">
      <alignment vertical="center" shrinkToFit="1"/>
    </xf>
    <xf numFmtId="0" fontId="29" fillId="0" borderId="270" xfId="4" applyFont="1" applyBorder="1" applyAlignment="1" applyProtection="1">
      <alignment vertical="center" shrinkToFit="1"/>
    </xf>
    <xf numFmtId="6" fontId="29" fillId="0" borderId="291" xfId="5" applyFont="1" applyBorder="1" applyAlignment="1" applyProtection="1">
      <alignment horizontal="left" vertical="center" shrinkToFit="1"/>
    </xf>
    <xf numFmtId="6" fontId="29" fillId="0" borderId="292" xfId="5" applyFont="1" applyBorder="1" applyAlignment="1" applyProtection="1">
      <alignment horizontal="left" vertical="center" shrinkToFit="1"/>
    </xf>
    <xf numFmtId="0" fontId="31" fillId="0" borderId="276" xfId="4" applyNumberFormat="1" applyFont="1" applyFill="1" applyBorder="1" applyProtection="1">
      <alignment vertical="center"/>
      <protection locked="0"/>
    </xf>
    <xf numFmtId="0" fontId="31" fillId="0" borderId="0" xfId="0" applyFont="1">
      <alignment vertical="center"/>
    </xf>
    <xf numFmtId="0" fontId="59" fillId="0" borderId="0" xfId="0" applyFont="1">
      <alignment vertical="center"/>
    </xf>
    <xf numFmtId="0" fontId="31" fillId="0" borderId="274" xfId="4" applyNumberFormat="1" applyFont="1" applyFill="1" applyBorder="1" applyProtection="1">
      <alignment vertical="center"/>
      <protection locked="0"/>
    </xf>
    <xf numFmtId="0" fontId="31" fillId="0" borderId="276" xfId="4" applyNumberFormat="1" applyFont="1" applyFill="1" applyBorder="1" applyProtection="1">
      <alignment vertical="center"/>
      <protection hidden="1"/>
    </xf>
    <xf numFmtId="0" fontId="31" fillId="0" borderId="274" xfId="4" applyNumberFormat="1" applyFont="1" applyFill="1" applyBorder="1" applyProtection="1">
      <alignment vertical="center"/>
      <protection hidden="1"/>
    </xf>
    <xf numFmtId="0" fontId="31" fillId="0" borderId="269" xfId="4" applyNumberFormat="1" applyFont="1" applyFill="1" applyBorder="1" applyProtection="1">
      <alignment vertical="center"/>
      <protection hidden="1"/>
    </xf>
    <xf numFmtId="0" fontId="31" fillId="0" borderId="274" xfId="0" applyFont="1" applyBorder="1">
      <alignment vertical="center"/>
    </xf>
    <xf numFmtId="0" fontId="31" fillId="0" borderId="272" xfId="4" applyNumberFormat="1" applyFont="1" applyFill="1" applyBorder="1" applyProtection="1">
      <alignment vertical="center"/>
      <protection locked="0"/>
    </xf>
    <xf numFmtId="0" fontId="31" fillId="0" borderId="275" xfId="4" applyNumberFormat="1" applyFont="1" applyFill="1" applyBorder="1" applyProtection="1">
      <alignment vertical="center"/>
      <protection hidden="1"/>
    </xf>
    <xf numFmtId="49" fontId="31" fillId="0" borderId="10" xfId="0" applyNumberFormat="1" applyFont="1" applyBorder="1">
      <alignment vertical="center"/>
    </xf>
    <xf numFmtId="0" fontId="31" fillId="0" borderId="8" xfId="0" applyFont="1" applyBorder="1">
      <alignment vertical="center"/>
    </xf>
    <xf numFmtId="0" fontId="31" fillId="0" borderId="10" xfId="0" applyFont="1" applyBorder="1">
      <alignment vertical="center"/>
    </xf>
    <xf numFmtId="0" fontId="31" fillId="0" borderId="0" xfId="0" applyFont="1" applyBorder="1">
      <alignment vertical="center"/>
    </xf>
    <xf numFmtId="0" fontId="31" fillId="0" borderId="11" xfId="0" applyFont="1" applyFill="1" applyBorder="1">
      <alignment vertical="center"/>
    </xf>
    <xf numFmtId="0" fontId="31" fillId="0" borderId="36" xfId="0" applyFont="1" applyBorder="1">
      <alignment vertical="center"/>
    </xf>
    <xf numFmtId="0" fontId="31" fillId="0" borderId="11" xfId="0" applyFont="1" applyBorder="1">
      <alignment vertical="center"/>
    </xf>
    <xf numFmtId="0" fontId="31" fillId="0" borderId="5" xfId="0" applyFont="1" applyBorder="1">
      <alignment vertical="center"/>
    </xf>
    <xf numFmtId="0" fontId="31" fillId="0" borderId="10" xfId="0" applyFont="1" applyFill="1" applyBorder="1">
      <alignment vertical="center"/>
    </xf>
    <xf numFmtId="0" fontId="31" fillId="0" borderId="0" xfId="0" applyFont="1" applyFill="1">
      <alignment vertical="center"/>
    </xf>
    <xf numFmtId="0" fontId="15" fillId="0" borderId="17" xfId="4" applyNumberFormat="1" applyFont="1" applyFill="1" applyBorder="1" applyProtection="1">
      <alignment vertical="center"/>
      <protection locked="0"/>
    </xf>
    <xf numFmtId="0" fontId="15" fillId="0" borderId="270" xfId="4" applyNumberFormat="1" applyFont="1" applyFill="1" applyBorder="1" applyProtection="1">
      <alignment vertical="center"/>
      <protection locked="0"/>
    </xf>
    <xf numFmtId="0" fontId="15" fillId="0" borderId="270" xfId="4" applyNumberFormat="1" applyFont="1" applyFill="1" applyBorder="1" applyProtection="1">
      <alignment vertical="center"/>
      <protection hidden="1"/>
    </xf>
    <xf numFmtId="6" fontId="15" fillId="0" borderId="270" xfId="13" applyFont="1" applyFill="1" applyBorder="1" applyAlignment="1" applyProtection="1">
      <alignment vertical="center" shrinkToFit="1"/>
      <protection hidden="1"/>
    </xf>
    <xf numFmtId="0" fontId="15" fillId="26" borderId="270" xfId="4" applyNumberFormat="1" applyFont="1" applyFill="1" applyBorder="1" applyProtection="1">
      <alignment vertical="center"/>
      <protection locked="0"/>
    </xf>
    <xf numFmtId="0" fontId="30" fillId="0" borderId="272" xfId="4" applyFont="1" applyFill="1" applyBorder="1" applyAlignment="1" applyProtection="1">
      <alignment vertical="center" shrinkToFit="1"/>
    </xf>
    <xf numFmtId="0" fontId="30" fillId="0" borderId="273" xfId="4" applyFont="1" applyFill="1" applyBorder="1" applyAlignment="1" applyProtection="1">
      <alignment vertical="center" shrinkToFit="1"/>
    </xf>
    <xf numFmtId="0" fontId="30" fillId="0" borderId="275" xfId="4" applyFont="1" applyFill="1" applyBorder="1" applyAlignment="1" applyProtection="1">
      <alignment vertical="center" shrinkToFit="1"/>
    </xf>
    <xf numFmtId="0" fontId="124" fillId="0" borderId="273" xfId="4" applyFont="1" applyFill="1" applyBorder="1" applyAlignment="1" applyProtection="1">
      <alignment horizontal="left" vertical="center" wrapText="1"/>
    </xf>
    <xf numFmtId="0" fontId="43" fillId="0" borderId="273" xfId="4" applyFont="1" applyFill="1" applyBorder="1" applyAlignment="1" applyProtection="1">
      <alignment vertical="center"/>
    </xf>
    <xf numFmtId="0" fontId="43" fillId="0" borderId="287" xfId="4" applyFont="1" applyFill="1" applyBorder="1" applyAlignment="1" applyProtection="1">
      <alignment vertical="center"/>
    </xf>
    <xf numFmtId="0" fontId="30" fillId="0" borderId="5" xfId="4" applyFont="1" applyFill="1" applyBorder="1" applyAlignment="1" applyProtection="1">
      <alignment vertical="center" shrinkToFit="1"/>
    </xf>
    <xf numFmtId="0" fontId="30" fillId="0" borderId="36" xfId="4" applyFont="1" applyFill="1" applyBorder="1" applyAlignment="1" applyProtection="1">
      <alignment vertical="center" shrinkToFit="1"/>
    </xf>
    <xf numFmtId="0" fontId="30" fillId="0" borderId="0" xfId="4" applyFont="1" applyFill="1" applyBorder="1" applyAlignment="1" applyProtection="1">
      <alignment vertical="center" shrinkToFit="1"/>
    </xf>
    <xf numFmtId="0" fontId="30" fillId="0" borderId="38" xfId="4" applyFont="1" applyFill="1" applyBorder="1" applyAlignment="1" applyProtection="1">
      <alignment vertical="center" shrinkToFit="1"/>
    </xf>
    <xf numFmtId="0" fontId="43" fillId="0" borderId="157" xfId="4" applyFont="1" applyFill="1" applyBorder="1" applyAlignment="1" applyProtection="1">
      <alignment vertical="center"/>
    </xf>
    <xf numFmtId="0" fontId="124" fillId="0" borderId="157" xfId="4" applyFont="1" applyFill="1" applyBorder="1" applyAlignment="1" applyProtection="1">
      <alignment horizontal="left" vertical="center" wrapText="1"/>
    </xf>
    <xf numFmtId="0" fontId="43" fillId="0" borderId="293" xfId="4" applyFont="1" applyFill="1" applyBorder="1" applyAlignment="1" applyProtection="1">
      <alignment vertical="center"/>
    </xf>
    <xf numFmtId="49" fontId="43" fillId="0" borderId="153" xfId="4" applyNumberFormat="1" applyFont="1" applyFill="1" applyBorder="1" applyAlignment="1" applyProtection="1">
      <alignment vertical="center" shrinkToFit="1"/>
    </xf>
    <xf numFmtId="0" fontId="43" fillId="0" borderId="273" xfId="4" applyFont="1" applyFill="1" applyBorder="1" applyAlignment="1" applyProtection="1">
      <alignment horizontal="left" vertical="center"/>
    </xf>
    <xf numFmtId="0" fontId="124" fillId="0" borderId="272" xfId="4" applyFont="1" applyFill="1" applyBorder="1" applyAlignment="1" applyProtection="1">
      <alignment horizontal="left" vertical="center"/>
    </xf>
    <xf numFmtId="0" fontId="124" fillId="0" borderId="273" xfId="4" applyFont="1" applyFill="1" applyBorder="1" applyAlignment="1" applyProtection="1">
      <alignment horizontal="left" vertical="center"/>
    </xf>
    <xf numFmtId="0" fontId="124" fillId="0" borderId="287" xfId="4" applyFont="1" applyFill="1" applyBorder="1" applyAlignment="1" applyProtection="1">
      <alignment horizontal="left" vertical="center"/>
    </xf>
    <xf numFmtId="49" fontId="5" fillId="30" borderId="6" xfId="4" applyNumberFormat="1" applyFont="1" applyFill="1" applyBorder="1" applyProtection="1">
      <alignment vertical="center"/>
      <protection hidden="1"/>
    </xf>
    <xf numFmtId="0" fontId="34" fillId="0" borderId="270" xfId="6" applyNumberFormat="1" applyFont="1" applyBorder="1" applyAlignment="1" applyProtection="1">
      <alignment vertical="center" shrinkToFit="1"/>
    </xf>
    <xf numFmtId="5" fontId="34" fillId="0" borderId="284" xfId="5" applyNumberFormat="1" applyFont="1" applyBorder="1" applyAlignment="1" applyProtection="1">
      <alignment vertical="center" shrinkToFit="1"/>
      <protection locked="0"/>
    </xf>
    <xf numFmtId="0" fontId="34" fillId="0" borderId="77" xfId="6" applyNumberFormat="1" applyFont="1" applyBorder="1" applyAlignment="1" applyProtection="1">
      <alignment horizontal="center" vertical="center" shrinkToFit="1"/>
    </xf>
    <xf numFmtId="0" fontId="34" fillId="0" borderId="131" xfId="6" applyNumberFormat="1" applyFont="1" applyBorder="1" applyAlignment="1" applyProtection="1">
      <alignment horizontal="center" vertical="center" shrinkToFit="1"/>
    </xf>
    <xf numFmtId="0" fontId="34" fillId="0" borderId="131" xfId="6" applyNumberFormat="1" applyFont="1" applyBorder="1" applyAlignment="1" applyProtection="1">
      <alignment horizontal="center" vertical="center" shrinkToFit="1"/>
      <protection locked="0"/>
    </xf>
    <xf numFmtId="0" fontId="34" fillId="0" borderId="20" xfId="4" applyNumberFormat="1" applyFont="1" applyFill="1" applyBorder="1" applyAlignment="1" applyProtection="1">
      <alignment vertical="center" shrinkToFit="1"/>
    </xf>
    <xf numFmtId="0" fontId="34" fillId="0" borderId="116" xfId="4" applyNumberFormat="1" applyFont="1" applyFill="1" applyBorder="1" applyAlignment="1" applyProtection="1">
      <alignment vertical="center" shrinkToFit="1"/>
    </xf>
    <xf numFmtId="0" fontId="34" fillId="0" borderId="284" xfId="5" applyNumberFormat="1" applyFont="1" applyBorder="1" applyAlignment="1" applyProtection="1">
      <alignment vertical="center" shrinkToFit="1"/>
    </xf>
    <xf numFmtId="0" fontId="34" fillId="0" borderId="200" xfId="4" applyFont="1" applyFill="1" applyBorder="1" applyAlignment="1" applyProtection="1">
      <alignment horizontal="center" vertical="center" shrinkToFit="1"/>
    </xf>
    <xf numFmtId="0" fontId="34" fillId="0" borderId="31" xfId="4" applyFont="1" applyFill="1" applyBorder="1" applyAlignment="1" applyProtection="1">
      <alignment horizontal="center" vertical="center" shrinkToFit="1"/>
    </xf>
    <xf numFmtId="0" fontId="34" fillId="2" borderId="0" xfId="4" applyFont="1" applyFill="1" applyBorder="1" applyAlignment="1" applyProtection="1">
      <alignment horizontal="center" vertical="center" shrinkToFit="1"/>
    </xf>
    <xf numFmtId="0" fontId="43" fillId="0" borderId="273" xfId="4" applyFont="1" applyFill="1" applyBorder="1" applyAlignment="1" applyProtection="1">
      <alignment horizontal="left" vertical="center"/>
    </xf>
    <xf numFmtId="0" fontId="34" fillId="0" borderId="270" xfId="4" applyFont="1" applyFill="1" applyBorder="1" applyAlignment="1" applyProtection="1">
      <alignment horizontal="center" vertical="center" shrinkToFit="1"/>
    </xf>
    <xf numFmtId="0" fontId="19" fillId="0" borderId="274" xfId="2" applyFont="1" applyFill="1" applyBorder="1" applyAlignment="1"/>
    <xf numFmtId="0" fontId="17" fillId="0" borderId="274" xfId="4" applyFont="1" applyFill="1" applyBorder="1" applyProtection="1">
      <alignment vertical="center"/>
      <protection hidden="1"/>
    </xf>
    <xf numFmtId="0" fontId="20" fillId="0" borderId="274" xfId="4" applyFont="1" applyFill="1" applyBorder="1" applyAlignment="1" applyProtection="1">
      <alignment vertical="center"/>
      <protection hidden="1"/>
    </xf>
    <xf numFmtId="0" fontId="17" fillId="0" borderId="274" xfId="4" applyFont="1" applyBorder="1" applyProtection="1">
      <alignment vertical="center"/>
      <protection hidden="1"/>
    </xf>
    <xf numFmtId="0" fontId="20" fillId="0" borderId="274" xfId="4" applyFont="1" applyBorder="1" applyAlignment="1" applyProtection="1">
      <alignment vertical="center"/>
      <protection hidden="1"/>
    </xf>
    <xf numFmtId="49" fontId="17" fillId="4" borderId="274" xfId="4" applyNumberFormat="1" applyFont="1" applyFill="1" applyBorder="1" applyAlignment="1" applyProtection="1">
      <alignment horizontal="left" vertical="center"/>
      <protection hidden="1"/>
    </xf>
    <xf numFmtId="0" fontId="20" fillId="4" borderId="274" xfId="4" applyFont="1" applyFill="1" applyBorder="1" applyAlignment="1" applyProtection="1">
      <alignment horizontal="right" vertical="center"/>
      <protection hidden="1"/>
    </xf>
    <xf numFmtId="0" fontId="15" fillId="21" borderId="6" xfId="4" applyFont="1" applyFill="1" applyBorder="1" applyAlignment="1" applyProtection="1">
      <alignment horizontal="right" vertical="center"/>
      <protection hidden="1"/>
    </xf>
    <xf numFmtId="0" fontId="15" fillId="0" borderId="0" xfId="4" applyNumberFormat="1" applyFont="1" applyFill="1" applyBorder="1" applyAlignment="1" applyProtection="1">
      <alignment horizontal="right" vertical="center"/>
      <protection hidden="1"/>
    </xf>
    <xf numFmtId="0" fontId="15" fillId="0" borderId="0" xfId="4" applyFont="1" applyFill="1" applyAlignment="1" applyProtection="1">
      <alignment horizontal="right" vertical="center"/>
      <protection hidden="1"/>
    </xf>
    <xf numFmtId="0" fontId="15" fillId="30" borderId="9" xfId="4" applyNumberFormat="1" applyFont="1" applyFill="1" applyBorder="1" applyProtection="1">
      <alignment vertical="center"/>
      <protection hidden="1"/>
    </xf>
    <xf numFmtId="0" fontId="15" fillId="30" borderId="6" xfId="4" applyNumberFormat="1" applyFont="1" applyFill="1" applyBorder="1" applyProtection="1">
      <alignment vertical="center"/>
      <protection hidden="1"/>
    </xf>
    <xf numFmtId="0" fontId="42" fillId="2" borderId="33" xfId="4" applyFont="1" applyFill="1" applyBorder="1" applyAlignment="1" applyProtection="1">
      <alignment vertical="center" shrinkToFit="1"/>
    </xf>
    <xf numFmtId="0" fontId="42" fillId="2" borderId="0" xfId="4" applyFont="1" applyFill="1" applyBorder="1" applyAlignment="1" applyProtection="1">
      <alignment vertical="center" shrinkToFit="1"/>
    </xf>
    <xf numFmtId="0" fontId="42" fillId="2" borderId="38" xfId="4" applyFont="1" applyFill="1" applyBorder="1" applyAlignment="1" applyProtection="1">
      <alignment vertical="center" shrinkToFit="1"/>
    </xf>
    <xf numFmtId="0" fontId="42" fillId="2" borderId="35" xfId="4" applyFont="1" applyFill="1" applyBorder="1" applyAlignment="1" applyProtection="1">
      <alignment vertical="center" shrinkToFit="1"/>
    </xf>
    <xf numFmtId="0" fontId="42" fillId="2" borderId="36" xfId="4" applyFont="1" applyFill="1" applyBorder="1" applyAlignment="1" applyProtection="1">
      <alignment vertical="center" shrinkToFit="1"/>
    </xf>
    <xf numFmtId="0" fontId="42" fillId="2" borderId="54" xfId="4" applyFont="1" applyFill="1" applyBorder="1" applyAlignment="1" applyProtection="1">
      <alignment vertical="center" shrinkToFit="1"/>
    </xf>
    <xf numFmtId="0" fontId="34" fillId="0" borderId="40" xfId="4" applyFont="1" applyFill="1" applyBorder="1" applyAlignment="1" applyProtection="1">
      <alignment horizontal="center" vertical="center" shrinkToFit="1"/>
      <protection locked="0"/>
    </xf>
    <xf numFmtId="0" fontId="34" fillId="0" borderId="296" xfId="4" applyFont="1" applyFill="1" applyBorder="1" applyAlignment="1" applyProtection="1">
      <alignment horizontal="center" vertical="center" shrinkToFit="1"/>
      <protection locked="0"/>
    </xf>
    <xf numFmtId="0" fontId="29" fillId="0" borderId="0" xfId="4" applyFont="1" applyFill="1" applyBorder="1" applyAlignment="1" applyProtection="1">
      <alignment vertical="center"/>
    </xf>
    <xf numFmtId="6" fontId="29" fillId="0" borderId="0" xfId="5" applyFont="1" applyBorder="1" applyAlignment="1" applyProtection="1">
      <alignment horizontal="left" vertical="center" shrinkToFit="1"/>
    </xf>
    <xf numFmtId="0" fontId="31" fillId="0" borderId="0" xfId="4" applyFont="1" applyFill="1" applyBorder="1" applyProtection="1">
      <alignment vertical="center"/>
    </xf>
    <xf numFmtId="49" fontId="5" fillId="0" borderId="0" xfId="4" applyNumberFormat="1" applyFont="1" applyFill="1" applyProtection="1">
      <alignment vertical="center"/>
      <protection locked="0"/>
    </xf>
    <xf numFmtId="49" fontId="5" fillId="0" borderId="0" xfId="4" applyNumberFormat="1" applyFont="1" applyFill="1" applyProtection="1">
      <alignment vertical="center"/>
      <protection hidden="1"/>
    </xf>
    <xf numFmtId="49" fontId="5" fillId="0" borderId="0" xfId="4" applyNumberFormat="1" applyFont="1" applyFill="1" applyBorder="1" applyProtection="1">
      <alignment vertical="center"/>
      <protection locked="0"/>
    </xf>
    <xf numFmtId="0" fontId="34" fillId="0" borderId="36" xfId="4" applyFont="1" applyFill="1" applyBorder="1" applyAlignment="1" applyProtection="1">
      <alignment vertical="center" shrinkToFit="1"/>
    </xf>
    <xf numFmtId="0" fontId="41" fillId="0" borderId="23" xfId="4" applyFont="1" applyBorder="1" applyAlignment="1" applyProtection="1">
      <alignment vertical="center" shrinkToFit="1"/>
    </xf>
    <xf numFmtId="0" fontId="0" fillId="0" borderId="23" xfId="0" applyBorder="1" applyAlignment="1" applyProtection="1">
      <alignment vertical="center" shrinkToFit="1"/>
    </xf>
    <xf numFmtId="0" fontId="0" fillId="0" borderId="246" xfId="0" applyBorder="1" applyAlignment="1" applyProtection="1">
      <alignment vertical="center" shrinkToFit="1"/>
    </xf>
    <xf numFmtId="0" fontId="43" fillId="0" borderId="166" xfId="4" applyFont="1" applyFill="1" applyBorder="1" applyAlignment="1" applyProtection="1">
      <alignment horizontal="left" vertical="center"/>
    </xf>
    <xf numFmtId="10" fontId="30" fillId="0" borderId="0" xfId="6" applyNumberFormat="1" applyFont="1" applyFill="1" applyBorder="1" applyAlignment="1" applyProtection="1">
      <alignment vertical="center" shrinkToFit="1"/>
    </xf>
    <xf numFmtId="6" fontId="30" fillId="0" borderId="0" xfId="13" applyFont="1" applyFill="1" applyBorder="1" applyAlignment="1" applyProtection="1">
      <alignment vertical="center" shrinkToFit="1"/>
    </xf>
    <xf numFmtId="0" fontId="124" fillId="0" borderId="273" xfId="4" applyFont="1" applyFill="1" applyBorder="1" applyAlignment="1" applyProtection="1">
      <alignment horizontal="left" vertical="center" wrapText="1"/>
    </xf>
    <xf numFmtId="0" fontId="124" fillId="0" borderId="36" xfId="4" applyFont="1" applyFill="1" applyBorder="1" applyAlignment="1" applyProtection="1">
      <alignment horizontal="left" vertical="center" wrapText="1"/>
    </xf>
    <xf numFmtId="0" fontId="136" fillId="0" borderId="245" xfId="4" applyFont="1" applyFill="1" applyBorder="1" applyAlignment="1" applyProtection="1">
      <alignment horizontal="left" vertical="center" wrapText="1"/>
    </xf>
    <xf numFmtId="0" fontId="52" fillId="0" borderId="245" xfId="4" applyFont="1" applyFill="1" applyBorder="1" applyAlignment="1" applyProtection="1">
      <alignment horizontal="right" vertical="center"/>
    </xf>
    <xf numFmtId="0" fontId="124" fillId="0" borderId="166" xfId="4" applyFont="1" applyFill="1" applyBorder="1" applyAlignment="1" applyProtection="1">
      <alignment horizontal="left" vertical="center" wrapText="1"/>
    </xf>
    <xf numFmtId="0" fontId="43" fillId="0" borderId="153" xfId="4" applyFont="1" applyFill="1" applyBorder="1" applyAlignment="1" applyProtection="1">
      <alignment horizontal="left" vertical="center"/>
    </xf>
    <xf numFmtId="0" fontId="30" fillId="0" borderId="272" xfId="4" applyFont="1" applyFill="1" applyBorder="1" applyAlignment="1" applyProtection="1">
      <alignment vertical="center" shrinkToFit="1"/>
    </xf>
    <xf numFmtId="0" fontId="30" fillId="0" borderId="275" xfId="4" applyFont="1" applyFill="1" applyBorder="1" applyAlignment="1" applyProtection="1">
      <alignment vertical="center" shrinkToFit="1"/>
    </xf>
    <xf numFmtId="0" fontId="43" fillId="0" borderId="287" xfId="4" applyFont="1" applyFill="1" applyBorder="1" applyAlignment="1" applyProtection="1">
      <alignment vertical="center"/>
    </xf>
    <xf numFmtId="0" fontId="30" fillId="0" borderId="5" xfId="4" applyFont="1" applyFill="1" applyBorder="1" applyAlignment="1" applyProtection="1">
      <alignment vertical="center" shrinkToFit="1"/>
    </xf>
    <xf numFmtId="0" fontId="30" fillId="0" borderId="36" xfId="4" applyFont="1" applyFill="1" applyBorder="1" applyAlignment="1" applyProtection="1">
      <alignment vertical="center" shrinkToFit="1"/>
    </xf>
    <xf numFmtId="0" fontId="30" fillId="0" borderId="0" xfId="4" applyFont="1" applyFill="1" applyBorder="1" applyAlignment="1" applyProtection="1">
      <alignment vertical="center" shrinkToFit="1"/>
    </xf>
    <xf numFmtId="0" fontId="30" fillId="0" borderId="38" xfId="4" applyFont="1" applyFill="1" applyBorder="1" applyAlignment="1" applyProtection="1">
      <alignment vertical="center" shrinkToFit="1"/>
    </xf>
    <xf numFmtId="0" fontId="43" fillId="0" borderId="157" xfId="4" applyFont="1" applyFill="1" applyBorder="1" applyAlignment="1" applyProtection="1">
      <alignment vertical="center"/>
    </xf>
    <xf numFmtId="0" fontId="124" fillId="0" borderId="157" xfId="4" applyFont="1" applyFill="1" applyBorder="1" applyAlignment="1" applyProtection="1">
      <alignment horizontal="left" vertical="center" wrapText="1"/>
    </xf>
    <xf numFmtId="0" fontId="43" fillId="0" borderId="293" xfId="4" applyFont="1" applyFill="1" applyBorder="1" applyAlignment="1" applyProtection="1">
      <alignment vertical="center"/>
    </xf>
    <xf numFmtId="49" fontId="43" fillId="0" borderId="153" xfId="4" applyNumberFormat="1" applyFont="1" applyFill="1" applyBorder="1" applyAlignment="1" applyProtection="1">
      <alignment vertical="center" shrinkToFit="1"/>
    </xf>
    <xf numFmtId="0" fontId="124" fillId="0" borderId="272" xfId="4" applyFont="1" applyFill="1" applyBorder="1" applyAlignment="1" applyProtection="1">
      <alignment horizontal="left" vertical="center"/>
    </xf>
    <xf numFmtId="0" fontId="124" fillId="0" borderId="287" xfId="4" applyFont="1" applyFill="1" applyBorder="1" applyAlignment="1" applyProtection="1">
      <alignment horizontal="left" vertical="center"/>
    </xf>
    <xf numFmtId="0" fontId="34" fillId="0" borderId="20" xfId="4" applyNumberFormat="1" applyFont="1" applyFill="1" applyBorder="1" applyAlignment="1" applyProtection="1">
      <alignment vertical="center" shrinkToFit="1"/>
    </xf>
    <xf numFmtId="0" fontId="34" fillId="0" borderId="116" xfId="4" applyNumberFormat="1" applyFont="1" applyFill="1" applyBorder="1" applyAlignment="1" applyProtection="1">
      <alignment vertical="center" shrinkToFit="1"/>
    </xf>
    <xf numFmtId="0" fontId="34" fillId="0" borderId="284" xfId="5" applyNumberFormat="1" applyFont="1" applyBorder="1" applyAlignment="1" applyProtection="1">
      <alignment vertical="center" shrinkToFit="1"/>
    </xf>
    <xf numFmtId="0" fontId="42" fillId="2" borderId="33" xfId="4" applyFont="1" applyFill="1" applyBorder="1" applyAlignment="1" applyProtection="1">
      <alignment vertical="center" shrinkToFit="1"/>
    </xf>
    <xf numFmtId="0" fontId="42" fillId="2" borderId="0" xfId="4" applyFont="1" applyFill="1" applyBorder="1" applyAlignment="1" applyProtection="1">
      <alignment vertical="center" shrinkToFit="1"/>
    </xf>
    <xf numFmtId="0" fontId="42" fillId="2" borderId="38" xfId="4" applyFont="1" applyFill="1" applyBorder="1" applyAlignment="1" applyProtection="1">
      <alignment vertical="center" shrinkToFit="1"/>
    </xf>
    <xf numFmtId="0" fontId="42" fillId="2" borderId="35" xfId="4" applyFont="1" applyFill="1" applyBorder="1" applyAlignment="1" applyProtection="1">
      <alignment vertical="center" shrinkToFit="1"/>
    </xf>
    <xf numFmtId="0" fontId="42" fillId="2" borderId="36" xfId="4" applyFont="1" applyFill="1" applyBorder="1" applyAlignment="1" applyProtection="1">
      <alignment vertical="center" shrinkToFit="1"/>
    </xf>
    <xf numFmtId="0" fontId="42" fillId="2" borderId="54" xfId="4" applyFont="1" applyFill="1" applyBorder="1" applyAlignment="1" applyProtection="1">
      <alignment vertical="center" shrinkToFit="1"/>
    </xf>
    <xf numFmtId="6" fontId="29" fillId="0" borderId="32" xfId="5" applyFont="1" applyBorder="1" applyAlignment="1" applyProtection="1">
      <alignment horizontal="left" vertical="center" shrinkToFit="1"/>
    </xf>
    <xf numFmtId="0" fontId="30" fillId="0" borderId="40" xfId="4" applyFont="1" applyBorder="1" applyProtection="1">
      <alignment vertical="center"/>
    </xf>
    <xf numFmtId="0" fontId="34" fillId="0" borderId="268" xfId="4" applyFont="1" applyFill="1" applyBorder="1" applyAlignment="1" applyProtection="1">
      <alignment horizontal="center" vertical="center" shrinkToFit="1"/>
    </xf>
    <xf numFmtId="0" fontId="29" fillId="8" borderId="192" xfId="4" applyFont="1" applyFill="1" applyBorder="1" applyAlignment="1" applyProtection="1">
      <alignment vertical="center"/>
    </xf>
    <xf numFmtId="0" fontId="29" fillId="8" borderId="270" xfId="4" applyFont="1" applyFill="1" applyBorder="1" applyAlignment="1" applyProtection="1">
      <alignment vertical="center"/>
    </xf>
    <xf numFmtId="0" fontId="34" fillId="8" borderId="200" xfId="4" applyFont="1" applyFill="1" applyBorder="1" applyAlignment="1" applyProtection="1">
      <alignment vertical="center" shrinkToFit="1"/>
    </xf>
    <xf numFmtId="0" fontId="34" fillId="8" borderId="77" xfId="4" applyFont="1" applyFill="1" applyBorder="1" applyAlignment="1" applyProtection="1">
      <alignment vertical="center" shrinkToFit="1"/>
    </xf>
    <xf numFmtId="0" fontId="41" fillId="0" borderId="193" xfId="4" applyFont="1" applyBorder="1" applyAlignment="1" applyProtection="1">
      <alignment vertical="center" shrinkToFit="1"/>
    </xf>
    <xf numFmtId="0" fontId="41" fillId="0" borderId="194" xfId="4" applyFont="1" applyBorder="1" applyAlignment="1" applyProtection="1">
      <alignment vertical="center" shrinkToFit="1"/>
    </xf>
    <xf numFmtId="0" fontId="41" fillId="0" borderId="20" xfId="4" applyFont="1" applyBorder="1" applyAlignment="1" applyProtection="1">
      <alignment vertical="center" shrinkToFit="1"/>
    </xf>
    <xf numFmtId="0" fontId="41" fillId="0" borderId="301" xfId="4" applyFont="1" applyBorder="1" applyAlignment="1" applyProtection="1">
      <alignment vertical="center" shrinkToFit="1"/>
    </xf>
    <xf numFmtId="0" fontId="41" fillId="0" borderId="5" xfId="4" applyFont="1" applyBorder="1" applyAlignment="1" applyProtection="1">
      <alignment vertical="center" shrinkToFit="1"/>
    </xf>
    <xf numFmtId="0" fontId="41" fillId="0" borderId="36" xfId="4" applyFont="1" applyBorder="1" applyAlignment="1" applyProtection="1">
      <alignment vertical="center" shrinkToFit="1"/>
    </xf>
    <xf numFmtId="0" fontId="41" fillId="0" borderId="37" xfId="4" applyFont="1" applyBorder="1" applyAlignment="1" applyProtection="1">
      <alignment vertical="center" shrinkToFit="1"/>
    </xf>
    <xf numFmtId="6" fontId="29" fillId="0" borderId="265" xfId="5" applyFont="1" applyBorder="1" applyAlignment="1" applyProtection="1">
      <alignment horizontal="left" vertical="center" shrinkToFit="1"/>
    </xf>
    <xf numFmtId="49" fontId="31" fillId="0" borderId="0" xfId="4" applyNumberFormat="1" applyFont="1" applyFill="1" applyBorder="1" applyProtection="1">
      <alignment vertical="center"/>
      <protection locked="0"/>
    </xf>
    <xf numFmtId="0" fontId="31" fillId="0" borderId="0" xfId="4" applyFont="1" applyFill="1" applyBorder="1" applyProtection="1">
      <alignment vertical="center"/>
      <protection hidden="1"/>
    </xf>
    <xf numFmtId="0" fontId="28" fillId="0" borderId="0" xfId="0" applyFont="1" applyFill="1" applyBorder="1" applyAlignment="1">
      <alignment vertical="center"/>
    </xf>
    <xf numFmtId="0" fontId="28" fillId="0" borderId="0" xfId="2" applyFont="1" applyFill="1" applyBorder="1" applyAlignment="1">
      <alignment vertical="center"/>
    </xf>
    <xf numFmtId="0" fontId="30" fillId="0" borderId="0" xfId="4" applyFont="1" applyFill="1" applyBorder="1" applyAlignment="1" applyProtection="1">
      <alignment vertical="center"/>
      <protection hidden="1"/>
    </xf>
    <xf numFmtId="0" fontId="28" fillId="0" borderId="0" xfId="4" applyFont="1" applyFill="1" applyBorder="1" applyAlignment="1" applyProtection="1">
      <alignment vertical="center"/>
      <protection hidden="1"/>
    </xf>
    <xf numFmtId="0" fontId="30" fillId="0" borderId="0" xfId="2" applyFont="1" applyFill="1" applyBorder="1" applyAlignment="1">
      <alignment vertical="center"/>
    </xf>
    <xf numFmtId="0" fontId="43" fillId="0" borderId="0" xfId="0" applyFont="1" applyFill="1" applyBorder="1" applyAlignment="1">
      <alignment vertical="center"/>
    </xf>
    <xf numFmtId="0" fontId="43" fillId="0" borderId="0" xfId="0" quotePrefix="1" applyFont="1" applyFill="1" applyBorder="1" applyAlignment="1">
      <alignment vertical="center"/>
    </xf>
    <xf numFmtId="0" fontId="30" fillId="0" borderId="0" xfId="4" applyFont="1" applyFill="1" applyBorder="1" applyProtection="1">
      <alignment vertical="center"/>
      <protection hidden="1"/>
    </xf>
    <xf numFmtId="0" fontId="30" fillId="0" borderId="0" xfId="2" applyFont="1" applyFill="1" applyBorder="1" applyAlignment="1"/>
    <xf numFmtId="0" fontId="31" fillId="0" borderId="272" xfId="4" applyNumberFormat="1" applyFont="1" applyFill="1" applyBorder="1" applyProtection="1">
      <alignment vertical="center"/>
      <protection hidden="1"/>
    </xf>
    <xf numFmtId="0" fontId="31" fillId="0" borderId="271" xfId="4" applyNumberFormat="1" applyFont="1" applyFill="1" applyBorder="1" applyProtection="1">
      <alignment vertical="center"/>
      <protection hidden="1"/>
    </xf>
    <xf numFmtId="0" fontId="0" fillId="0" borderId="36" xfId="0" applyBorder="1" applyAlignment="1" applyProtection="1">
      <alignment vertical="center" shrinkToFit="1"/>
    </xf>
    <xf numFmtId="0" fontId="0" fillId="0" borderId="37" xfId="0" applyBorder="1" applyAlignment="1" applyProtection="1">
      <alignment vertical="center" shrinkToFit="1"/>
    </xf>
    <xf numFmtId="49" fontId="15" fillId="30" borderId="6" xfId="4" applyNumberFormat="1" applyFont="1" applyFill="1" applyBorder="1" applyProtection="1">
      <alignment vertical="center"/>
      <protection hidden="1"/>
    </xf>
    <xf numFmtId="0" fontId="34" fillId="0" borderId="0" xfId="4" applyFont="1" applyFill="1" applyBorder="1" applyAlignment="1" applyProtection="1">
      <alignment horizontal="center" vertical="center" shrinkToFit="1"/>
    </xf>
    <xf numFmtId="0" fontId="34" fillId="2" borderId="0" xfId="4" applyFont="1" applyFill="1" applyBorder="1" applyAlignment="1" applyProtection="1">
      <alignment horizontal="center" vertical="center" shrinkToFit="1"/>
    </xf>
    <xf numFmtId="0" fontId="43" fillId="0" borderId="0" xfId="0" applyFont="1">
      <alignment vertical="center"/>
    </xf>
    <xf numFmtId="0" fontId="28" fillId="4" borderId="0" xfId="0" applyFont="1" applyFill="1">
      <alignment vertical="center"/>
    </xf>
    <xf numFmtId="0" fontId="142" fillId="0" borderId="0" xfId="0" applyFont="1">
      <alignment vertical="center"/>
    </xf>
    <xf numFmtId="0" fontId="28" fillId="26" borderId="0" xfId="0" applyFont="1" applyFill="1">
      <alignment vertical="center"/>
    </xf>
    <xf numFmtId="0" fontId="30" fillId="31" borderId="274" xfId="4" applyFont="1" applyFill="1" applyBorder="1" applyAlignment="1">
      <alignment horizontal="center" vertical="center" wrapText="1"/>
    </xf>
    <xf numFmtId="0" fontId="30" fillId="36" borderId="274" xfId="19" applyFont="1" applyFill="1" applyBorder="1" applyAlignment="1">
      <alignment horizontal="center" vertical="center"/>
    </xf>
    <xf numFmtId="0" fontId="30" fillId="36" borderId="274" xfId="19" applyFont="1" applyFill="1" applyBorder="1" applyAlignment="1">
      <alignment horizontal="center" vertical="center" wrapText="1"/>
    </xf>
    <xf numFmtId="0" fontId="43" fillId="0" borderId="274" xfId="0" applyFont="1" applyBorder="1">
      <alignment vertical="center"/>
    </xf>
    <xf numFmtId="0" fontId="43" fillId="0" borderId="274" xfId="0" applyFont="1" applyBorder="1" applyAlignment="1">
      <alignment vertical="center" wrapText="1"/>
    </xf>
    <xf numFmtId="0" fontId="30" fillId="0" borderId="0" xfId="4" applyFont="1" applyFill="1" applyBorder="1" applyAlignment="1" applyProtection="1">
      <alignment vertical="center"/>
    </xf>
    <xf numFmtId="6" fontId="29" fillId="0" borderId="305" xfId="5" applyFont="1" applyBorder="1" applyAlignment="1" applyProtection="1">
      <alignment horizontal="left" vertical="center" shrinkToFit="1"/>
    </xf>
    <xf numFmtId="0" fontId="34" fillId="0" borderId="100" xfId="4" applyFont="1" applyFill="1" applyBorder="1" applyAlignment="1" applyProtection="1">
      <alignment vertical="center"/>
    </xf>
    <xf numFmtId="0" fontId="34" fillId="0" borderId="99" xfId="4" applyFont="1" applyFill="1" applyBorder="1" applyAlignment="1" applyProtection="1">
      <alignment vertical="center"/>
    </xf>
    <xf numFmtId="0" fontId="34" fillId="0" borderId="269" xfId="4" applyFont="1" applyFill="1" applyBorder="1" applyAlignment="1" applyProtection="1">
      <alignment vertical="center"/>
    </xf>
    <xf numFmtId="0" fontId="34" fillId="0" borderId="270" xfId="4" applyFont="1" applyFill="1" applyBorder="1" applyAlignment="1" applyProtection="1">
      <alignment vertical="center"/>
    </xf>
    <xf numFmtId="0" fontId="34" fillId="0" borderId="104" xfId="4" applyFont="1" applyFill="1" applyBorder="1" applyAlignment="1" applyProtection="1">
      <alignment vertical="center"/>
    </xf>
    <xf numFmtId="0" fontId="34" fillId="0" borderId="202" xfId="4" applyFont="1" applyFill="1" applyBorder="1" applyAlignment="1" applyProtection="1">
      <alignment vertical="center"/>
    </xf>
    <xf numFmtId="0" fontId="34" fillId="0" borderId="273" xfId="4" applyFont="1" applyFill="1" applyBorder="1" applyAlignment="1" applyProtection="1">
      <alignment vertical="center"/>
    </xf>
    <xf numFmtId="0" fontId="34" fillId="0" borderId="287" xfId="4" applyFont="1" applyFill="1" applyBorder="1" applyAlignment="1" applyProtection="1">
      <alignment vertical="center"/>
    </xf>
    <xf numFmtId="0" fontId="34" fillId="0" borderId="285" xfId="4" applyFont="1" applyFill="1" applyBorder="1" applyAlignment="1" applyProtection="1">
      <alignment vertical="center"/>
    </xf>
    <xf numFmtId="0" fontId="29" fillId="2" borderId="39" xfId="4" applyFont="1" applyFill="1" applyBorder="1" applyAlignment="1" applyProtection="1">
      <alignment horizontal="center" vertical="center" shrinkToFit="1"/>
    </xf>
    <xf numFmtId="0" fontId="29" fillId="2" borderId="40" xfId="4" applyFont="1" applyFill="1" applyBorder="1" applyAlignment="1" applyProtection="1">
      <alignment horizontal="center" vertical="center" shrinkToFit="1"/>
    </xf>
    <xf numFmtId="0" fontId="29" fillId="2" borderId="41" xfId="4" applyFont="1" applyFill="1" applyBorder="1" applyAlignment="1" applyProtection="1">
      <alignment horizontal="center" vertical="center" shrinkToFit="1"/>
    </xf>
    <xf numFmtId="0" fontId="29" fillId="0" borderId="40" xfId="4" applyFont="1" applyFill="1" applyBorder="1" applyAlignment="1" applyProtection="1">
      <alignment horizontal="left" vertical="center" wrapText="1"/>
    </xf>
    <xf numFmtId="0" fontId="29" fillId="0" borderId="40" xfId="4" applyFont="1" applyFill="1" applyBorder="1" applyAlignment="1" applyProtection="1">
      <alignment horizontal="center" vertical="center"/>
    </xf>
    <xf numFmtId="6" fontId="29" fillId="0" borderId="40" xfId="5" applyFont="1" applyBorder="1" applyAlignment="1" applyProtection="1">
      <alignment horizontal="right" vertical="center" shrinkToFit="1"/>
    </xf>
    <xf numFmtId="0" fontId="34" fillId="2" borderId="0" xfId="4" applyFont="1" applyFill="1" applyBorder="1" applyAlignment="1" applyProtection="1">
      <alignment horizontal="center" vertical="center" shrinkToFit="1"/>
    </xf>
    <xf numFmtId="0" fontId="34" fillId="0" borderId="0" xfId="4" applyFont="1" applyFill="1" applyBorder="1" applyAlignment="1" applyProtection="1">
      <alignment horizontal="center" vertical="center" shrinkToFit="1"/>
    </xf>
    <xf numFmtId="0" fontId="30" fillId="2" borderId="99" xfId="4" applyFont="1" applyFill="1" applyBorder="1" applyAlignment="1" applyProtection="1">
      <alignment vertical="center" shrinkToFit="1"/>
    </xf>
    <xf numFmtId="0" fontId="30" fillId="0" borderId="99" xfId="4" applyFont="1" applyFill="1" applyBorder="1" applyAlignment="1" applyProtection="1">
      <alignment vertical="center"/>
    </xf>
    <xf numFmtId="6" fontId="30" fillId="0" borderId="99" xfId="5" applyFont="1" applyBorder="1" applyAlignment="1" applyProtection="1">
      <alignment horizontal="left" vertical="center" shrinkToFit="1"/>
    </xf>
    <xf numFmtId="0" fontId="34" fillId="0" borderId="40" xfId="5" applyNumberFormat="1" applyFont="1" applyBorder="1" applyAlignment="1" applyProtection="1">
      <alignment horizontal="left" vertical="center" shrinkToFit="1"/>
    </xf>
    <xf numFmtId="0" fontId="41" fillId="0" borderId="5" xfId="4" applyFont="1" applyBorder="1" applyProtection="1">
      <alignment vertical="center"/>
    </xf>
    <xf numFmtId="0" fontId="30" fillId="0" borderId="34" xfId="4" applyFont="1" applyBorder="1" applyProtection="1">
      <alignment vertical="center"/>
    </xf>
    <xf numFmtId="0" fontId="17" fillId="0" borderId="0" xfId="4" applyFont="1" applyFill="1" applyAlignment="1" applyProtection="1">
      <alignment vertical="center"/>
      <protection hidden="1"/>
    </xf>
    <xf numFmtId="49" fontId="18" fillId="0" borderId="6" xfId="4" applyNumberFormat="1" applyFont="1" applyFill="1" applyBorder="1" applyAlignment="1">
      <alignment horizontal="left" vertical="center"/>
    </xf>
    <xf numFmtId="49" fontId="18" fillId="0" borderId="6" xfId="4" applyNumberFormat="1" applyFont="1" applyFill="1" applyBorder="1" applyAlignment="1">
      <alignment vertical="center"/>
    </xf>
    <xf numFmtId="0" fontId="18" fillId="0" borderId="6" xfId="4" applyFont="1" applyFill="1" applyBorder="1" applyAlignment="1">
      <alignment vertical="center"/>
    </xf>
    <xf numFmtId="0" fontId="18" fillId="0" borderId="6" xfId="4" applyFont="1" applyFill="1" applyBorder="1" applyAlignment="1">
      <alignment horizontal="left" vertical="center"/>
    </xf>
    <xf numFmtId="49" fontId="17" fillId="4" borderId="6" xfId="4" applyNumberFormat="1" applyFont="1" applyFill="1" applyBorder="1" applyAlignment="1" applyProtection="1">
      <protection hidden="1"/>
    </xf>
    <xf numFmtId="0" fontId="20" fillId="21" borderId="6" xfId="2" applyFont="1" applyFill="1" applyBorder="1" applyAlignment="1"/>
    <xf numFmtId="0" fontId="117" fillId="8" borderId="36" xfId="4" applyFont="1" applyFill="1" applyBorder="1" applyAlignment="1">
      <alignment horizontal="left" vertical="center" indent="1"/>
    </xf>
    <xf numFmtId="0" fontId="30" fillId="0" borderId="193" xfId="6" applyNumberFormat="1" applyFont="1" applyFill="1" applyBorder="1" applyAlignment="1" applyProtection="1">
      <alignment vertical="center" wrapText="1"/>
    </xf>
    <xf numFmtId="0" fontId="30" fillId="0" borderId="194" xfId="6" applyNumberFormat="1" applyFont="1" applyFill="1" applyBorder="1" applyAlignment="1" applyProtection="1">
      <alignment vertical="center" wrapText="1"/>
    </xf>
    <xf numFmtId="0" fontId="30" fillId="0" borderId="196" xfId="6" applyNumberFormat="1" applyFont="1" applyFill="1" applyBorder="1" applyAlignment="1" applyProtection="1">
      <alignment vertical="center" wrapText="1"/>
    </xf>
    <xf numFmtId="0" fontId="15" fillId="26" borderId="0" xfId="4" applyNumberFormat="1" applyFont="1" applyFill="1" applyProtection="1">
      <alignment vertical="center"/>
      <protection hidden="1"/>
    </xf>
    <xf numFmtId="0" fontId="30" fillId="0" borderId="257" xfId="4" applyFont="1" applyBorder="1" applyProtection="1">
      <alignment vertical="center"/>
    </xf>
    <xf numFmtId="0" fontId="30" fillId="0" borderId="245" xfId="4" applyFont="1" applyBorder="1" applyProtection="1">
      <alignment vertical="center"/>
    </xf>
    <xf numFmtId="0" fontId="30" fillId="0" borderId="316" xfId="4" applyFont="1" applyBorder="1" applyProtection="1">
      <alignment vertical="center"/>
    </xf>
    <xf numFmtId="0" fontId="34" fillId="0" borderId="200" xfId="4" applyFont="1" applyFill="1" applyBorder="1" applyAlignment="1" applyProtection="1">
      <alignment horizontal="center" vertical="center" shrinkToFit="1"/>
    </xf>
    <xf numFmtId="0" fontId="30" fillId="0" borderId="193" xfId="6" applyNumberFormat="1" applyFont="1" applyFill="1" applyBorder="1" applyAlignment="1" applyProtection="1">
      <alignment vertical="center" wrapText="1"/>
    </xf>
    <xf numFmtId="0" fontId="30" fillId="0" borderId="194" xfId="6" applyNumberFormat="1" applyFont="1" applyFill="1" applyBorder="1" applyAlignment="1" applyProtection="1">
      <alignment vertical="center" wrapText="1"/>
    </xf>
    <xf numFmtId="0" fontId="30" fillId="0" borderId="196" xfId="6" applyNumberFormat="1" applyFont="1" applyFill="1" applyBorder="1" applyAlignment="1" applyProtection="1">
      <alignment vertical="center" wrapText="1"/>
    </xf>
    <xf numFmtId="0" fontId="17" fillId="0" borderId="274" xfId="4" applyFont="1" applyBorder="1" applyAlignment="1" applyProtection="1">
      <alignment vertical="center"/>
      <protection hidden="1"/>
    </xf>
    <xf numFmtId="49" fontId="17" fillId="0" borderId="0" xfId="4" applyNumberFormat="1" applyFont="1" applyAlignment="1" applyProtection="1">
      <alignment horizontal="left" vertical="center"/>
      <protection hidden="1"/>
    </xf>
    <xf numFmtId="0" fontId="30" fillId="0" borderId="211" xfId="4" applyFont="1" applyBorder="1" applyProtection="1">
      <alignment vertical="center"/>
    </xf>
    <xf numFmtId="0" fontId="30" fillId="0" borderId="23" xfId="4" applyFont="1" applyBorder="1" applyProtection="1">
      <alignment vertical="center"/>
    </xf>
    <xf numFmtId="0" fontId="30" fillId="0" borderId="246" xfId="4" applyFont="1" applyBorder="1" applyProtection="1">
      <alignment vertical="center"/>
    </xf>
    <xf numFmtId="0" fontId="15" fillId="4" borderId="0" xfId="4" applyNumberFormat="1" applyFont="1" applyFill="1" applyAlignment="1" applyProtection="1">
      <alignment horizontal="left" vertical="center"/>
      <protection locked="0" hidden="1"/>
    </xf>
    <xf numFmtId="0" fontId="34" fillId="0" borderId="0" xfId="4" applyFont="1" applyFill="1" applyBorder="1" applyAlignment="1" applyProtection="1">
      <alignment horizontal="center" vertical="center" shrinkToFit="1"/>
    </xf>
    <xf numFmtId="0" fontId="34" fillId="2" borderId="0" xfId="4" applyFont="1" applyFill="1" applyBorder="1" applyAlignment="1" applyProtection="1">
      <alignment horizontal="center" vertical="center" shrinkToFit="1"/>
    </xf>
    <xf numFmtId="0" fontId="34" fillId="2" borderId="157" xfId="4" applyFont="1" applyFill="1" applyBorder="1" applyAlignment="1" applyProtection="1">
      <alignment horizontal="center" vertical="center" shrinkToFit="1"/>
    </xf>
    <xf numFmtId="0" fontId="29" fillId="0" borderId="157" xfId="4" applyFont="1" applyFill="1" applyBorder="1" applyAlignment="1" applyProtection="1">
      <alignment vertical="center"/>
    </xf>
    <xf numFmtId="6" fontId="29" fillId="0" borderId="157" xfId="5" applyFont="1" applyBorder="1" applyAlignment="1" applyProtection="1">
      <alignment horizontal="left" vertical="center" shrinkToFit="1"/>
    </xf>
    <xf numFmtId="0" fontId="30" fillId="0" borderId="157" xfId="5" applyNumberFormat="1" applyFont="1" applyBorder="1" applyAlignment="1" applyProtection="1">
      <alignment horizontal="left" vertical="center"/>
    </xf>
    <xf numFmtId="6" fontId="29" fillId="0" borderId="157" xfId="5" applyFont="1" applyBorder="1" applyAlignment="1" applyProtection="1">
      <alignment horizontal="left" vertical="center"/>
    </xf>
    <xf numFmtId="49" fontId="43" fillId="0" borderId="0" xfId="0" applyNumberFormat="1" applyFont="1">
      <alignment vertical="center"/>
    </xf>
    <xf numFmtId="0" fontId="30" fillId="2" borderId="40" xfId="4" applyFont="1" applyFill="1" applyBorder="1" applyAlignment="1" applyProtection="1">
      <alignment horizontal="left" vertical="center"/>
    </xf>
    <xf numFmtId="6" fontId="30" fillId="0" borderId="157" xfId="5" applyFont="1" applyBorder="1" applyAlignment="1" applyProtection="1">
      <alignment horizontal="left" vertical="center"/>
    </xf>
    <xf numFmtId="6" fontId="30" fillId="0" borderId="99" xfId="5" applyFont="1" applyBorder="1" applyAlignment="1" applyProtection="1">
      <alignment horizontal="left" vertical="center" shrinkToFit="1"/>
    </xf>
    <xf numFmtId="0" fontId="43" fillId="26" borderId="0" xfId="0" applyFont="1" applyFill="1" applyProtection="1">
      <alignment vertical="center"/>
      <protection locked="0"/>
    </xf>
    <xf numFmtId="0" fontId="30" fillId="0" borderId="40" xfId="5" applyNumberFormat="1" applyFont="1" applyBorder="1" applyAlignment="1" applyProtection="1">
      <alignment horizontal="left" vertical="center" shrinkToFit="1"/>
    </xf>
    <xf numFmtId="0" fontId="34" fillId="0" borderId="272" xfId="4" applyNumberFormat="1" applyFont="1" applyFill="1" applyBorder="1" applyAlignment="1" applyProtection="1">
      <alignment vertical="center"/>
    </xf>
    <xf numFmtId="0" fontId="34" fillId="0" borderId="273" xfId="4" applyNumberFormat="1" applyFont="1" applyFill="1" applyBorder="1" applyAlignment="1" applyProtection="1">
      <alignment vertical="center"/>
    </xf>
    <xf numFmtId="0" fontId="34" fillId="0" borderId="283" xfId="4" applyNumberFormat="1" applyFont="1" applyFill="1" applyBorder="1" applyAlignment="1" applyProtection="1">
      <alignment vertical="center"/>
    </xf>
    <xf numFmtId="0" fontId="34" fillId="19" borderId="152" xfId="4" applyFont="1" applyFill="1" applyBorder="1" applyAlignment="1" applyProtection="1">
      <alignment vertical="center"/>
    </xf>
    <xf numFmtId="0" fontId="34" fillId="19" borderId="153" xfId="4" applyFont="1" applyFill="1" applyBorder="1" applyAlignment="1" applyProtection="1">
      <alignment vertical="center"/>
    </xf>
    <xf numFmtId="0" fontId="34" fillId="19" borderId="322" xfId="4" applyFont="1" applyFill="1" applyBorder="1" applyAlignment="1" applyProtection="1">
      <alignment vertical="center"/>
    </xf>
    <xf numFmtId="0" fontId="34" fillId="0" borderId="156" xfId="4" applyNumberFormat="1" applyFont="1" applyFill="1" applyBorder="1" applyAlignment="1" applyProtection="1">
      <alignment vertical="center"/>
    </xf>
    <xf numFmtId="0" fontId="34" fillId="0" borderId="260" xfId="4" applyNumberFormat="1" applyFont="1" applyFill="1" applyBorder="1" applyAlignment="1" applyProtection="1">
      <alignment vertical="center"/>
    </xf>
    <xf numFmtId="0" fontId="34" fillId="0" borderId="157" xfId="4" applyNumberFormat="1" applyFont="1" applyFill="1" applyBorder="1" applyAlignment="1" applyProtection="1">
      <alignment vertical="center"/>
    </xf>
    <xf numFmtId="0" fontId="34" fillId="0" borderId="158" xfId="4" applyNumberFormat="1" applyFont="1" applyFill="1" applyBorder="1" applyAlignment="1" applyProtection="1">
      <alignment vertical="center"/>
    </xf>
    <xf numFmtId="5" fontId="34" fillId="0" borderId="284" xfId="5" applyNumberFormat="1" applyFont="1" applyBorder="1" applyAlignment="1" applyProtection="1">
      <alignment vertical="center" shrinkToFit="1"/>
    </xf>
    <xf numFmtId="0" fontId="34" fillId="0" borderId="283" xfId="6" applyNumberFormat="1" applyFont="1" applyBorder="1" applyAlignment="1" applyProtection="1">
      <alignment horizontal="center" vertical="center" shrinkToFit="1"/>
    </xf>
    <xf numFmtId="0" fontId="34" fillId="19" borderId="99" xfId="4" applyFont="1" applyFill="1" applyBorder="1" applyAlignment="1" applyProtection="1">
      <alignment vertical="center" shrinkToFit="1"/>
    </xf>
    <xf numFmtId="0" fontId="30" fillId="0" borderId="5" xfId="4" applyFont="1" applyFill="1" applyBorder="1" applyAlignment="1" applyProtection="1">
      <alignment vertical="center"/>
    </xf>
    <xf numFmtId="0" fontId="30" fillId="0" borderId="36" xfId="4" applyFont="1" applyFill="1" applyBorder="1" applyAlignment="1" applyProtection="1">
      <alignment vertical="center"/>
    </xf>
    <xf numFmtId="0" fontId="30" fillId="0" borderId="270" xfId="4" applyFont="1" applyBorder="1" applyProtection="1">
      <alignment vertical="center"/>
    </xf>
    <xf numFmtId="6" fontId="30" fillId="0" borderId="37" xfId="5" applyFont="1" applyBorder="1" applyAlignment="1" applyProtection="1">
      <alignment horizontal="left" vertical="center"/>
    </xf>
    <xf numFmtId="6" fontId="30" fillId="0" borderId="285" xfId="5" applyFont="1" applyBorder="1" applyAlignment="1" applyProtection="1">
      <alignment horizontal="left" vertical="center"/>
    </xf>
    <xf numFmtId="0" fontId="41" fillId="0" borderId="285" xfId="4" applyFont="1" applyBorder="1" applyAlignment="1" applyProtection="1">
      <alignment vertical="center"/>
    </xf>
    <xf numFmtId="0" fontId="30" fillId="0" borderId="285" xfId="4" applyFont="1" applyBorder="1" applyAlignment="1" applyProtection="1">
      <alignment vertical="center"/>
    </xf>
    <xf numFmtId="6" fontId="30" fillId="0" borderId="69" xfId="5" applyFont="1" applyBorder="1" applyAlignment="1" applyProtection="1">
      <alignment horizontal="left" vertical="center"/>
    </xf>
    <xf numFmtId="0" fontId="30" fillId="0" borderId="272" xfId="4" applyFont="1" applyBorder="1" applyAlignment="1" applyProtection="1">
      <alignment vertical="center"/>
    </xf>
    <xf numFmtId="0" fontId="30" fillId="0" borderId="287" xfId="4" applyFont="1" applyBorder="1" applyAlignment="1" applyProtection="1">
      <alignment vertical="center"/>
    </xf>
    <xf numFmtId="0" fontId="30" fillId="0" borderId="5" xfId="4" applyFont="1" applyFill="1" applyBorder="1" applyAlignment="1" applyProtection="1">
      <alignment vertical="center"/>
      <protection hidden="1"/>
    </xf>
    <xf numFmtId="0" fontId="30" fillId="0" borderId="37" xfId="4" applyFont="1" applyFill="1" applyBorder="1" applyAlignment="1" applyProtection="1">
      <alignment vertical="center"/>
      <protection hidden="1"/>
    </xf>
    <xf numFmtId="6" fontId="30" fillId="0" borderId="36" xfId="5" applyFont="1" applyBorder="1" applyAlignment="1" applyProtection="1">
      <alignment horizontal="left" vertical="center"/>
    </xf>
    <xf numFmtId="6" fontId="30" fillId="0" borderId="36" xfId="5" applyFont="1" applyBorder="1" applyAlignment="1" applyProtection="1">
      <alignment vertical="center"/>
    </xf>
    <xf numFmtId="0" fontId="30" fillId="0" borderId="36" xfId="5" applyNumberFormat="1" applyFont="1" applyBorder="1" applyAlignment="1" applyProtection="1">
      <alignment horizontal="left" vertical="center" shrinkToFit="1"/>
    </xf>
    <xf numFmtId="0" fontId="30" fillId="0" borderId="269" xfId="4" applyFont="1" applyFill="1" applyBorder="1" applyAlignment="1" applyProtection="1">
      <alignment vertical="center" shrinkToFit="1"/>
    </xf>
    <xf numFmtId="0" fontId="30" fillId="0" borderId="270" xfId="4" applyFont="1" applyFill="1" applyBorder="1" applyAlignment="1" applyProtection="1">
      <alignment vertical="center" shrinkToFit="1"/>
    </xf>
    <xf numFmtId="6" fontId="29" fillId="0" borderId="212" xfId="5" applyFont="1" applyBorder="1" applyAlignment="1" applyProtection="1">
      <alignment horizontal="left" vertical="center" shrinkToFit="1"/>
    </xf>
    <xf numFmtId="6" fontId="29" fillId="0" borderId="0" xfId="5" applyFont="1" applyBorder="1" applyAlignment="1" applyProtection="1">
      <alignment horizontal="left" vertical="center" wrapText="1" shrinkToFit="1"/>
    </xf>
    <xf numFmtId="184" fontId="34" fillId="0" borderId="0" xfId="5" applyNumberFormat="1" applyFont="1" applyFill="1" applyBorder="1" applyAlignment="1" applyProtection="1">
      <alignment vertical="center" shrinkToFit="1"/>
    </xf>
    <xf numFmtId="184" fontId="29" fillId="0" borderId="0" xfId="5" applyNumberFormat="1" applyFont="1" applyFill="1" applyBorder="1" applyAlignment="1" applyProtection="1">
      <alignment vertical="center" shrinkToFit="1"/>
    </xf>
    <xf numFmtId="49" fontId="31" fillId="0" borderId="0" xfId="13" applyNumberFormat="1" applyFont="1" applyFill="1" applyBorder="1" applyAlignment="1" applyProtection="1">
      <alignment vertical="center" shrinkToFit="1"/>
    </xf>
    <xf numFmtId="49" fontId="31" fillId="0" borderId="34" xfId="13" applyNumberFormat="1" applyFont="1" applyFill="1" applyBorder="1" applyAlignment="1" applyProtection="1">
      <alignment vertical="center" shrinkToFit="1"/>
    </xf>
    <xf numFmtId="0" fontId="30" fillId="0" borderId="34" xfId="4" applyFont="1" applyFill="1" applyBorder="1" applyAlignment="1" applyProtection="1">
      <alignment vertical="center"/>
    </xf>
    <xf numFmtId="0" fontId="17" fillId="26" borderId="6" xfId="4" applyFont="1" applyFill="1" applyBorder="1" applyAlignment="1" applyProtection="1">
      <protection hidden="1"/>
    </xf>
    <xf numFmtId="0" fontId="19" fillId="26" borderId="6" xfId="2" applyFont="1" applyFill="1" applyBorder="1" applyAlignment="1"/>
    <xf numFmtId="0" fontId="17" fillId="26" borderId="6" xfId="0" applyFont="1" applyFill="1" applyBorder="1" applyAlignment="1">
      <alignment horizontal="left" vertical="center" readingOrder="1"/>
    </xf>
    <xf numFmtId="0" fontId="17" fillId="26" borderId="6" xfId="4" applyFont="1" applyFill="1" applyBorder="1" applyProtection="1">
      <alignment vertical="center"/>
      <protection hidden="1"/>
    </xf>
    <xf numFmtId="183" fontId="15" fillId="26" borderId="6" xfId="4" applyNumberFormat="1" applyFont="1" applyFill="1" applyBorder="1" applyAlignment="1" applyProtection="1">
      <alignment horizontal="right" vertical="center"/>
      <protection hidden="1"/>
    </xf>
    <xf numFmtId="0" fontId="115" fillId="66" borderId="0" xfId="4" applyFont="1" applyFill="1" applyBorder="1" applyAlignment="1" applyProtection="1">
      <alignment horizontal="left" vertical="center"/>
    </xf>
    <xf numFmtId="0" fontId="115" fillId="30" borderId="40" xfId="4" applyFont="1" applyFill="1" applyBorder="1" applyAlignment="1" applyProtection="1">
      <alignment horizontal="left" vertical="center"/>
    </xf>
    <xf numFmtId="0" fontId="115" fillId="30" borderId="0" xfId="4" applyFont="1" applyFill="1" applyBorder="1" applyAlignment="1" applyProtection="1">
      <alignment horizontal="left" vertical="center"/>
    </xf>
    <xf numFmtId="6" fontId="115" fillId="30" borderId="0" xfId="5" applyFont="1" applyFill="1" applyBorder="1" applyAlignment="1" applyProtection="1">
      <alignment horizontal="left" vertical="center"/>
    </xf>
    <xf numFmtId="179" fontId="34" fillId="0" borderId="1" xfId="5" applyNumberFormat="1" applyFont="1" applyBorder="1" applyAlignment="1" applyProtection="1">
      <alignment vertical="center" shrinkToFit="1"/>
    </xf>
    <xf numFmtId="0" fontId="34" fillId="0" borderId="327" xfId="4" applyFont="1" applyFill="1" applyBorder="1" applyAlignment="1" applyProtection="1">
      <alignment horizontal="center" vertical="center" shrinkToFit="1"/>
    </xf>
    <xf numFmtId="0" fontId="29" fillId="0" borderId="327" xfId="4" applyFont="1" applyFill="1" applyBorder="1" applyAlignment="1" applyProtection="1">
      <alignment horizontal="left" vertical="center" wrapText="1"/>
    </xf>
    <xf numFmtId="0" fontId="29" fillId="0" borderId="327" xfId="4" applyFont="1" applyFill="1" applyBorder="1" applyAlignment="1" applyProtection="1">
      <alignment horizontal="center" vertical="center"/>
    </xf>
    <xf numFmtId="6" fontId="34" fillId="0" borderId="327" xfId="5" applyFont="1" applyBorder="1" applyAlignment="1" applyProtection="1">
      <alignment horizontal="right" vertical="center" shrinkToFit="1"/>
    </xf>
    <xf numFmtId="10" fontId="34" fillId="0" borderId="327" xfId="6" applyNumberFormat="1" applyFont="1" applyBorder="1" applyAlignment="1" applyProtection="1">
      <alignment horizontal="right" vertical="center" shrinkToFit="1"/>
    </xf>
    <xf numFmtId="0" fontId="29" fillId="0" borderId="327" xfId="4" applyNumberFormat="1" applyFont="1" applyFill="1" applyBorder="1" applyAlignment="1" applyProtection="1">
      <alignment horizontal="left" vertical="center" shrinkToFit="1"/>
    </xf>
    <xf numFmtId="6" fontId="34" fillId="0" borderId="327" xfId="5" applyFont="1" applyFill="1" applyBorder="1" applyAlignment="1" applyProtection="1">
      <alignment horizontal="right" vertical="center" shrinkToFit="1"/>
    </xf>
    <xf numFmtId="0" fontId="5" fillId="21" borderId="274" xfId="4" applyNumberFormat="1" applyFont="1" applyFill="1" applyBorder="1" applyProtection="1">
      <alignment vertical="center"/>
      <protection hidden="1"/>
    </xf>
    <xf numFmtId="0" fontId="5" fillId="21" borderId="6" xfId="4" applyNumberFormat="1" applyFont="1" applyFill="1" applyBorder="1" applyProtection="1">
      <alignment vertical="center"/>
      <protection locked="0" hidden="1"/>
    </xf>
    <xf numFmtId="0" fontId="9" fillId="65" borderId="6" xfId="4" applyFont="1" applyFill="1" applyBorder="1" applyAlignment="1" applyProtection="1">
      <alignment vertical="center" shrinkToFit="1"/>
      <protection hidden="1"/>
    </xf>
    <xf numFmtId="0" fontId="9" fillId="65" borderId="6" xfId="4" applyFont="1" applyFill="1" applyBorder="1" applyAlignment="1" applyProtection="1">
      <alignment horizontal="right" vertical="center" shrinkToFit="1"/>
      <protection hidden="1"/>
    </xf>
    <xf numFmtId="0" fontId="9" fillId="21" borderId="9" xfId="4" applyFont="1" applyFill="1" applyBorder="1" applyAlignment="1" applyProtection="1">
      <alignment vertical="center" shrinkToFit="1"/>
      <protection hidden="1"/>
    </xf>
    <xf numFmtId="10" fontId="5" fillId="21" borderId="6" xfId="6" applyNumberFormat="1" applyFont="1" applyFill="1" applyBorder="1" applyProtection="1">
      <alignment vertical="center"/>
      <protection hidden="1"/>
    </xf>
    <xf numFmtId="185" fontId="5" fillId="21" borderId="6" xfId="4" applyNumberFormat="1" applyFont="1" applyFill="1" applyBorder="1" applyProtection="1">
      <alignment vertical="center"/>
      <protection hidden="1"/>
    </xf>
    <xf numFmtId="0" fontId="15" fillId="4" borderId="6" xfId="4" applyNumberFormat="1" applyFont="1" applyFill="1" applyBorder="1" applyProtection="1">
      <alignment vertical="center"/>
      <protection hidden="1"/>
    </xf>
    <xf numFmtId="0" fontId="15" fillId="4" borderId="6" xfId="4" applyNumberFormat="1" applyFont="1" applyFill="1" applyBorder="1" applyProtection="1">
      <alignment vertical="center"/>
      <protection locked="0" hidden="1"/>
    </xf>
    <xf numFmtId="10" fontId="15" fillId="4" borderId="6" xfId="6" applyNumberFormat="1" applyFont="1" applyFill="1" applyBorder="1" applyProtection="1">
      <alignment vertical="center"/>
      <protection hidden="1"/>
    </xf>
    <xf numFmtId="185" fontId="15" fillId="4" borderId="6" xfId="4" applyNumberFormat="1" applyFont="1" applyFill="1" applyBorder="1" applyProtection="1">
      <alignment vertical="center"/>
      <protection hidden="1"/>
    </xf>
    <xf numFmtId="0" fontId="5" fillId="5" borderId="274" xfId="4" applyNumberFormat="1" applyFont="1" applyFill="1" applyBorder="1" applyProtection="1">
      <alignment vertical="center"/>
      <protection hidden="1"/>
    </xf>
    <xf numFmtId="49" fontId="30" fillId="0" borderId="200" xfId="4" applyNumberFormat="1" applyFont="1" applyFill="1" applyBorder="1" applyAlignment="1" applyProtection="1">
      <alignment horizontal="center" vertical="center" shrinkToFit="1"/>
    </xf>
    <xf numFmtId="0" fontId="34" fillId="0" borderId="0" xfId="4" applyFont="1" applyFill="1" applyBorder="1" applyAlignment="1" applyProtection="1">
      <alignment horizontal="center" vertical="center" shrinkToFit="1"/>
    </xf>
    <xf numFmtId="0" fontId="34" fillId="0" borderId="0" xfId="4" applyFont="1" applyFill="1" applyBorder="1" applyAlignment="1" applyProtection="1">
      <alignment horizontal="center" vertical="center" shrinkToFit="1"/>
    </xf>
    <xf numFmtId="0" fontId="34" fillId="0" borderId="270" xfId="4" applyFont="1" applyFill="1" applyBorder="1" applyAlignment="1" applyProtection="1">
      <alignment horizontal="center" vertical="center" shrinkToFit="1"/>
    </xf>
    <xf numFmtId="0" fontId="34" fillId="19" borderId="39" xfId="4" applyFont="1" applyFill="1" applyBorder="1" applyAlignment="1" applyProtection="1">
      <alignment horizontal="center" vertical="center" shrinkToFit="1"/>
    </xf>
    <xf numFmtId="0" fontId="34" fillId="19" borderId="40" xfId="4" applyFont="1" applyFill="1" applyBorder="1" applyAlignment="1" applyProtection="1">
      <alignment horizontal="center" vertical="center" shrinkToFit="1"/>
    </xf>
    <xf numFmtId="0" fontId="34" fillId="19" borderId="41" xfId="4" applyFont="1" applyFill="1" applyBorder="1" applyAlignment="1" applyProtection="1">
      <alignment horizontal="center" vertical="center" shrinkToFit="1"/>
    </xf>
    <xf numFmtId="0" fontId="42" fillId="0" borderId="0" xfId="0" applyFont="1">
      <alignment vertical="center"/>
    </xf>
    <xf numFmtId="0" fontId="66" fillId="0" borderId="274" xfId="0" applyFont="1" applyBorder="1" applyAlignment="1">
      <alignment horizontal="center" vertical="center"/>
    </xf>
    <xf numFmtId="0" fontId="43" fillId="0" borderId="274" xfId="0" applyFont="1" applyBorder="1" applyAlignment="1">
      <alignment horizontal="center" vertical="center"/>
    </xf>
    <xf numFmtId="0" fontId="43" fillId="0" borderId="148" xfId="0" applyFont="1" applyBorder="1" applyAlignment="1">
      <alignment horizontal="center" vertical="center"/>
    </xf>
    <xf numFmtId="0" fontId="42" fillId="19" borderId="30" xfId="0" applyFont="1" applyFill="1" applyBorder="1">
      <alignment vertical="center"/>
    </xf>
    <xf numFmtId="0" fontId="42" fillId="19" borderId="83" xfId="0" applyFont="1" applyFill="1" applyBorder="1" applyAlignment="1">
      <alignment horizontal="center" vertical="center"/>
    </xf>
    <xf numFmtId="0" fontId="31" fillId="0" borderId="0" xfId="0" applyFont="1" applyProtection="1">
      <alignment vertical="center"/>
      <protection locked="0"/>
    </xf>
    <xf numFmtId="0" fontId="31" fillId="26" borderId="0" xfId="0" applyFont="1" applyFill="1" applyProtection="1">
      <alignment vertical="center"/>
      <protection locked="0"/>
    </xf>
    <xf numFmtId="0" fontId="31" fillId="0" borderId="0" xfId="0" applyFont="1" applyFill="1" applyProtection="1">
      <alignment vertical="center"/>
      <protection locked="0"/>
    </xf>
    <xf numFmtId="10" fontId="52" fillId="60" borderId="330" xfId="6" applyNumberFormat="1" applyFont="1" applyFill="1" applyBorder="1" applyAlignment="1" applyProtection="1">
      <alignment vertical="center" shrinkToFit="1"/>
    </xf>
    <xf numFmtId="0" fontId="34" fillId="2" borderId="40" xfId="4" applyFont="1" applyFill="1" applyBorder="1" applyAlignment="1" applyProtection="1">
      <alignment horizontal="center" vertical="center" shrinkToFit="1"/>
    </xf>
    <xf numFmtId="0" fontId="29" fillId="0" borderId="245" xfId="0" applyFont="1" applyBorder="1" applyAlignment="1" applyProtection="1">
      <alignment vertical="center" shrinkToFit="1"/>
    </xf>
    <xf numFmtId="0" fontId="34" fillId="0" borderId="285" xfId="4" applyFont="1" applyFill="1" applyBorder="1" applyAlignment="1" applyProtection="1">
      <alignment horizontal="center" vertical="center" shrinkToFit="1"/>
    </xf>
    <xf numFmtId="0" fontId="34" fillId="0" borderId="270" xfId="4" applyFont="1" applyFill="1" applyBorder="1" applyAlignment="1" applyProtection="1">
      <alignment horizontal="center" vertical="center" shrinkToFit="1"/>
    </xf>
    <xf numFmtId="0" fontId="29" fillId="0" borderId="245" xfId="0" applyFont="1" applyBorder="1" applyAlignment="1" applyProtection="1">
      <alignment vertical="center" shrinkToFit="1"/>
    </xf>
    <xf numFmtId="0" fontId="29" fillId="0" borderId="40" xfId="4" applyFont="1" applyFill="1" applyBorder="1" applyAlignment="1" applyProtection="1">
      <alignment vertical="center"/>
    </xf>
    <xf numFmtId="6" fontId="29" fillId="0" borderId="245" xfId="5" applyFont="1" applyBorder="1" applyAlignment="1" applyProtection="1">
      <alignment horizontal="left" vertical="center" shrinkToFit="1"/>
      <protection locked="0"/>
    </xf>
    <xf numFmtId="0" fontId="31" fillId="0" borderId="273" xfId="4" applyNumberFormat="1" applyFont="1" applyFill="1" applyBorder="1" applyProtection="1">
      <alignment vertical="center"/>
      <protection locked="0"/>
    </xf>
    <xf numFmtId="0" fontId="31" fillId="0" borderId="273" xfId="4" applyNumberFormat="1" applyFont="1" applyFill="1" applyBorder="1" applyProtection="1">
      <alignment vertical="center"/>
      <protection hidden="1"/>
    </xf>
    <xf numFmtId="0" fontId="31" fillId="0" borderId="38" xfId="4" applyNumberFormat="1" applyFont="1" applyFill="1" applyBorder="1" applyProtection="1">
      <alignment vertical="center"/>
      <protection hidden="1"/>
    </xf>
    <xf numFmtId="0" fontId="31" fillId="0" borderId="36" xfId="4" applyNumberFormat="1" applyFont="1" applyFill="1" applyBorder="1" applyProtection="1">
      <alignment vertical="center"/>
      <protection locked="0"/>
    </xf>
    <xf numFmtId="0" fontId="31" fillId="0" borderId="54" xfId="4" applyNumberFormat="1" applyFont="1" applyFill="1" applyBorder="1" applyProtection="1">
      <alignment vertical="center"/>
      <protection hidden="1"/>
    </xf>
    <xf numFmtId="0" fontId="31" fillId="0" borderId="271" xfId="4" applyNumberFormat="1" applyFont="1" applyFill="1" applyBorder="1" applyProtection="1">
      <alignment vertical="center"/>
      <protection locked="0"/>
    </xf>
    <xf numFmtId="0" fontId="29" fillId="0" borderId="257" xfId="4" applyFont="1" applyBorder="1" applyAlignment="1" applyProtection="1">
      <alignment vertical="center" shrinkToFit="1"/>
    </xf>
    <xf numFmtId="0" fontId="43" fillId="0" borderId="0" xfId="4" applyFont="1" applyFill="1" applyBorder="1" applyAlignment="1" applyProtection="1">
      <alignment horizontal="left" vertical="center"/>
    </xf>
    <xf numFmtId="0" fontId="15" fillId="0" borderId="17" xfId="4" applyNumberFormat="1" applyFont="1" applyFill="1" applyBorder="1" applyAlignment="1" applyProtection="1">
      <alignment horizontal="left" vertical="center"/>
      <protection locked="0"/>
    </xf>
    <xf numFmtId="0" fontId="5" fillId="0" borderId="270" xfId="4" applyNumberFormat="1" applyFont="1" applyFill="1" applyBorder="1" applyProtection="1">
      <alignment vertical="center"/>
      <protection hidden="1"/>
    </xf>
    <xf numFmtId="0" fontId="5" fillId="0" borderId="270" xfId="4" applyNumberFormat="1" applyFont="1" applyFill="1" applyBorder="1" applyProtection="1">
      <alignment vertical="center"/>
      <protection locked="0" hidden="1"/>
    </xf>
    <xf numFmtId="0" fontId="5" fillId="0" borderId="270" xfId="4" applyNumberFormat="1" applyFont="1" applyFill="1" applyBorder="1" applyAlignment="1" applyProtection="1">
      <alignment vertical="center" shrinkToFit="1"/>
      <protection hidden="1"/>
    </xf>
    <xf numFmtId="6" fontId="5" fillId="5" borderId="270" xfId="13" applyFont="1" applyFill="1" applyBorder="1" applyAlignment="1" applyProtection="1">
      <alignment vertical="center" shrinkToFit="1"/>
      <protection hidden="1"/>
    </xf>
    <xf numFmtId="10" fontId="5" fillId="5" borderId="270" xfId="18" applyNumberFormat="1" applyFont="1" applyFill="1" applyBorder="1" applyAlignment="1" applyProtection="1">
      <alignment vertical="center" shrinkToFit="1"/>
      <protection hidden="1"/>
    </xf>
    <xf numFmtId="0" fontId="15" fillId="26" borderId="270" xfId="4" applyNumberFormat="1" applyFont="1" applyFill="1" applyBorder="1" applyProtection="1">
      <alignment vertical="center"/>
      <protection hidden="1"/>
    </xf>
    <xf numFmtId="0" fontId="15" fillId="0" borderId="270" xfId="4" applyNumberFormat="1" applyFont="1" applyFill="1" applyBorder="1" applyAlignment="1" applyProtection="1">
      <alignment horizontal="left" vertical="center"/>
      <protection locked="0"/>
    </xf>
    <xf numFmtId="0" fontId="15" fillId="5" borderId="270" xfId="4" applyNumberFormat="1" applyFont="1" applyFill="1" applyBorder="1" applyAlignment="1" applyProtection="1">
      <alignment horizontal="left" vertical="center"/>
      <protection locked="0"/>
    </xf>
    <xf numFmtId="0" fontId="15" fillId="0" borderId="270" xfId="4" applyNumberFormat="1" applyFont="1" applyFill="1" applyBorder="1" applyAlignment="1" applyProtection="1">
      <alignment horizontal="left" vertical="center"/>
      <protection locked="0" hidden="1"/>
    </xf>
    <xf numFmtId="0" fontId="15" fillId="26" borderId="270" xfId="4" applyNumberFormat="1" applyFont="1" applyFill="1" applyBorder="1" applyAlignment="1" applyProtection="1">
      <alignment horizontal="left" vertical="center"/>
      <protection locked="0" hidden="1"/>
    </xf>
    <xf numFmtId="0" fontId="34" fillId="0" borderId="66" xfId="4" applyFont="1" applyFill="1" applyBorder="1" applyAlignment="1" applyProtection="1">
      <alignment horizontal="center" vertical="center" shrinkToFit="1"/>
    </xf>
    <xf numFmtId="0" fontId="17" fillId="4" borderId="274" xfId="2" applyFont="1" applyFill="1" applyBorder="1" applyAlignment="1"/>
    <xf numFmtId="49" fontId="17" fillId="4" borderId="274" xfId="4" applyNumberFormat="1" applyFont="1" applyFill="1" applyBorder="1" applyAlignment="1">
      <alignment vertical="center"/>
    </xf>
    <xf numFmtId="49" fontId="17" fillId="4" borderId="274" xfId="4" applyNumberFormat="1" applyFont="1" applyFill="1" applyBorder="1" applyAlignment="1">
      <alignment horizontal="left" vertical="center"/>
    </xf>
    <xf numFmtId="49" fontId="20" fillId="4" borderId="274" xfId="2" applyNumberFormat="1" applyFont="1" applyFill="1" applyBorder="1" applyAlignment="1"/>
    <xf numFmtId="0" fontId="30" fillId="0" borderId="36" xfId="5" applyNumberFormat="1" applyFont="1" applyBorder="1" applyAlignment="1" applyProtection="1">
      <alignment horizontal="left" vertical="center" shrinkToFit="1"/>
    </xf>
    <xf numFmtId="0" fontId="34" fillId="2" borderId="230" xfId="4" applyFont="1" applyFill="1" applyBorder="1" applyAlignment="1" applyProtection="1">
      <alignment vertical="center" shrinkToFit="1"/>
    </xf>
    <xf numFmtId="0" fontId="34" fillId="2" borderId="148" xfId="4" applyFont="1" applyFill="1" applyBorder="1" applyAlignment="1" applyProtection="1">
      <alignment vertical="center" shrinkToFit="1"/>
    </xf>
    <xf numFmtId="0" fontId="30" fillId="0" borderId="148" xfId="4" applyFont="1" applyBorder="1" applyAlignment="1" applyProtection="1">
      <alignment vertical="center"/>
    </xf>
    <xf numFmtId="0" fontId="30" fillId="0" borderId="42" xfId="4" applyFont="1" applyBorder="1" applyAlignment="1" applyProtection="1">
      <alignment vertical="center" wrapText="1"/>
    </xf>
    <xf numFmtId="0" fontId="30" fillId="0" borderId="40" xfId="4" applyFont="1" applyBorder="1" applyAlignment="1" applyProtection="1">
      <alignment vertical="center" wrapText="1"/>
    </xf>
    <xf numFmtId="0" fontId="30" fillId="0" borderId="43" xfId="4" applyFont="1" applyBorder="1" applyAlignment="1" applyProtection="1">
      <alignment vertical="center" wrapText="1"/>
    </xf>
    <xf numFmtId="0" fontId="30" fillId="2" borderId="42" xfId="4" applyFont="1" applyFill="1" applyBorder="1" applyAlignment="1" applyProtection="1">
      <alignment vertical="center"/>
    </xf>
    <xf numFmtId="0" fontId="30" fillId="2" borderId="40" xfId="4" applyFont="1" applyFill="1" applyBorder="1" applyAlignment="1" applyProtection="1">
      <alignment vertical="center"/>
    </xf>
    <xf numFmtId="0" fontId="30" fillId="0" borderId="269" xfId="4" applyFont="1" applyFill="1" applyBorder="1" applyAlignment="1" applyProtection="1">
      <alignment vertical="center"/>
    </xf>
    <xf numFmtId="0" fontId="30" fillId="0" borderId="270" xfId="4" applyFont="1" applyFill="1" applyBorder="1" applyAlignment="1" applyProtection="1">
      <alignment vertical="center"/>
    </xf>
    <xf numFmtId="6" fontId="30" fillId="0" borderId="270" xfId="5" applyFont="1" applyBorder="1" applyAlignment="1" applyProtection="1">
      <alignment horizontal="left" vertical="center"/>
    </xf>
    <xf numFmtId="6" fontId="30" fillId="0" borderId="270" xfId="5" applyFont="1" applyBorder="1" applyAlignment="1" applyProtection="1">
      <alignment vertical="center"/>
    </xf>
    <xf numFmtId="6" fontId="30" fillId="0" borderId="202" xfId="5" applyFont="1" applyBorder="1" applyAlignment="1" applyProtection="1">
      <alignment horizontal="left" vertical="center"/>
    </xf>
    <xf numFmtId="0" fontId="41" fillId="0" borderId="270" xfId="4" applyFont="1" applyBorder="1" applyAlignment="1" applyProtection="1">
      <alignment vertical="center"/>
    </xf>
    <xf numFmtId="0" fontId="30" fillId="0" borderId="270" xfId="4" applyFont="1" applyBorder="1" applyAlignment="1" applyProtection="1">
      <alignment vertical="center"/>
    </xf>
    <xf numFmtId="184" fontId="30" fillId="0" borderId="36" xfId="5" applyNumberFormat="1" applyFont="1" applyFill="1" applyBorder="1" applyAlignment="1" applyProtection="1">
      <alignment horizontal="left" vertical="center"/>
    </xf>
    <xf numFmtId="184" fontId="30" fillId="0" borderId="80" xfId="5" applyNumberFormat="1" applyFont="1" applyFill="1" applyBorder="1" applyAlignment="1" applyProtection="1">
      <alignment horizontal="left" vertical="center"/>
    </xf>
    <xf numFmtId="0" fontId="60" fillId="0" borderId="157" xfId="4" applyFont="1" applyFill="1" applyBorder="1" applyAlignment="1" applyProtection="1">
      <alignment horizontal="center" vertical="center" shrinkToFit="1"/>
    </xf>
    <xf numFmtId="0" fontId="60" fillId="0" borderId="158" xfId="4" applyFont="1" applyFill="1" applyBorder="1" applyAlignment="1" applyProtection="1">
      <alignment horizontal="center" vertical="center" shrinkToFit="1"/>
    </xf>
    <xf numFmtId="184" fontId="30" fillId="0" borderId="212" xfId="13" applyNumberFormat="1" applyFont="1" applyFill="1" applyBorder="1" applyAlignment="1" applyProtection="1">
      <alignment vertical="center"/>
    </xf>
    <xf numFmtId="184" fontId="30" fillId="0" borderId="0" xfId="13" applyNumberFormat="1" applyFont="1" applyFill="1" applyBorder="1" applyAlignment="1" applyProtection="1">
      <alignment vertical="center"/>
    </xf>
    <xf numFmtId="0" fontId="60" fillId="0" borderId="339" xfId="4" applyFont="1" applyFill="1" applyBorder="1" applyAlignment="1" applyProtection="1">
      <alignment horizontal="center" vertical="center" shrinkToFit="1"/>
    </xf>
    <xf numFmtId="0" fontId="60" fillId="0" borderId="40" xfId="4" applyFont="1" applyFill="1" applyBorder="1" applyAlignment="1" applyProtection="1">
      <alignment horizontal="center" vertical="center" shrinkToFit="1"/>
    </xf>
    <xf numFmtId="0" fontId="60" fillId="0" borderId="43" xfId="4" applyFont="1" applyFill="1" applyBorder="1" applyAlignment="1" applyProtection="1">
      <alignment horizontal="center" vertical="center" shrinkToFit="1"/>
    </xf>
    <xf numFmtId="0" fontId="17" fillId="0" borderId="274" xfId="0" applyFont="1" applyFill="1" applyBorder="1" applyAlignment="1">
      <alignment horizontal="left" vertical="center" readingOrder="1"/>
    </xf>
    <xf numFmtId="0" fontId="17" fillId="4" borderId="6" xfId="4" applyNumberFormat="1" applyFont="1" applyFill="1" applyBorder="1" applyAlignment="1" applyProtection="1">
      <alignment horizontal="left" vertical="center"/>
      <protection hidden="1"/>
    </xf>
    <xf numFmtId="49" fontId="28" fillId="26" borderId="0" xfId="0" applyNumberFormat="1" applyFont="1" applyFill="1" applyProtection="1">
      <alignment vertical="center"/>
      <protection locked="0"/>
    </xf>
    <xf numFmtId="49" fontId="30" fillId="28" borderId="0" xfId="4" applyNumberFormat="1" applyFont="1" applyFill="1">
      <alignment vertical="center"/>
    </xf>
    <xf numFmtId="0" fontId="30" fillId="68" borderId="42" xfId="4" applyFont="1" applyFill="1" applyBorder="1" applyAlignment="1" applyProtection="1">
      <alignment vertical="center"/>
    </xf>
    <xf numFmtId="0" fontId="30" fillId="68" borderId="40" xfId="4" applyFont="1" applyFill="1" applyBorder="1" applyAlignment="1" applyProtection="1">
      <alignment vertical="center"/>
    </xf>
    <xf numFmtId="0" fontId="12" fillId="21" borderId="0" xfId="0" applyFont="1" applyFill="1" applyAlignment="1">
      <alignment vertical="center"/>
    </xf>
    <xf numFmtId="0" fontId="43" fillId="0" borderId="276" xfId="0" applyFont="1" applyBorder="1" applyAlignment="1">
      <alignment horizontal="center" vertical="center"/>
    </xf>
    <xf numFmtId="0" fontId="66" fillId="0" borderId="0" xfId="0" applyFont="1" applyAlignment="1">
      <alignment horizontal="center" vertical="center"/>
    </xf>
    <xf numFmtId="0" fontId="43" fillId="0" borderId="0" xfId="0" applyFont="1" applyAlignment="1">
      <alignment horizontal="center" vertical="center"/>
    </xf>
    <xf numFmtId="0" fontId="66" fillId="0" borderId="11" xfId="0" applyFont="1" applyBorder="1" applyAlignment="1">
      <alignment horizontal="center" vertical="center"/>
    </xf>
    <xf numFmtId="0" fontId="42" fillId="8" borderId="273" xfId="0" applyFont="1" applyFill="1" applyBorder="1" applyAlignment="1">
      <alignment vertical="center"/>
    </xf>
    <xf numFmtId="0" fontId="42" fillId="8" borderId="273" xfId="0" applyFont="1" applyFill="1" applyBorder="1">
      <alignment vertical="center"/>
    </xf>
    <xf numFmtId="0" fontId="42" fillId="0" borderId="0" xfId="0" applyFont="1" applyFill="1" applyBorder="1" applyAlignment="1">
      <alignment vertical="center"/>
    </xf>
    <xf numFmtId="0" fontId="42" fillId="19" borderId="82" xfId="0" applyFont="1" applyFill="1" applyBorder="1" applyAlignment="1">
      <alignment horizontal="center" vertical="center"/>
    </xf>
    <xf numFmtId="0" fontId="34" fillId="19" borderId="33" xfId="4" applyFont="1" applyFill="1" applyBorder="1" applyAlignment="1" applyProtection="1">
      <alignment vertical="center" wrapText="1" shrinkToFit="1"/>
    </xf>
    <xf numFmtId="0" fontId="34" fillId="19" borderId="0" xfId="4" applyFont="1" applyFill="1" applyBorder="1" applyAlignment="1" applyProtection="1">
      <alignment vertical="center" wrapText="1" shrinkToFit="1"/>
    </xf>
    <xf numFmtId="0" fontId="34" fillId="19" borderId="39" xfId="4" applyFont="1" applyFill="1" applyBorder="1" applyAlignment="1" applyProtection="1">
      <alignment vertical="center" wrapText="1" shrinkToFit="1"/>
    </xf>
    <xf numFmtId="0" fontId="34" fillId="19" borderId="40" xfId="4" applyFont="1" applyFill="1" applyBorder="1" applyAlignment="1" applyProtection="1">
      <alignment vertical="center" wrapText="1" shrinkToFit="1"/>
    </xf>
    <xf numFmtId="0" fontId="34" fillId="0" borderId="272" xfId="4" applyFont="1" applyFill="1" applyBorder="1" applyAlignment="1" applyProtection="1">
      <alignment vertical="center"/>
    </xf>
    <xf numFmtId="0" fontId="34" fillId="0" borderId="36" xfId="4" applyFont="1" applyFill="1" applyBorder="1" applyAlignment="1" applyProtection="1">
      <alignment vertical="center"/>
    </xf>
    <xf numFmtId="0" fontId="34" fillId="0" borderId="245" xfId="4" applyNumberFormat="1" applyFont="1" applyFill="1" applyBorder="1" applyAlignment="1" applyProtection="1">
      <alignment vertical="center"/>
    </xf>
    <xf numFmtId="0" fontId="34" fillId="0" borderId="245" xfId="13" applyNumberFormat="1" applyFont="1" applyFill="1" applyBorder="1" applyAlignment="1" applyProtection="1">
      <alignment vertical="center"/>
    </xf>
    <xf numFmtId="0" fontId="19" fillId="0" borderId="274" xfId="2" applyFont="1" applyFill="1" applyBorder="1" applyAlignment="1">
      <alignment vertical="center"/>
    </xf>
    <xf numFmtId="0" fontId="19" fillId="0" borderId="274" xfId="2" applyFont="1" applyBorder="1" applyAlignment="1">
      <alignment vertical="center"/>
    </xf>
    <xf numFmtId="0" fontId="5" fillId="0" borderId="274" xfId="4" applyFont="1" applyBorder="1" applyProtection="1">
      <alignment vertical="center"/>
      <protection hidden="1"/>
    </xf>
    <xf numFmtId="0" fontId="5" fillId="0" borderId="274" xfId="4" applyNumberFormat="1" applyFont="1" applyBorder="1" applyAlignment="1" applyProtection="1">
      <alignment vertical="center"/>
      <protection hidden="1"/>
    </xf>
    <xf numFmtId="0" fontId="43" fillId="0" borderId="0" xfId="0" applyNumberFormat="1" applyFont="1">
      <alignment vertical="center"/>
    </xf>
    <xf numFmtId="0" fontId="34" fillId="0" borderId="285" xfId="4" applyFont="1" applyFill="1" applyBorder="1" applyAlignment="1" applyProtection="1">
      <alignment horizontal="center" vertical="center" shrinkToFit="1"/>
    </xf>
    <xf numFmtId="0" fontId="34" fillId="8" borderId="273" xfId="4" applyFont="1" applyFill="1" applyBorder="1" applyAlignment="1" applyProtection="1">
      <alignment horizontal="center" vertical="center" shrinkToFit="1"/>
    </xf>
    <xf numFmtId="0" fontId="34" fillId="8" borderId="283" xfId="4" applyFont="1" applyFill="1" applyBorder="1" applyAlignment="1" applyProtection="1">
      <alignment horizontal="center" vertical="center" shrinkToFit="1"/>
    </xf>
    <xf numFmtId="0" fontId="34" fillId="2" borderId="258" xfId="4" applyFont="1" applyFill="1" applyBorder="1" applyAlignment="1" applyProtection="1">
      <alignment horizontal="center" vertical="center" shrinkToFit="1"/>
      <protection locked="0"/>
    </xf>
    <xf numFmtId="0" fontId="34" fillId="2" borderId="157" xfId="4" applyFont="1" applyFill="1" applyBorder="1" applyAlignment="1" applyProtection="1">
      <alignment horizontal="center" vertical="center" shrinkToFit="1"/>
      <protection locked="0"/>
    </xf>
    <xf numFmtId="0" fontId="29" fillId="0" borderId="157" xfId="4" applyFont="1" applyFill="1" applyBorder="1" applyAlignment="1" applyProtection="1">
      <alignment vertical="center"/>
      <protection locked="0"/>
    </xf>
    <xf numFmtId="6" fontId="29" fillId="0" borderId="157" xfId="5" applyFont="1" applyBorder="1" applyAlignment="1" applyProtection="1">
      <alignment horizontal="left" vertical="center" shrinkToFit="1"/>
      <protection locked="0"/>
    </xf>
    <xf numFmtId="6" fontId="29" fillId="0" borderId="158" xfId="5" applyFont="1" applyBorder="1" applyAlignment="1" applyProtection="1">
      <alignment horizontal="left" vertical="center" shrinkToFit="1"/>
      <protection locked="0"/>
    </xf>
    <xf numFmtId="6" fontId="34" fillId="0" borderId="8" xfId="13" applyFont="1" applyFill="1" applyBorder="1" applyAlignment="1" applyProtection="1">
      <alignment vertical="center" shrinkToFit="1"/>
    </xf>
    <xf numFmtId="6" fontId="34" fillId="0" borderId="0" xfId="13" applyFont="1" applyFill="1" applyBorder="1" applyAlignment="1" applyProtection="1">
      <alignment vertical="center" shrinkToFit="1"/>
    </xf>
    <xf numFmtId="10" fontId="34" fillId="0" borderId="0" xfId="5" applyNumberFormat="1" applyFont="1" applyBorder="1" applyAlignment="1" applyProtection="1">
      <alignment vertical="center" shrinkToFit="1"/>
    </xf>
    <xf numFmtId="6" fontId="34" fillId="0" borderId="0" xfId="13" applyFont="1" applyBorder="1" applyAlignment="1" applyProtection="1">
      <alignment vertical="center" shrinkToFit="1"/>
    </xf>
    <xf numFmtId="0" fontId="29" fillId="0" borderId="0" xfId="5" applyNumberFormat="1" applyFont="1" applyBorder="1" applyAlignment="1" applyProtection="1">
      <alignment vertical="center" shrinkToFit="1"/>
    </xf>
    <xf numFmtId="0" fontId="29" fillId="0" borderId="0" xfId="5" applyNumberFormat="1" applyFont="1" applyBorder="1" applyAlignment="1" applyProtection="1">
      <alignment vertical="center"/>
    </xf>
    <xf numFmtId="0" fontId="29" fillId="0" borderId="34" xfId="5" applyNumberFormat="1" applyFont="1" applyBorder="1" applyAlignment="1" applyProtection="1">
      <alignment vertical="center"/>
    </xf>
    <xf numFmtId="0" fontId="20" fillId="21" borderId="274" xfId="4" applyFont="1" applyFill="1" applyBorder="1" applyAlignment="1" applyProtection="1">
      <alignment horizontal="right" vertical="center"/>
      <protection hidden="1"/>
    </xf>
    <xf numFmtId="0" fontId="43" fillId="0" borderId="274" xfId="0" applyFont="1" applyBorder="1" applyAlignment="1">
      <alignment horizontal="center" vertical="center" shrinkToFit="1"/>
    </xf>
    <xf numFmtId="0" fontId="5" fillId="27" borderId="6" xfId="4" applyNumberFormat="1" applyFont="1" applyFill="1" applyBorder="1" applyProtection="1">
      <alignment vertical="center"/>
      <protection locked="0"/>
    </xf>
    <xf numFmtId="0" fontId="5" fillId="27" borderId="274" xfId="4" applyNumberFormat="1" applyFont="1" applyFill="1" applyBorder="1" applyProtection="1">
      <alignment vertical="center"/>
      <protection locked="0"/>
    </xf>
    <xf numFmtId="0" fontId="5" fillId="27" borderId="274" xfId="4" applyNumberFormat="1" applyFont="1" applyFill="1" applyBorder="1" applyProtection="1">
      <alignment vertical="center"/>
      <protection hidden="1"/>
    </xf>
    <xf numFmtId="49" fontId="5" fillId="0" borderId="274" xfId="4" applyNumberFormat="1" applyFont="1" applyFill="1" applyBorder="1" applyProtection="1">
      <alignment vertical="center"/>
      <protection hidden="1"/>
    </xf>
    <xf numFmtId="0" fontId="15" fillId="0" borderId="274" xfId="4" applyNumberFormat="1" applyFont="1" applyFill="1" applyBorder="1" applyProtection="1">
      <alignment vertical="center"/>
      <protection hidden="1"/>
    </xf>
    <xf numFmtId="6" fontId="5" fillId="0" borderId="274" xfId="13" applyFont="1" applyFill="1" applyBorder="1" applyAlignment="1" applyProtection="1">
      <alignment vertical="center" shrinkToFit="1"/>
      <protection hidden="1"/>
    </xf>
    <xf numFmtId="10" fontId="5" fillId="0" borderId="274" xfId="18" applyNumberFormat="1" applyFont="1" applyFill="1" applyBorder="1" applyProtection="1">
      <alignment vertical="center"/>
      <protection hidden="1"/>
    </xf>
    <xf numFmtId="185" fontId="5" fillId="0" borderId="274" xfId="13" applyNumberFormat="1" applyFont="1" applyFill="1" applyBorder="1" applyProtection="1">
      <alignment vertical="center"/>
      <protection hidden="1"/>
    </xf>
    <xf numFmtId="0" fontId="5" fillId="27" borderId="6" xfId="4" applyNumberFormat="1" applyFont="1" applyFill="1" applyBorder="1" applyProtection="1">
      <alignment vertical="center"/>
      <protection hidden="1"/>
    </xf>
    <xf numFmtId="0" fontId="17" fillId="0" borderId="274" xfId="4" applyFont="1" applyBorder="1" applyAlignment="1" applyProtection="1">
      <protection hidden="1"/>
    </xf>
    <xf numFmtId="0" fontId="17" fillId="4" borderId="274" xfId="4" applyFont="1" applyFill="1" applyBorder="1" applyAlignment="1" applyProtection="1">
      <protection hidden="1"/>
    </xf>
    <xf numFmtId="0" fontId="20" fillId="27" borderId="274" xfId="2" applyFont="1" applyFill="1" applyBorder="1" applyAlignment="1"/>
    <xf numFmtId="0" fontId="17" fillId="27" borderId="274" xfId="4" applyFont="1" applyFill="1" applyBorder="1" applyProtection="1">
      <alignment vertical="center"/>
      <protection hidden="1"/>
    </xf>
    <xf numFmtId="0" fontId="34" fillId="7" borderId="33" xfId="5" applyNumberFormat="1" applyFont="1" applyFill="1" applyBorder="1" applyAlignment="1" applyProtection="1">
      <alignment horizontal="center" vertical="center" wrapText="1"/>
    </xf>
    <xf numFmtId="0" fontId="34" fillId="7" borderId="0" xfId="5" applyNumberFormat="1" applyFont="1" applyFill="1" applyBorder="1" applyAlignment="1" applyProtection="1">
      <alignment horizontal="center" vertical="center" wrapText="1"/>
    </xf>
    <xf numFmtId="0" fontId="34" fillId="7" borderId="38" xfId="5" applyNumberFormat="1" applyFont="1" applyFill="1" applyBorder="1" applyAlignment="1" applyProtection="1">
      <alignment horizontal="center" vertical="center" wrapText="1"/>
    </xf>
    <xf numFmtId="0" fontId="34" fillId="7" borderId="39" xfId="5" applyNumberFormat="1" applyFont="1" applyFill="1" applyBorder="1" applyAlignment="1" applyProtection="1">
      <alignment horizontal="center" vertical="center" wrapText="1"/>
    </xf>
    <xf numFmtId="0" fontId="34" fillId="7" borderId="40" xfId="5" applyNumberFormat="1" applyFont="1" applyFill="1" applyBorder="1" applyAlignment="1" applyProtection="1">
      <alignment horizontal="center" vertical="center" wrapText="1"/>
    </xf>
    <xf numFmtId="0" fontId="34" fillId="7" borderId="41" xfId="5" applyNumberFormat="1" applyFont="1" applyFill="1" applyBorder="1" applyAlignment="1" applyProtection="1">
      <alignment horizontal="center" vertical="center" wrapText="1"/>
    </xf>
    <xf numFmtId="0" fontId="34" fillId="0" borderId="0" xfId="4" applyNumberFormat="1" applyFont="1" applyFill="1" applyBorder="1" applyAlignment="1" applyProtection="1">
      <alignment horizontal="left" vertical="center" wrapText="1"/>
    </xf>
    <xf numFmtId="0" fontId="34" fillId="0" borderId="34" xfId="4" applyNumberFormat="1" applyFont="1" applyFill="1" applyBorder="1" applyAlignment="1" applyProtection="1">
      <alignment horizontal="left" vertical="center" wrapText="1"/>
    </xf>
    <xf numFmtId="0" fontId="34" fillId="0" borderId="40" xfId="4" applyNumberFormat="1" applyFont="1" applyFill="1" applyBorder="1" applyAlignment="1" applyProtection="1">
      <alignment horizontal="left" vertical="center" wrapText="1"/>
    </xf>
    <xf numFmtId="0" fontId="34" fillId="0" borderId="43" xfId="4" applyNumberFormat="1" applyFont="1" applyFill="1" applyBorder="1" applyAlignment="1" applyProtection="1">
      <alignment horizontal="left" vertical="center" wrapText="1"/>
    </xf>
    <xf numFmtId="0" fontId="34" fillId="7" borderId="3" xfId="4" applyNumberFormat="1" applyFont="1" applyFill="1" applyBorder="1" applyAlignment="1" applyProtection="1">
      <alignment horizontal="center" vertical="center" shrinkToFit="1"/>
    </xf>
    <xf numFmtId="0" fontId="34" fillId="7" borderId="1" xfId="4" applyNumberFormat="1" applyFont="1" applyFill="1" applyBorder="1" applyAlignment="1" applyProtection="1">
      <alignment horizontal="center" vertical="center" shrinkToFit="1"/>
    </xf>
    <xf numFmtId="0" fontId="34" fillId="7" borderId="2" xfId="4" applyNumberFormat="1" applyFont="1" applyFill="1" applyBorder="1" applyAlignment="1" applyProtection="1">
      <alignment horizontal="center" vertical="center" shrinkToFit="1"/>
    </xf>
    <xf numFmtId="0" fontId="43" fillId="0" borderId="5" xfId="0" quotePrefix="1" applyFont="1" applyBorder="1" applyAlignment="1" applyProtection="1">
      <alignment horizontal="center" vertical="center"/>
      <protection locked="0"/>
    </xf>
    <xf numFmtId="0" fontId="43" fillId="0" borderId="36" xfId="0" quotePrefix="1" applyFont="1" applyBorder="1" applyAlignment="1" applyProtection="1">
      <alignment horizontal="center" vertical="center"/>
      <protection locked="0"/>
    </xf>
    <xf numFmtId="0" fontId="43" fillId="0" borderId="37" xfId="0" quotePrefix="1" applyFont="1" applyBorder="1" applyAlignment="1" applyProtection="1">
      <alignment horizontal="center" vertical="center"/>
      <protection locked="0"/>
    </xf>
    <xf numFmtId="0" fontId="34" fillId="7" borderId="201" xfId="4" applyNumberFormat="1" applyFont="1" applyFill="1" applyBorder="1" applyAlignment="1" applyProtection="1">
      <alignment horizontal="center" vertical="center" wrapText="1"/>
    </xf>
    <xf numFmtId="0" fontId="34" fillId="7" borderId="194" xfId="4" applyNumberFormat="1" applyFont="1" applyFill="1" applyBorder="1" applyAlignment="1" applyProtection="1">
      <alignment horizontal="center" vertical="center" wrapText="1"/>
    </xf>
    <xf numFmtId="0" fontId="34" fillId="7" borderId="195" xfId="4" applyNumberFormat="1" applyFont="1" applyFill="1" applyBorder="1" applyAlignment="1" applyProtection="1">
      <alignment horizontal="center" vertical="center" wrapText="1"/>
    </xf>
    <xf numFmtId="0" fontId="34" fillId="0" borderId="194" xfId="4" applyNumberFormat="1" applyFont="1" applyFill="1" applyBorder="1" applyAlignment="1" applyProtection="1">
      <alignment horizontal="left" vertical="center" shrinkToFit="1"/>
    </xf>
    <xf numFmtId="0" fontId="34" fillId="7" borderId="33" xfId="4" applyNumberFormat="1" applyFont="1" applyFill="1" applyBorder="1" applyAlignment="1" applyProtection="1">
      <alignment horizontal="center" vertical="center" wrapText="1"/>
    </xf>
    <xf numFmtId="0" fontId="34" fillId="7" borderId="0" xfId="4" applyNumberFormat="1" applyFont="1" applyFill="1" applyBorder="1" applyAlignment="1" applyProtection="1">
      <alignment horizontal="center" vertical="center" wrapText="1"/>
    </xf>
    <xf numFmtId="0" fontId="34" fillId="7" borderId="38" xfId="4" applyNumberFormat="1" applyFont="1" applyFill="1" applyBorder="1" applyAlignment="1" applyProtection="1">
      <alignment horizontal="center" vertical="center" wrapText="1"/>
    </xf>
    <xf numFmtId="0" fontId="34" fillId="7" borderId="39" xfId="4" applyNumberFormat="1" applyFont="1" applyFill="1" applyBorder="1" applyAlignment="1" applyProtection="1">
      <alignment horizontal="center" vertical="center" wrapText="1"/>
    </xf>
    <xf numFmtId="0" fontId="34" fillId="7" borderId="40" xfId="4" applyNumberFormat="1" applyFont="1" applyFill="1" applyBorder="1" applyAlignment="1" applyProtection="1">
      <alignment horizontal="center" vertical="center" wrapText="1"/>
    </xf>
    <xf numFmtId="0" fontId="34" fillId="7" borderId="41" xfId="4" applyNumberFormat="1" applyFont="1" applyFill="1" applyBorder="1" applyAlignment="1" applyProtection="1">
      <alignment horizontal="center" vertical="center" wrapText="1"/>
    </xf>
    <xf numFmtId="49" fontId="30" fillId="0" borderId="56" xfId="4" applyNumberFormat="1" applyFont="1" applyFill="1" applyBorder="1" applyAlignment="1" applyProtection="1">
      <alignment horizontal="center" vertical="center" shrinkToFit="1"/>
      <protection locked="0"/>
    </xf>
    <xf numFmtId="0" fontId="30" fillId="0" borderId="56" xfId="4" applyNumberFormat="1" applyFont="1" applyFill="1" applyBorder="1" applyAlignment="1" applyProtection="1">
      <alignment horizontal="center" vertical="center" shrinkToFit="1"/>
    </xf>
    <xf numFmtId="0" fontId="30" fillId="0" borderId="64" xfId="4" applyNumberFormat="1" applyFont="1" applyFill="1" applyBorder="1" applyAlignment="1" applyProtection="1">
      <alignment horizontal="center" vertical="center" shrinkToFit="1"/>
    </xf>
    <xf numFmtId="0" fontId="39" fillId="0" borderId="8" xfId="4" applyNumberFormat="1" applyFont="1" applyFill="1" applyBorder="1" applyAlignment="1" applyProtection="1">
      <alignment horizontal="left" vertical="center" shrinkToFit="1"/>
      <protection locked="0"/>
    </xf>
    <xf numFmtId="0" fontId="39" fillId="0" borderId="0" xfId="4" applyNumberFormat="1" applyFont="1" applyFill="1" applyBorder="1" applyAlignment="1" applyProtection="1">
      <alignment horizontal="left" vertical="center" shrinkToFit="1"/>
      <protection locked="0"/>
    </xf>
    <xf numFmtId="0" fontId="39" fillId="0" borderId="34" xfId="4" applyNumberFormat="1" applyFont="1" applyFill="1" applyBorder="1" applyAlignment="1" applyProtection="1">
      <alignment horizontal="left" vertical="center" shrinkToFit="1"/>
      <protection locked="0"/>
    </xf>
    <xf numFmtId="0" fontId="39" fillId="0" borderId="42" xfId="4" applyNumberFormat="1" applyFont="1" applyFill="1" applyBorder="1" applyAlignment="1" applyProtection="1">
      <alignment horizontal="left" vertical="center" shrinkToFit="1"/>
      <protection locked="0"/>
    </xf>
    <xf numFmtId="0" fontId="39" fillId="0" borderId="40" xfId="4" applyNumberFormat="1" applyFont="1" applyFill="1" applyBorder="1" applyAlignment="1" applyProtection="1">
      <alignment horizontal="left" vertical="center" shrinkToFit="1"/>
      <protection locked="0"/>
    </xf>
    <xf numFmtId="0" fontId="39" fillId="0" borderId="43" xfId="4" applyNumberFormat="1" applyFont="1" applyFill="1" applyBorder="1" applyAlignment="1" applyProtection="1">
      <alignment horizontal="left" vertical="center" shrinkToFit="1"/>
      <protection locked="0"/>
    </xf>
    <xf numFmtId="0" fontId="34" fillId="7" borderId="49" xfId="4" applyNumberFormat="1" applyFont="1" applyFill="1" applyBorder="1" applyAlignment="1" applyProtection="1">
      <alignment horizontal="center" vertical="center" wrapText="1"/>
    </xf>
    <xf numFmtId="0" fontId="34" fillId="7" borderId="50" xfId="4" applyNumberFormat="1" applyFont="1" applyFill="1" applyBorder="1" applyAlignment="1" applyProtection="1">
      <alignment horizontal="center" vertical="center" wrapText="1"/>
    </xf>
    <xf numFmtId="0" fontId="34" fillId="7" borderId="51" xfId="4" applyNumberFormat="1" applyFont="1" applyFill="1" applyBorder="1" applyAlignment="1" applyProtection="1">
      <alignment horizontal="center" vertical="center" wrapText="1"/>
    </xf>
    <xf numFmtId="0" fontId="34" fillId="7" borderId="35" xfId="4" applyNumberFormat="1" applyFont="1" applyFill="1" applyBorder="1" applyAlignment="1" applyProtection="1">
      <alignment horizontal="center" vertical="center" wrapText="1"/>
    </xf>
    <xf numFmtId="0" fontId="34" fillId="7" borderId="36" xfId="4" applyNumberFormat="1" applyFont="1" applyFill="1" applyBorder="1" applyAlignment="1" applyProtection="1">
      <alignment horizontal="center" vertical="center" wrapText="1"/>
    </xf>
    <xf numFmtId="0" fontId="34" fillId="7" borderId="54" xfId="4" applyNumberFormat="1" applyFont="1" applyFill="1" applyBorder="1" applyAlignment="1" applyProtection="1">
      <alignment horizontal="center" vertical="center" wrapText="1"/>
    </xf>
    <xf numFmtId="49" fontId="30" fillId="0" borderId="192" xfId="4" applyNumberFormat="1" applyFont="1" applyFill="1" applyBorder="1" applyAlignment="1" applyProtection="1">
      <alignment horizontal="center" vertical="center" shrinkToFit="1"/>
      <protection locked="0"/>
    </xf>
    <xf numFmtId="49" fontId="30" fillId="0" borderId="200" xfId="4" applyNumberFormat="1" applyFont="1" applyFill="1" applyBorder="1" applyAlignment="1" applyProtection="1">
      <alignment horizontal="center" vertical="center" shrinkToFit="1"/>
      <protection locked="0"/>
    </xf>
    <xf numFmtId="49" fontId="30" fillId="0" borderId="202" xfId="4" applyNumberFormat="1" applyFont="1" applyFill="1" applyBorder="1" applyAlignment="1" applyProtection="1">
      <alignment horizontal="center" vertical="center" shrinkToFit="1"/>
      <protection locked="0"/>
    </xf>
    <xf numFmtId="0" fontId="34" fillId="7" borderId="6" xfId="4" applyNumberFormat="1" applyFont="1" applyFill="1" applyBorder="1" applyAlignment="1" applyProtection="1">
      <alignment horizontal="center" vertical="center" shrinkToFit="1"/>
    </xf>
    <xf numFmtId="0" fontId="39" fillId="0" borderId="52" xfId="4" applyNumberFormat="1" applyFont="1" applyFill="1" applyBorder="1" applyAlignment="1" applyProtection="1">
      <alignment horizontal="center" vertical="center" shrinkToFit="1"/>
      <protection locked="0"/>
    </xf>
    <xf numFmtId="0" fontId="39" fillId="0" borderId="50" xfId="4" applyNumberFormat="1" applyFont="1" applyFill="1" applyBorder="1" applyAlignment="1" applyProtection="1">
      <alignment horizontal="center" vertical="center" shrinkToFit="1"/>
      <protection locked="0"/>
    </xf>
    <xf numFmtId="0" fontId="39" fillId="0" borderId="304" xfId="4" applyNumberFormat="1" applyFont="1" applyFill="1" applyBorder="1" applyAlignment="1" applyProtection="1">
      <alignment horizontal="center" vertical="center" shrinkToFit="1"/>
      <protection locked="0"/>
    </xf>
    <xf numFmtId="0" fontId="39" fillId="0" borderId="8" xfId="4" applyNumberFormat="1" applyFont="1" applyFill="1" applyBorder="1" applyAlignment="1" applyProtection="1">
      <alignment horizontal="center" vertical="center" shrinkToFit="1"/>
      <protection locked="0"/>
    </xf>
    <xf numFmtId="0" fontId="39" fillId="0" borderId="0" xfId="4" applyNumberFormat="1" applyFont="1" applyFill="1" applyBorder="1" applyAlignment="1" applyProtection="1">
      <alignment horizontal="center" vertical="center" shrinkToFit="1"/>
      <protection locked="0"/>
    </xf>
    <xf numFmtId="0" fontId="39" fillId="0" borderId="88" xfId="4" applyNumberFormat="1" applyFont="1" applyFill="1" applyBorder="1" applyAlignment="1" applyProtection="1">
      <alignment horizontal="center" vertical="center" shrinkToFit="1"/>
      <protection locked="0"/>
    </xf>
    <xf numFmtId="0" fontId="39" fillId="0" borderId="5" xfId="4" applyNumberFormat="1" applyFont="1" applyFill="1" applyBorder="1" applyAlignment="1" applyProtection="1">
      <alignment horizontal="center" vertical="center" shrinkToFit="1"/>
      <protection locked="0"/>
    </xf>
    <xf numFmtId="0" fontId="39" fillId="0" borderId="36" xfId="4" applyNumberFormat="1" applyFont="1" applyFill="1" applyBorder="1" applyAlignment="1" applyProtection="1">
      <alignment horizontal="center" vertical="center" shrinkToFit="1"/>
      <protection locked="0"/>
    </xf>
    <xf numFmtId="0" fontId="39" fillId="0" borderId="92" xfId="4" applyNumberFormat="1" applyFont="1" applyFill="1" applyBorder="1" applyAlignment="1" applyProtection="1">
      <alignment horizontal="center" vertical="center" shrinkToFit="1"/>
      <protection locked="0"/>
    </xf>
    <xf numFmtId="0" fontId="39" fillId="0" borderId="51" xfId="4" applyNumberFormat="1" applyFont="1" applyFill="1" applyBorder="1" applyAlignment="1" applyProtection="1">
      <alignment horizontal="center" vertical="center" shrinkToFit="1"/>
      <protection locked="0"/>
    </xf>
    <xf numFmtId="0" fontId="39" fillId="0" borderId="38" xfId="4" applyNumberFormat="1" applyFont="1" applyFill="1" applyBorder="1" applyAlignment="1" applyProtection="1">
      <alignment horizontal="center" vertical="center" shrinkToFit="1"/>
      <protection locked="0"/>
    </xf>
    <xf numFmtId="0" fontId="39" fillId="0" borderId="54" xfId="4" applyNumberFormat="1" applyFont="1" applyFill="1" applyBorder="1" applyAlignment="1" applyProtection="1">
      <alignment horizontal="center" vertical="center" shrinkToFit="1"/>
      <protection locked="0"/>
    </xf>
    <xf numFmtId="0" fontId="40" fillId="0" borderId="6" xfId="10" quotePrefix="1" applyNumberFormat="1" applyFont="1" applyFill="1" applyBorder="1" applyAlignment="1" applyProtection="1">
      <alignment horizontal="center" vertical="center" shrinkToFit="1"/>
      <protection locked="0"/>
    </xf>
    <xf numFmtId="0" fontId="30" fillId="0" borderId="6" xfId="4" applyNumberFormat="1" applyFont="1" applyFill="1" applyBorder="1" applyAlignment="1" applyProtection="1">
      <alignment horizontal="center" vertical="center" shrinkToFit="1"/>
      <protection locked="0"/>
    </xf>
    <xf numFmtId="0" fontId="30" fillId="0" borderId="84" xfId="4" applyNumberFormat="1" applyFont="1" applyFill="1" applyBorder="1" applyAlignment="1" applyProtection="1">
      <alignment horizontal="center" vertical="center" shrinkToFit="1"/>
      <protection locked="0"/>
    </xf>
    <xf numFmtId="0" fontId="34" fillId="7" borderId="55" xfId="4" applyNumberFormat="1" applyFont="1" applyFill="1" applyBorder="1" applyAlignment="1" applyProtection="1">
      <alignment horizontal="center" vertical="center"/>
    </xf>
    <xf numFmtId="0" fontId="34" fillId="7" borderId="56" xfId="4" applyNumberFormat="1" applyFont="1" applyFill="1" applyBorder="1" applyAlignment="1" applyProtection="1">
      <alignment horizontal="center" vertical="center"/>
    </xf>
    <xf numFmtId="0" fontId="34" fillId="7" borderId="57" xfId="4" applyNumberFormat="1" applyFont="1" applyFill="1" applyBorder="1" applyAlignment="1" applyProtection="1">
      <alignment horizontal="center" vertical="center"/>
    </xf>
    <xf numFmtId="0" fontId="34" fillId="7" borderId="11" xfId="4" applyNumberFormat="1" applyFont="1" applyFill="1" applyBorder="1" applyAlignment="1" applyProtection="1">
      <alignment horizontal="center" vertical="center" shrinkToFit="1"/>
    </xf>
    <xf numFmtId="0" fontId="30" fillId="0" borderId="11" xfId="4" applyNumberFormat="1" applyFont="1" applyFill="1" applyBorder="1" applyAlignment="1" applyProtection="1">
      <alignment horizontal="center" vertical="center" shrinkToFit="1"/>
      <protection locked="0"/>
    </xf>
    <xf numFmtId="0" fontId="30" fillId="0" borderId="85" xfId="4" applyNumberFormat="1" applyFont="1" applyFill="1" applyBorder="1" applyAlignment="1" applyProtection="1">
      <alignment horizontal="center" vertical="center" shrinkToFit="1"/>
      <protection locked="0"/>
    </xf>
    <xf numFmtId="0" fontId="29" fillId="0" borderId="60" xfId="4" applyNumberFormat="1" applyFont="1" applyFill="1" applyBorder="1" applyAlignment="1" applyProtection="1">
      <alignment vertical="center" shrinkToFit="1"/>
      <protection locked="0"/>
    </xf>
    <xf numFmtId="0" fontId="29" fillId="0" borderId="56" xfId="4" applyNumberFormat="1" applyFont="1" applyFill="1" applyBorder="1" applyAlignment="1" applyProtection="1">
      <alignment vertical="center" shrinkToFit="1"/>
      <protection locked="0"/>
    </xf>
    <xf numFmtId="0" fontId="29" fillId="0" borderId="57" xfId="4" applyNumberFormat="1" applyFont="1" applyFill="1" applyBorder="1" applyAlignment="1" applyProtection="1">
      <alignment vertical="center" shrinkToFit="1"/>
      <protection locked="0"/>
    </xf>
    <xf numFmtId="0" fontId="34" fillId="7" borderId="49" xfId="4" applyNumberFormat="1" applyFont="1" applyFill="1" applyBorder="1" applyAlignment="1" applyProtection="1">
      <alignment horizontal="center" vertical="center"/>
    </xf>
    <xf numFmtId="0" fontId="34" fillId="7" borderId="50" xfId="4" applyNumberFormat="1" applyFont="1" applyFill="1" applyBorder="1" applyAlignment="1" applyProtection="1">
      <alignment horizontal="center" vertical="center"/>
    </xf>
    <xf numFmtId="0" fontId="34" fillId="7" borderId="51" xfId="4" applyNumberFormat="1" applyFont="1" applyFill="1" applyBorder="1" applyAlignment="1" applyProtection="1">
      <alignment horizontal="center" vertical="center"/>
    </xf>
    <xf numFmtId="0" fontId="34" fillId="7" borderId="35" xfId="4" applyNumberFormat="1" applyFont="1" applyFill="1" applyBorder="1" applyAlignment="1" applyProtection="1">
      <alignment horizontal="center" vertical="center"/>
    </xf>
    <xf numFmtId="0" fontId="34" fillId="7" borderId="36" xfId="4" applyNumberFormat="1" applyFont="1" applyFill="1" applyBorder="1" applyAlignment="1" applyProtection="1">
      <alignment horizontal="center" vertical="center"/>
    </xf>
    <xf numFmtId="0" fontId="34" fillId="7" borderId="54" xfId="4" applyNumberFormat="1" applyFont="1" applyFill="1" applyBorder="1" applyAlignment="1" applyProtection="1">
      <alignment horizontal="center" vertical="center"/>
    </xf>
    <xf numFmtId="0" fontId="39" fillId="0" borderId="8" xfId="4" applyNumberFormat="1" applyFont="1" applyFill="1" applyBorder="1" applyAlignment="1" applyProtection="1">
      <alignment vertical="center" shrinkToFit="1"/>
      <protection locked="0"/>
    </xf>
    <xf numFmtId="0" fontId="39" fillId="0" borderId="0" xfId="4" applyNumberFormat="1" applyFont="1" applyFill="1" applyBorder="1" applyAlignment="1" applyProtection="1">
      <alignment vertical="center" shrinkToFit="1"/>
      <protection locked="0"/>
    </xf>
    <xf numFmtId="0" fontId="39" fillId="0" borderId="38" xfId="4" applyNumberFormat="1" applyFont="1" applyFill="1" applyBorder="1" applyAlignment="1" applyProtection="1">
      <alignment vertical="center" shrinkToFit="1"/>
      <protection locked="0"/>
    </xf>
    <xf numFmtId="0" fontId="39" fillId="0" borderId="5" xfId="4" applyNumberFormat="1" applyFont="1" applyFill="1" applyBorder="1" applyAlignment="1" applyProtection="1">
      <alignment vertical="center" shrinkToFit="1"/>
      <protection locked="0"/>
    </xf>
    <xf numFmtId="0" fontId="39" fillId="0" borderId="36" xfId="4" applyNumberFormat="1" applyFont="1" applyFill="1" applyBorder="1" applyAlignment="1" applyProtection="1">
      <alignment vertical="center" shrinkToFit="1"/>
      <protection locked="0"/>
    </xf>
    <xf numFmtId="0" fontId="39" fillId="0" borderId="54" xfId="4" applyNumberFormat="1" applyFont="1" applyFill="1" applyBorder="1" applyAlignment="1" applyProtection="1">
      <alignment vertical="center" shrinkToFit="1"/>
      <protection locked="0"/>
    </xf>
    <xf numFmtId="0" fontId="29" fillId="0" borderId="60" xfId="4" applyNumberFormat="1" applyFont="1" applyFill="1" applyBorder="1" applyAlignment="1" applyProtection="1">
      <alignment horizontal="center" vertical="center" shrinkToFit="1"/>
      <protection locked="0"/>
    </xf>
    <xf numFmtId="0" fontId="29" fillId="0" borderId="56" xfId="4" applyNumberFormat="1" applyFont="1" applyFill="1" applyBorder="1" applyAlignment="1" applyProtection="1">
      <alignment horizontal="center" vertical="center" shrinkToFit="1"/>
      <protection locked="0"/>
    </xf>
    <xf numFmtId="0" fontId="29" fillId="0" borderId="213" xfId="4" applyNumberFormat="1" applyFont="1" applyFill="1" applyBorder="1" applyAlignment="1" applyProtection="1">
      <alignment horizontal="center" vertical="center" shrinkToFit="1"/>
      <protection locked="0"/>
    </xf>
    <xf numFmtId="0" fontId="29" fillId="0" borderId="57" xfId="4" applyNumberFormat="1" applyFont="1" applyFill="1" applyBorder="1" applyAlignment="1" applyProtection="1">
      <alignment horizontal="center" vertical="center" shrinkToFit="1"/>
      <protection locked="0"/>
    </xf>
    <xf numFmtId="0" fontId="34" fillId="0" borderId="0" xfId="4" applyNumberFormat="1" applyFont="1" applyFill="1" applyBorder="1" applyAlignment="1" applyProtection="1">
      <alignment horizontal="left" vertical="center"/>
    </xf>
    <xf numFmtId="0" fontId="34" fillId="0" borderId="40" xfId="4" applyNumberFormat="1" applyFont="1" applyFill="1" applyBorder="1" applyAlignment="1" applyProtection="1">
      <alignment horizontal="left" vertical="center"/>
    </xf>
    <xf numFmtId="0" fontId="34" fillId="7" borderId="44" xfId="4" applyNumberFormat="1" applyFont="1" applyFill="1" applyBorder="1" applyAlignment="1" applyProtection="1">
      <alignment horizontal="center" vertical="center"/>
    </xf>
    <xf numFmtId="0" fontId="34" fillId="7" borderId="45" xfId="4" applyNumberFormat="1" applyFont="1" applyFill="1" applyBorder="1" applyAlignment="1" applyProtection="1">
      <alignment horizontal="center" vertical="center"/>
    </xf>
    <xf numFmtId="0" fontId="34" fillId="7" borderId="46" xfId="4" applyNumberFormat="1" applyFont="1" applyFill="1" applyBorder="1" applyAlignment="1" applyProtection="1">
      <alignment horizontal="center" vertical="center"/>
    </xf>
    <xf numFmtId="0" fontId="34" fillId="7" borderId="82" xfId="4" applyNumberFormat="1" applyFont="1" applyFill="1" applyBorder="1" applyAlignment="1" applyProtection="1">
      <alignment horizontal="center" vertical="center" shrinkToFit="1"/>
    </xf>
    <xf numFmtId="0" fontId="30" fillId="0" borderId="82" xfId="4" applyNumberFormat="1" applyFont="1" applyFill="1" applyBorder="1" applyAlignment="1" applyProtection="1">
      <alignment horizontal="center" vertical="center" shrinkToFit="1"/>
      <protection locked="0"/>
    </xf>
    <xf numFmtId="0" fontId="30" fillId="0" borderId="83" xfId="4" applyNumberFormat="1" applyFont="1" applyFill="1" applyBorder="1" applyAlignment="1" applyProtection="1">
      <alignment horizontal="center" vertical="center" shrinkToFit="1"/>
      <protection locked="0"/>
    </xf>
    <xf numFmtId="0" fontId="34" fillId="7" borderId="33" xfId="4" applyNumberFormat="1" applyFont="1" applyFill="1" applyBorder="1" applyAlignment="1" applyProtection="1">
      <alignment horizontal="center" vertical="center"/>
    </xf>
    <xf numFmtId="0" fontId="34" fillId="7" borderId="0" xfId="4" applyNumberFormat="1" applyFont="1" applyFill="1" applyBorder="1" applyAlignment="1" applyProtection="1">
      <alignment horizontal="center" vertical="center"/>
    </xf>
    <xf numFmtId="0" fontId="34" fillId="7" borderId="38" xfId="4" applyNumberFormat="1" applyFont="1" applyFill="1" applyBorder="1" applyAlignment="1" applyProtection="1">
      <alignment horizontal="center" vertical="center"/>
    </xf>
    <xf numFmtId="0" fontId="29" fillId="0" borderId="47" xfId="4" applyNumberFormat="1" applyFont="1" applyFill="1" applyBorder="1" applyAlignment="1" applyProtection="1">
      <alignment horizontal="center" vertical="center" shrinkToFit="1"/>
      <protection locked="0"/>
    </xf>
    <xf numFmtId="0" fontId="29" fillId="0" borderId="45" xfId="4" applyNumberFormat="1" applyFont="1" applyFill="1" applyBorder="1" applyAlignment="1" applyProtection="1">
      <alignment horizontal="center" vertical="center" shrinkToFit="1"/>
      <protection locked="0"/>
    </xf>
    <xf numFmtId="0" fontId="29" fillId="0" borderId="303" xfId="4" applyNumberFormat="1" applyFont="1" applyFill="1" applyBorder="1" applyAlignment="1" applyProtection="1">
      <alignment horizontal="center" vertical="center" shrinkToFit="1"/>
      <protection locked="0"/>
    </xf>
    <xf numFmtId="0" fontId="29" fillId="0" borderId="46" xfId="4" applyNumberFormat="1" applyFont="1" applyFill="1" applyBorder="1" applyAlignment="1" applyProtection="1">
      <alignment horizontal="center" vertical="center" shrinkToFit="1"/>
      <protection locked="0"/>
    </xf>
    <xf numFmtId="0" fontId="39" fillId="0" borderId="5" xfId="4" applyNumberFormat="1" applyFont="1" applyFill="1" applyBorder="1" applyAlignment="1" applyProtection="1">
      <alignment horizontal="left" vertical="center" shrinkToFit="1"/>
      <protection locked="0"/>
    </xf>
    <xf numFmtId="0" fontId="39" fillId="0" borderId="36" xfId="4" applyNumberFormat="1" applyFont="1" applyFill="1" applyBorder="1" applyAlignment="1" applyProtection="1">
      <alignment horizontal="left" vertical="center" shrinkToFit="1"/>
      <protection locked="0"/>
    </xf>
    <xf numFmtId="0" fontId="39" fillId="0" borderId="37" xfId="4" applyNumberFormat="1" applyFont="1" applyFill="1" applyBorder="1" applyAlignment="1" applyProtection="1">
      <alignment horizontal="left" vertical="center" shrinkToFit="1"/>
      <protection locked="0"/>
    </xf>
    <xf numFmtId="0" fontId="34" fillId="7" borderId="65" xfId="4" applyNumberFormat="1" applyFont="1" applyFill="1" applyBorder="1" applyAlignment="1" applyProtection="1">
      <alignment horizontal="center" vertical="center"/>
    </xf>
    <xf numFmtId="0" fontId="34" fillId="7" borderId="12" xfId="4" applyNumberFormat="1" applyFont="1" applyFill="1" applyBorder="1" applyAlignment="1" applyProtection="1">
      <alignment horizontal="center" vertical="center"/>
    </xf>
    <xf numFmtId="0" fontId="34" fillId="7" borderId="13" xfId="4" applyNumberFormat="1" applyFont="1" applyFill="1" applyBorder="1" applyAlignment="1" applyProtection="1">
      <alignment horizontal="center" vertical="center"/>
    </xf>
    <xf numFmtId="0" fontId="34" fillId="7" borderId="39" xfId="4" applyNumberFormat="1" applyFont="1" applyFill="1" applyBorder="1" applyAlignment="1" applyProtection="1">
      <alignment horizontal="center" vertical="center"/>
    </xf>
    <xf numFmtId="0" fontId="34" fillId="7" borderId="40" xfId="4" applyNumberFormat="1" applyFont="1" applyFill="1" applyBorder="1" applyAlignment="1" applyProtection="1">
      <alignment horizontal="center" vertical="center"/>
    </xf>
    <xf numFmtId="0" fontId="34" fillId="7" borderId="41" xfId="4" applyNumberFormat="1" applyFont="1" applyFill="1" applyBorder="1" applyAlignment="1" applyProtection="1">
      <alignment horizontal="center" vertical="center"/>
    </xf>
    <xf numFmtId="0" fontId="39" fillId="0" borderId="7" xfId="4" applyNumberFormat="1" applyFont="1" applyFill="1" applyBorder="1" applyAlignment="1" applyProtection="1">
      <alignment vertical="center" shrinkToFit="1"/>
      <protection locked="0"/>
    </xf>
    <xf numFmtId="0" fontId="39" fillId="0" borderId="12" xfId="4" applyNumberFormat="1" applyFont="1" applyFill="1" applyBorder="1" applyAlignment="1" applyProtection="1">
      <alignment vertical="center" shrinkToFit="1"/>
      <protection locked="0"/>
    </xf>
    <xf numFmtId="0" fontId="39" fillId="0" borderId="61" xfId="4" applyNumberFormat="1" applyFont="1" applyFill="1" applyBorder="1" applyAlignment="1" applyProtection="1">
      <alignment vertical="center" shrinkToFit="1"/>
      <protection locked="0"/>
    </xf>
    <xf numFmtId="0" fontId="39" fillId="0" borderId="42" xfId="4" applyNumberFormat="1" applyFont="1" applyFill="1" applyBorder="1" applyAlignment="1" applyProtection="1">
      <alignment vertical="center" shrinkToFit="1"/>
      <protection locked="0"/>
    </xf>
    <xf numFmtId="0" fontId="39" fillId="0" borderId="40" xfId="4" applyNumberFormat="1" applyFont="1" applyFill="1" applyBorder="1" applyAlignment="1" applyProtection="1">
      <alignment vertical="center" shrinkToFit="1"/>
      <protection locked="0"/>
    </xf>
    <xf numFmtId="0" fontId="39" fillId="0" borderId="43" xfId="4" applyNumberFormat="1" applyFont="1" applyFill="1" applyBorder="1" applyAlignment="1" applyProtection="1">
      <alignment vertical="center" shrinkToFit="1"/>
      <protection locked="0"/>
    </xf>
    <xf numFmtId="0" fontId="39" fillId="0" borderId="7" xfId="4" applyNumberFormat="1" applyFont="1" applyFill="1" applyBorder="1" applyAlignment="1" applyProtection="1">
      <alignment horizontal="center" vertical="center" shrinkToFit="1"/>
      <protection locked="0"/>
    </xf>
    <xf numFmtId="0" fontId="39" fillId="0" borderId="96" xfId="4" applyNumberFormat="1" applyFont="1" applyFill="1" applyBorder="1" applyAlignment="1" applyProtection="1">
      <alignment horizontal="center" vertical="center" shrinkToFit="1"/>
      <protection locked="0"/>
    </xf>
    <xf numFmtId="0" fontId="39" fillId="0" borderId="97" xfId="4" applyNumberFormat="1" applyFont="1" applyFill="1" applyBorder="1" applyAlignment="1" applyProtection="1">
      <alignment horizontal="center" vertical="center" shrinkToFit="1"/>
      <protection locked="0"/>
    </xf>
    <xf numFmtId="0" fontId="39" fillId="0" borderId="93" xfId="4" applyNumberFormat="1" applyFont="1" applyFill="1" applyBorder="1" applyAlignment="1" applyProtection="1">
      <alignment horizontal="center" vertical="center" shrinkToFit="1"/>
      <protection locked="0"/>
    </xf>
    <xf numFmtId="0" fontId="30" fillId="10" borderId="8" xfId="4" applyNumberFormat="1" applyFont="1" applyFill="1" applyBorder="1" applyAlignment="1" applyProtection="1">
      <alignment horizontal="center" vertical="center" wrapText="1"/>
    </xf>
    <xf numFmtId="0" fontId="30" fillId="10" borderId="0" xfId="4" applyNumberFormat="1" applyFont="1" applyFill="1" applyBorder="1" applyAlignment="1" applyProtection="1">
      <alignment horizontal="center" vertical="center" wrapText="1"/>
    </xf>
    <xf numFmtId="0" fontId="30" fillId="10" borderId="34" xfId="4" applyNumberFormat="1" applyFont="1" applyFill="1" applyBorder="1" applyAlignment="1" applyProtection="1">
      <alignment horizontal="center" vertical="center" wrapText="1"/>
    </xf>
    <xf numFmtId="0" fontId="30" fillId="10" borderId="5" xfId="4" applyNumberFormat="1" applyFont="1" applyFill="1" applyBorder="1" applyAlignment="1" applyProtection="1">
      <alignment horizontal="center" vertical="center" wrapText="1"/>
    </xf>
    <xf numFmtId="0" fontId="30" fillId="10" borderId="36" xfId="4" applyNumberFormat="1" applyFont="1" applyFill="1" applyBorder="1" applyAlignment="1" applyProtection="1">
      <alignment horizontal="center" vertical="center" wrapText="1"/>
    </xf>
    <xf numFmtId="0" fontId="30" fillId="10" borderId="37" xfId="4" applyNumberFormat="1" applyFont="1" applyFill="1" applyBorder="1" applyAlignment="1" applyProtection="1">
      <alignment horizontal="center" vertical="center" wrapText="1"/>
    </xf>
    <xf numFmtId="0" fontId="29" fillId="0" borderId="193" xfId="4" applyNumberFormat="1" applyFont="1" applyFill="1" applyBorder="1" applyAlignment="1" applyProtection="1">
      <alignment horizontal="center" vertical="center"/>
    </xf>
    <xf numFmtId="0" fontId="29" fillId="0" borderId="5" xfId="4" applyNumberFormat="1" applyFont="1" applyFill="1" applyBorder="1" applyAlignment="1" applyProtection="1">
      <alignment horizontal="center" vertical="center"/>
    </xf>
    <xf numFmtId="0" fontId="30" fillId="0" borderId="194" xfId="4" applyNumberFormat="1" applyFont="1" applyFill="1" applyBorder="1" applyAlignment="1" applyProtection="1">
      <alignment horizontal="center" vertical="center"/>
    </xf>
    <xf numFmtId="0" fontId="30" fillId="0" borderId="36" xfId="4" applyNumberFormat="1" applyFont="1" applyFill="1" applyBorder="1" applyAlignment="1" applyProtection="1">
      <alignment horizontal="center" vertical="center"/>
    </xf>
    <xf numFmtId="0" fontId="30" fillId="0" borderId="195" xfId="4" applyNumberFormat="1" applyFont="1" applyFill="1" applyBorder="1" applyAlignment="1" applyProtection="1">
      <alignment horizontal="center" vertical="center"/>
    </xf>
    <xf numFmtId="0" fontId="30" fillId="0" borderId="54" xfId="4" applyNumberFormat="1" applyFont="1" applyFill="1" applyBorder="1" applyAlignment="1" applyProtection="1">
      <alignment horizontal="center" vertical="center"/>
    </xf>
    <xf numFmtId="0" fontId="39" fillId="0" borderId="86" xfId="4" applyNumberFormat="1" applyFont="1" applyFill="1" applyBorder="1" applyAlignment="1" applyProtection="1">
      <alignment horizontal="center" vertical="center" shrinkToFit="1"/>
      <protection locked="0"/>
    </xf>
    <xf numFmtId="0" fontId="39" fillId="0" borderId="87" xfId="4" applyNumberFormat="1" applyFont="1" applyFill="1" applyBorder="1" applyAlignment="1" applyProtection="1">
      <alignment horizontal="center" vertical="center" shrinkToFit="1"/>
      <protection locked="0"/>
    </xf>
    <xf numFmtId="0" fontId="39" fillId="0" borderId="94" xfId="4" applyNumberFormat="1" applyFont="1" applyFill="1" applyBorder="1" applyAlignment="1" applyProtection="1">
      <alignment horizontal="center" vertical="center" shrinkToFit="1"/>
      <protection locked="0"/>
    </xf>
    <xf numFmtId="0" fontId="39" fillId="0" borderId="95" xfId="4" applyNumberFormat="1" applyFont="1" applyFill="1" applyBorder="1" applyAlignment="1" applyProtection="1">
      <alignment horizontal="center" vertical="center" shrinkToFit="1"/>
      <protection locked="0"/>
    </xf>
    <xf numFmtId="0" fontId="30" fillId="8" borderId="7" xfId="4" applyNumberFormat="1" applyFont="1" applyFill="1" applyBorder="1" applyAlignment="1" applyProtection="1">
      <alignment horizontal="center" vertical="center" wrapText="1" shrinkToFit="1"/>
    </xf>
    <xf numFmtId="0" fontId="30" fillId="8" borderId="12" xfId="4" applyNumberFormat="1" applyFont="1" applyFill="1" applyBorder="1" applyAlignment="1" applyProtection="1">
      <alignment horizontal="center" vertical="center" shrinkToFit="1"/>
    </xf>
    <xf numFmtId="0" fontId="30" fillId="8" borderId="61" xfId="4" applyNumberFormat="1" applyFont="1" applyFill="1" applyBorder="1" applyAlignment="1" applyProtection="1">
      <alignment horizontal="center" vertical="center" shrinkToFit="1"/>
    </xf>
    <xf numFmtId="0" fontId="30" fillId="8" borderId="5" xfId="4" applyNumberFormat="1" applyFont="1" applyFill="1" applyBorder="1" applyAlignment="1" applyProtection="1">
      <alignment horizontal="center" vertical="center" shrinkToFit="1"/>
    </xf>
    <xf numFmtId="0" fontId="30" fillId="8" borderId="36" xfId="4" applyNumberFormat="1" applyFont="1" applyFill="1" applyBorder="1" applyAlignment="1" applyProtection="1">
      <alignment horizontal="center" vertical="center" shrinkToFit="1"/>
    </xf>
    <xf numFmtId="0" fontId="30" fillId="8" borderId="37" xfId="4" applyNumberFormat="1" applyFont="1" applyFill="1" applyBorder="1" applyAlignment="1" applyProtection="1">
      <alignment horizontal="center" vertical="center" shrinkToFit="1"/>
    </xf>
    <xf numFmtId="0" fontId="39" fillId="0" borderId="197" xfId="4" applyNumberFormat="1" applyFont="1" applyFill="1" applyBorder="1" applyAlignment="1" applyProtection="1">
      <alignment horizontal="center" vertical="center" shrinkToFit="1"/>
      <protection locked="0"/>
    </xf>
    <xf numFmtId="0" fontId="39" fillId="0" borderId="198" xfId="4" applyNumberFormat="1" applyFont="1" applyFill="1" applyBorder="1" applyAlignment="1" applyProtection="1">
      <alignment horizontal="center" vertical="center" shrinkToFit="1"/>
      <protection locked="0"/>
    </xf>
    <xf numFmtId="0" fontId="39" fillId="0" borderId="203" xfId="4" applyNumberFormat="1" applyFont="1" applyFill="1" applyBorder="1" applyAlignment="1" applyProtection="1">
      <alignment horizontal="center" vertical="center" shrinkToFit="1"/>
      <protection locked="0"/>
    </xf>
    <xf numFmtId="0" fontId="39" fillId="0" borderId="199" xfId="4" applyNumberFormat="1" applyFont="1" applyFill="1" applyBorder="1" applyAlignment="1" applyProtection="1">
      <alignment horizontal="center" vertical="center" shrinkToFit="1"/>
      <protection locked="0"/>
    </xf>
    <xf numFmtId="0" fontId="34" fillId="7" borderId="8" xfId="4" applyNumberFormat="1" applyFont="1" applyFill="1" applyBorder="1" applyAlignment="1" applyProtection="1">
      <alignment horizontal="center" vertical="center"/>
    </xf>
    <xf numFmtId="0" fontId="34" fillId="7" borderId="5" xfId="4" applyNumberFormat="1" applyFont="1" applyFill="1" applyBorder="1" applyAlignment="1" applyProtection="1">
      <alignment horizontal="center" vertical="center"/>
    </xf>
    <xf numFmtId="0" fontId="39" fillId="0" borderId="89" xfId="4" applyNumberFormat="1" applyFont="1" applyFill="1" applyBorder="1" applyAlignment="1" applyProtection="1">
      <alignment horizontal="center" vertical="center" shrinkToFit="1"/>
      <protection locked="0"/>
    </xf>
    <xf numFmtId="0" fontId="39" fillId="0" borderId="90" xfId="4" applyNumberFormat="1" applyFont="1" applyFill="1" applyBorder="1" applyAlignment="1" applyProtection="1">
      <alignment horizontal="center" vertical="center" shrinkToFit="1"/>
      <protection locked="0"/>
    </xf>
    <xf numFmtId="0" fontId="39" fillId="0" borderId="91" xfId="4" applyNumberFormat="1" applyFont="1" applyFill="1" applyBorder="1" applyAlignment="1" applyProtection="1">
      <alignment horizontal="center" vertical="center" shrinkToFit="1"/>
      <protection locked="0"/>
    </xf>
    <xf numFmtId="0" fontId="30" fillId="0" borderId="194" xfId="4" applyNumberFormat="1" applyFont="1" applyFill="1" applyBorder="1" applyAlignment="1" applyProtection="1">
      <alignment horizontal="center" vertical="center" shrinkToFit="1"/>
      <protection locked="0"/>
    </xf>
    <xf numFmtId="0" fontId="30" fillId="0" borderId="36" xfId="4" applyNumberFormat="1" applyFont="1" applyFill="1" applyBorder="1" applyAlignment="1" applyProtection="1">
      <alignment horizontal="center" vertical="center" shrinkToFit="1"/>
      <protection locked="0"/>
    </xf>
    <xf numFmtId="0" fontId="34" fillId="7" borderId="193" xfId="4" applyNumberFormat="1" applyFont="1" applyFill="1" applyBorder="1" applyAlignment="1" applyProtection="1">
      <alignment horizontal="center" vertical="center" wrapText="1" shrinkToFit="1"/>
    </xf>
    <xf numFmtId="0" fontId="34" fillId="7" borderId="194" xfId="4" applyNumberFormat="1" applyFont="1" applyFill="1" applyBorder="1" applyAlignment="1" applyProtection="1">
      <alignment horizontal="center" vertical="center" shrinkToFit="1"/>
    </xf>
    <xf numFmtId="0" fontId="34" fillId="7" borderId="195" xfId="4" applyNumberFormat="1" applyFont="1" applyFill="1" applyBorder="1" applyAlignment="1" applyProtection="1">
      <alignment horizontal="center" vertical="center" shrinkToFit="1"/>
    </xf>
    <xf numFmtId="0" fontId="34" fillId="7" borderId="5" xfId="4" applyNumberFormat="1" applyFont="1" applyFill="1" applyBorder="1" applyAlignment="1" applyProtection="1">
      <alignment horizontal="center" vertical="center" shrinkToFit="1"/>
    </xf>
    <xf numFmtId="0" fontId="34" fillId="7" borderId="36" xfId="4" applyNumberFormat="1" applyFont="1" applyFill="1" applyBorder="1" applyAlignment="1" applyProtection="1">
      <alignment horizontal="center" vertical="center" shrinkToFit="1"/>
    </xf>
    <xf numFmtId="0" fontId="34" fillId="7" borderId="54" xfId="4" applyNumberFormat="1" applyFont="1" applyFill="1" applyBorder="1" applyAlignment="1" applyProtection="1">
      <alignment horizontal="center" vertical="center" shrinkToFit="1"/>
    </xf>
    <xf numFmtId="0" fontId="30" fillId="0" borderId="194" xfId="4" applyNumberFormat="1" applyFont="1" applyFill="1" applyBorder="1" applyAlignment="1" applyProtection="1">
      <alignment horizontal="center" vertical="center" wrapText="1" shrinkToFit="1"/>
    </xf>
    <xf numFmtId="0" fontId="30" fillId="0" borderId="36" xfId="4" applyNumberFormat="1" applyFont="1" applyFill="1" applyBorder="1" applyAlignment="1" applyProtection="1">
      <alignment horizontal="center" vertical="center" wrapText="1" shrinkToFit="1"/>
    </xf>
    <xf numFmtId="0" fontId="30" fillId="0" borderId="194" xfId="4" applyNumberFormat="1" applyFont="1" applyFill="1" applyBorder="1" applyAlignment="1" applyProtection="1">
      <alignment horizontal="center" vertical="center" wrapText="1" shrinkToFit="1"/>
      <protection locked="0"/>
    </xf>
    <xf numFmtId="0" fontId="30" fillId="0" borderId="36" xfId="4" applyNumberFormat="1" applyFont="1" applyFill="1" applyBorder="1" applyAlignment="1" applyProtection="1">
      <alignment horizontal="center" vertical="center" wrapText="1" shrinkToFit="1"/>
      <protection locked="0"/>
    </xf>
    <xf numFmtId="0" fontId="34" fillId="7" borderId="30" xfId="4" applyNumberFormat="1" applyFont="1" applyFill="1" applyBorder="1" applyAlignment="1" applyProtection="1">
      <alignment horizontal="center" vertical="center" wrapText="1"/>
    </xf>
    <xf numFmtId="0" fontId="34" fillId="7" borderId="31" xfId="4" applyNumberFormat="1" applyFont="1" applyFill="1" applyBorder="1" applyAlignment="1" applyProtection="1">
      <alignment horizontal="center" vertical="center" wrapText="1"/>
    </xf>
    <xf numFmtId="0" fontId="34" fillId="7" borderId="62" xfId="4" applyNumberFormat="1" applyFont="1" applyFill="1" applyBorder="1" applyAlignment="1" applyProtection="1">
      <alignment horizontal="center" vertical="center" wrapText="1"/>
    </xf>
    <xf numFmtId="0" fontId="39" fillId="0" borderId="63" xfId="4" applyNumberFormat="1" applyFont="1" applyFill="1" applyBorder="1" applyAlignment="1" applyProtection="1">
      <alignment horizontal="center" vertical="center" shrinkToFit="1"/>
      <protection locked="0"/>
    </xf>
    <xf numFmtId="0" fontId="39" fillId="0" borderId="31" xfId="4" applyNumberFormat="1" applyFont="1" applyFill="1" applyBorder="1" applyAlignment="1" applyProtection="1">
      <alignment horizontal="center" vertical="center" shrinkToFit="1"/>
      <protection locked="0"/>
    </xf>
    <xf numFmtId="0" fontId="39" fillId="0" borderId="62" xfId="4" applyNumberFormat="1" applyFont="1" applyFill="1" applyBorder="1" applyAlignment="1" applyProtection="1">
      <alignment horizontal="center" vertical="center" shrinkToFit="1"/>
      <protection locked="0"/>
    </xf>
    <xf numFmtId="0" fontId="30" fillId="0" borderId="31" xfId="4" applyNumberFormat="1" applyFont="1" applyFill="1" applyBorder="1" applyAlignment="1" applyProtection="1">
      <alignment horizontal="left" vertical="center" wrapText="1"/>
    </xf>
    <xf numFmtId="0" fontId="30" fillId="0" borderId="62" xfId="4" applyNumberFormat="1" applyFont="1" applyFill="1" applyBorder="1" applyAlignment="1" applyProtection="1">
      <alignment horizontal="left" vertical="center" wrapText="1"/>
    </xf>
    <xf numFmtId="0" fontId="39" fillId="0" borderId="82" xfId="4" applyNumberFormat="1" applyFont="1" applyFill="1" applyBorder="1" applyAlignment="1" applyProtection="1">
      <alignment horizontal="center" vertical="center"/>
      <protection locked="0"/>
    </xf>
    <xf numFmtId="0" fontId="39" fillId="0" borderId="6" xfId="4" applyNumberFormat="1" applyFont="1" applyFill="1" applyBorder="1" applyAlignment="1" applyProtection="1">
      <alignment horizontal="center" vertical="center"/>
      <protection locked="0"/>
    </xf>
    <xf numFmtId="0" fontId="30" fillId="0" borderId="32" xfId="4" applyNumberFormat="1" applyFont="1" applyFill="1" applyBorder="1" applyAlignment="1" applyProtection="1">
      <alignment horizontal="left" vertical="center" wrapText="1"/>
    </xf>
    <xf numFmtId="0" fontId="30" fillId="0" borderId="36" xfId="4" applyNumberFormat="1" applyFont="1" applyFill="1" applyBorder="1" applyAlignment="1" applyProtection="1">
      <alignment horizontal="left" vertical="center" wrapText="1"/>
    </xf>
    <xf numFmtId="0" fontId="30" fillId="0" borderId="54" xfId="4" applyNumberFormat="1" applyFont="1" applyFill="1" applyBorder="1" applyAlignment="1" applyProtection="1">
      <alignment horizontal="left" vertical="center" wrapText="1"/>
    </xf>
    <xf numFmtId="0" fontId="30" fillId="0" borderId="37" xfId="4" applyNumberFormat="1" applyFont="1" applyFill="1" applyBorder="1" applyAlignment="1" applyProtection="1">
      <alignment horizontal="left" vertical="center" wrapText="1"/>
    </xf>
    <xf numFmtId="0" fontId="34" fillId="19" borderId="272" xfId="4" applyNumberFormat="1" applyFont="1" applyFill="1" applyBorder="1" applyAlignment="1" applyProtection="1">
      <alignment horizontal="center" vertical="center" shrinkToFit="1"/>
    </xf>
    <xf numFmtId="0" fontId="34" fillId="19" borderId="273" xfId="4" applyNumberFormat="1" applyFont="1" applyFill="1" applyBorder="1" applyAlignment="1" applyProtection="1">
      <alignment horizontal="center" vertical="center" shrinkToFit="1"/>
    </xf>
    <xf numFmtId="0" fontId="34" fillId="19" borderId="275" xfId="4" applyNumberFormat="1" applyFont="1" applyFill="1" applyBorder="1" applyAlignment="1" applyProtection="1">
      <alignment horizontal="center" vertical="center" shrinkToFit="1"/>
    </xf>
    <xf numFmtId="0" fontId="34" fillId="19" borderId="5" xfId="4" applyNumberFormat="1" applyFont="1" applyFill="1" applyBorder="1" applyAlignment="1" applyProtection="1">
      <alignment horizontal="center" vertical="center" shrinkToFit="1"/>
    </xf>
    <xf numFmtId="0" fontId="34" fillId="19" borderId="36" xfId="4" applyNumberFormat="1" applyFont="1" applyFill="1" applyBorder="1" applyAlignment="1" applyProtection="1">
      <alignment horizontal="center" vertical="center" shrinkToFit="1"/>
    </xf>
    <xf numFmtId="0" fontId="34" fillId="19" borderId="54" xfId="4" applyNumberFormat="1" applyFont="1" applyFill="1" applyBorder="1" applyAlignment="1" applyProtection="1">
      <alignment horizontal="center" vertical="center" shrinkToFit="1"/>
    </xf>
    <xf numFmtId="0" fontId="34" fillId="7" borderId="81" xfId="4" applyNumberFormat="1" applyFont="1" applyFill="1" applyBorder="1" applyAlignment="1" applyProtection="1">
      <alignment horizontal="center" vertical="center" wrapText="1"/>
    </xf>
    <xf numFmtId="0" fontId="34" fillId="7" borderId="6" xfId="4" applyNumberFormat="1" applyFont="1" applyFill="1" applyBorder="1" applyAlignment="1" applyProtection="1">
      <alignment horizontal="center" vertical="center" wrapText="1"/>
    </xf>
    <xf numFmtId="0" fontId="30" fillId="0" borderId="194" xfId="4" applyNumberFormat="1" applyFont="1" applyFill="1" applyBorder="1" applyAlignment="1" applyProtection="1">
      <alignment horizontal="left" vertical="center" shrinkToFit="1"/>
    </xf>
    <xf numFmtId="0" fontId="30" fillId="0" borderId="36" xfId="4" applyNumberFormat="1" applyFont="1" applyFill="1" applyBorder="1" applyAlignment="1" applyProtection="1">
      <alignment horizontal="left" vertical="center" shrinkToFit="1"/>
    </xf>
    <xf numFmtId="0" fontId="34" fillId="7" borderId="6" xfId="4" applyNumberFormat="1" applyFont="1" applyFill="1" applyBorder="1" applyAlignment="1" applyProtection="1">
      <alignment horizontal="center" vertical="center" wrapText="1" shrinkToFit="1"/>
    </xf>
    <xf numFmtId="49" fontId="30" fillId="0" borderId="194" xfId="4" applyNumberFormat="1" applyFont="1" applyFill="1" applyBorder="1" applyAlignment="1" applyProtection="1">
      <alignment horizontal="left" vertical="center" shrinkToFit="1"/>
    </xf>
    <xf numFmtId="49" fontId="30" fillId="0" borderId="36" xfId="4" applyNumberFormat="1" applyFont="1" applyFill="1" applyBorder="1" applyAlignment="1" applyProtection="1">
      <alignment horizontal="left" vertical="center" shrinkToFit="1"/>
    </xf>
    <xf numFmtId="49" fontId="30" fillId="0" borderId="196" xfId="4" applyNumberFormat="1" applyFont="1" applyFill="1" applyBorder="1" applyAlignment="1" applyProtection="1">
      <alignment horizontal="left" vertical="center" shrinkToFit="1"/>
    </xf>
    <xf numFmtId="49" fontId="30" fillId="0" borderId="37" xfId="4" applyNumberFormat="1" applyFont="1" applyFill="1" applyBorder="1" applyAlignment="1" applyProtection="1">
      <alignment horizontal="left" vertical="center" shrinkToFit="1"/>
    </xf>
    <xf numFmtId="0" fontId="34" fillId="7" borderId="65" xfId="4" applyNumberFormat="1" applyFont="1" applyFill="1" applyBorder="1" applyAlignment="1" applyProtection="1">
      <alignment horizontal="center" vertical="center" wrapText="1"/>
    </xf>
    <xf numFmtId="0" fontId="34" fillId="7" borderId="12" xfId="4" applyNumberFormat="1" applyFont="1" applyFill="1" applyBorder="1" applyAlignment="1" applyProtection="1">
      <alignment horizontal="center" vertical="center" wrapText="1"/>
    </xf>
    <xf numFmtId="0" fontId="34" fillId="7" borderId="13" xfId="4" applyNumberFormat="1" applyFont="1" applyFill="1" applyBorder="1" applyAlignment="1" applyProtection="1">
      <alignment horizontal="center" vertical="center" wrapText="1"/>
    </xf>
    <xf numFmtId="0" fontId="29" fillId="0" borderId="3" xfId="4" applyNumberFormat="1" applyFont="1" applyFill="1" applyBorder="1" applyAlignment="1" applyProtection="1">
      <alignment horizontal="center" vertical="center" shrinkToFit="1"/>
    </xf>
    <xf numFmtId="0" fontId="29" fillId="0" borderId="1" xfId="4" applyNumberFormat="1" applyFont="1" applyFill="1" applyBorder="1" applyAlignment="1" applyProtection="1">
      <alignment horizontal="center" vertical="center" shrinkToFit="1"/>
    </xf>
    <xf numFmtId="0" fontId="29" fillId="0" borderId="59" xfId="4" applyNumberFormat="1" applyFont="1" applyFill="1" applyBorder="1" applyAlignment="1" applyProtection="1">
      <alignment horizontal="center" vertical="center" shrinkToFit="1"/>
    </xf>
    <xf numFmtId="0" fontId="34" fillId="7" borderId="7" xfId="4" applyNumberFormat="1" applyFont="1" applyFill="1" applyBorder="1" applyAlignment="1" applyProtection="1">
      <alignment horizontal="center" vertical="center" shrinkToFit="1"/>
    </xf>
    <xf numFmtId="0" fontId="34" fillId="7" borderId="147" xfId="4" applyNumberFormat="1" applyFont="1" applyFill="1" applyBorder="1" applyAlignment="1" applyProtection="1">
      <alignment horizontal="center" vertical="center" shrinkToFit="1"/>
    </xf>
    <xf numFmtId="0" fontId="34" fillId="7" borderId="149" xfId="4" applyNumberFormat="1" applyFont="1" applyFill="1" applyBorder="1" applyAlignment="1" applyProtection="1">
      <alignment horizontal="center" vertical="center" shrinkToFit="1"/>
    </xf>
    <xf numFmtId="0" fontId="30" fillId="0" borderId="7" xfId="4" applyNumberFormat="1" applyFont="1" applyFill="1" applyBorder="1" applyAlignment="1" applyProtection="1">
      <alignment horizontal="center" vertical="center" shrinkToFit="1"/>
      <protection locked="0"/>
    </xf>
    <xf numFmtId="0" fontId="30" fillId="0" borderId="147" xfId="4" applyNumberFormat="1" applyFont="1" applyFill="1" applyBorder="1" applyAlignment="1" applyProtection="1">
      <alignment horizontal="center" vertical="center" shrinkToFit="1"/>
      <protection locked="0"/>
    </xf>
    <xf numFmtId="0" fontId="30" fillId="0" borderId="149" xfId="4" applyNumberFormat="1" applyFont="1" applyFill="1" applyBorder="1" applyAlignment="1" applyProtection="1">
      <alignment horizontal="center" vertical="center" shrinkToFit="1"/>
      <protection locked="0"/>
    </xf>
    <xf numFmtId="49" fontId="30" fillId="0" borderId="7" xfId="4" applyNumberFormat="1" applyFont="1" applyFill="1" applyBorder="1" applyAlignment="1" applyProtection="1">
      <alignment horizontal="center" vertical="center" shrinkToFit="1"/>
      <protection locked="0"/>
    </xf>
    <xf numFmtId="49" fontId="30" fillId="0" borderId="147" xfId="4" applyNumberFormat="1" applyFont="1" applyFill="1" applyBorder="1" applyAlignment="1" applyProtection="1">
      <alignment horizontal="center" vertical="center" shrinkToFit="1"/>
      <protection locked="0"/>
    </xf>
    <xf numFmtId="49" fontId="30" fillId="0" borderId="149" xfId="4" applyNumberFormat="1" applyFont="1" applyFill="1" applyBorder="1" applyAlignment="1" applyProtection="1">
      <alignment horizontal="center" vertical="center" shrinkToFit="1"/>
      <protection locked="0"/>
    </xf>
    <xf numFmtId="0" fontId="30" fillId="0" borderId="7" xfId="4" applyNumberFormat="1" applyFont="1" applyFill="1" applyBorder="1" applyAlignment="1" applyProtection="1">
      <alignment horizontal="left" vertical="center"/>
      <protection locked="0"/>
    </xf>
    <xf numFmtId="0" fontId="30" fillId="0" borderId="12" xfId="4" applyNumberFormat="1" applyFont="1" applyFill="1" applyBorder="1" applyAlignment="1" applyProtection="1">
      <alignment horizontal="left" vertical="center"/>
      <protection locked="0"/>
    </xf>
    <xf numFmtId="0" fontId="30" fillId="0" borderId="13" xfId="4" applyNumberFormat="1" applyFont="1" applyFill="1" applyBorder="1" applyAlignment="1" applyProtection="1">
      <alignment horizontal="left" vertical="center"/>
      <protection locked="0"/>
    </xf>
    <xf numFmtId="0" fontId="30" fillId="0" borderId="5" xfId="4" applyNumberFormat="1" applyFont="1" applyFill="1" applyBorder="1" applyAlignment="1" applyProtection="1">
      <alignment horizontal="left" vertical="center"/>
      <protection locked="0"/>
    </xf>
    <xf numFmtId="0" fontId="30" fillId="0" borderId="36" xfId="4" applyNumberFormat="1" applyFont="1" applyFill="1" applyBorder="1" applyAlignment="1" applyProtection="1">
      <alignment horizontal="left" vertical="center"/>
      <protection locked="0"/>
    </xf>
    <xf numFmtId="0" fontId="30" fillId="0" borderId="54" xfId="4" applyNumberFormat="1" applyFont="1" applyFill="1" applyBorder="1" applyAlignment="1" applyProtection="1">
      <alignment horizontal="left" vertical="center"/>
      <protection locked="0"/>
    </xf>
    <xf numFmtId="0" fontId="34" fillId="7" borderId="7" xfId="4" applyNumberFormat="1" applyFont="1" applyFill="1" applyBorder="1" applyAlignment="1" applyProtection="1">
      <alignment horizontal="center" vertical="center" wrapText="1"/>
    </xf>
    <xf numFmtId="0" fontId="34" fillId="7" borderId="5" xfId="4" applyNumberFormat="1" applyFont="1" applyFill="1" applyBorder="1" applyAlignment="1" applyProtection="1">
      <alignment horizontal="center" vertical="center" wrapText="1"/>
    </xf>
    <xf numFmtId="0" fontId="30" fillId="0" borderId="7" xfId="4" applyNumberFormat="1" applyFont="1" applyFill="1" applyBorder="1" applyAlignment="1" applyProtection="1">
      <alignment horizontal="left" vertical="center" wrapText="1" shrinkToFit="1"/>
      <protection locked="0"/>
    </xf>
    <xf numFmtId="0" fontId="30" fillId="0" borderId="12" xfId="4" applyNumberFormat="1" applyFont="1" applyFill="1" applyBorder="1" applyAlignment="1" applyProtection="1">
      <alignment horizontal="left" vertical="center" wrapText="1" shrinkToFit="1"/>
      <protection locked="0"/>
    </xf>
    <xf numFmtId="0" fontId="30" fillId="0" borderId="13" xfId="4" applyNumberFormat="1" applyFont="1" applyFill="1" applyBorder="1" applyAlignment="1" applyProtection="1">
      <alignment horizontal="left" vertical="center" wrapText="1" shrinkToFit="1"/>
      <protection locked="0"/>
    </xf>
    <xf numFmtId="0" fontId="30" fillId="0" borderId="5" xfId="4" applyNumberFormat="1" applyFont="1" applyFill="1" applyBorder="1" applyAlignment="1" applyProtection="1">
      <alignment horizontal="left" vertical="center" wrapText="1" shrinkToFit="1"/>
      <protection locked="0"/>
    </xf>
    <xf numFmtId="0" fontId="30" fillId="0" borderId="36" xfId="4" applyNumberFormat="1" applyFont="1" applyFill="1" applyBorder="1" applyAlignment="1" applyProtection="1">
      <alignment horizontal="left" vertical="center" wrapText="1" shrinkToFit="1"/>
      <protection locked="0"/>
    </xf>
    <xf numFmtId="0" fontId="30" fillId="0" borderId="54" xfId="4" applyNumberFormat="1" applyFont="1" applyFill="1" applyBorder="1" applyAlignment="1" applyProtection="1">
      <alignment horizontal="left" vertical="center" wrapText="1" shrinkToFit="1"/>
      <protection locked="0"/>
    </xf>
    <xf numFmtId="0" fontId="34" fillId="20" borderId="1" xfId="4" applyNumberFormat="1" applyFont="1" applyFill="1" applyBorder="1" applyAlignment="1" applyProtection="1">
      <alignment horizontal="center" vertical="center" shrinkToFit="1"/>
    </xf>
    <xf numFmtId="0" fontId="34" fillId="20" borderId="59" xfId="4" applyNumberFormat="1" applyFont="1" applyFill="1" applyBorder="1" applyAlignment="1" applyProtection="1">
      <alignment horizontal="center" vertical="center" shrinkToFit="1"/>
    </xf>
    <xf numFmtId="0" fontId="30" fillId="21" borderId="36" xfId="4" applyNumberFormat="1" applyFont="1" applyFill="1" applyBorder="1" applyAlignment="1" applyProtection="1">
      <alignment horizontal="left" vertical="center" shrinkToFit="1"/>
      <protection locked="0"/>
    </xf>
    <xf numFmtId="0" fontId="30" fillId="21" borderId="37" xfId="4" applyNumberFormat="1" applyFont="1" applyFill="1" applyBorder="1" applyAlignment="1" applyProtection="1">
      <alignment horizontal="left" vertical="center" shrinkToFit="1"/>
      <protection locked="0"/>
    </xf>
    <xf numFmtId="38" fontId="34" fillId="0" borderId="7" xfId="11" applyFont="1" applyFill="1" applyBorder="1" applyAlignment="1" applyProtection="1">
      <alignment horizontal="right" vertical="center" wrapText="1" shrinkToFit="1"/>
      <protection locked="0"/>
    </xf>
    <xf numFmtId="38" fontId="34" fillId="0" borderId="12" xfId="11" applyFont="1" applyFill="1" applyBorder="1" applyAlignment="1" applyProtection="1">
      <alignment horizontal="right" vertical="center" wrapText="1" shrinkToFit="1"/>
      <protection locked="0"/>
    </xf>
    <xf numFmtId="38" fontId="34" fillId="0" borderId="5" xfId="11" applyFont="1" applyFill="1" applyBorder="1" applyAlignment="1" applyProtection="1">
      <alignment horizontal="right" vertical="center" wrapText="1" shrinkToFit="1"/>
      <protection locked="0"/>
    </xf>
    <xf numFmtId="38" fontId="34" fillId="0" borderId="36" xfId="11" applyFont="1" applyFill="1" applyBorder="1" applyAlignment="1" applyProtection="1">
      <alignment horizontal="right" vertical="center" wrapText="1" shrinkToFit="1"/>
      <protection locked="0"/>
    </xf>
    <xf numFmtId="0" fontId="30" fillId="0" borderId="12" xfId="4" applyNumberFormat="1" applyFont="1" applyFill="1" applyBorder="1" applyAlignment="1" applyProtection="1">
      <alignment horizontal="center" vertical="center" wrapText="1" shrinkToFit="1"/>
    </xf>
    <xf numFmtId="38" fontId="34" fillId="0" borderId="7" xfId="11" applyFont="1" applyFill="1" applyBorder="1" applyAlignment="1" applyProtection="1">
      <alignment horizontal="right" vertical="center" shrinkToFit="1"/>
      <protection locked="0"/>
    </xf>
    <xf numFmtId="38" fontId="34" fillId="0" borderId="12" xfId="11" applyFont="1" applyFill="1" applyBorder="1" applyAlignment="1" applyProtection="1">
      <alignment horizontal="right" vertical="center" shrinkToFit="1"/>
      <protection locked="0"/>
    </xf>
    <xf numFmtId="38" fontId="34" fillId="0" borderId="5" xfId="11" applyFont="1" applyFill="1" applyBorder="1" applyAlignment="1" applyProtection="1">
      <alignment horizontal="right" vertical="center" shrinkToFit="1"/>
      <protection locked="0"/>
    </xf>
    <xf numFmtId="38" fontId="34" fillId="0" borderId="36" xfId="11" applyFont="1" applyFill="1" applyBorder="1" applyAlignment="1" applyProtection="1">
      <alignment horizontal="right" vertical="center" shrinkToFit="1"/>
      <protection locked="0"/>
    </xf>
    <xf numFmtId="178" fontId="34" fillId="0" borderId="12" xfId="4" applyNumberFormat="1" applyFont="1" applyFill="1" applyBorder="1" applyAlignment="1" applyProtection="1">
      <alignment horizontal="center" vertical="center" shrinkToFit="1"/>
    </xf>
    <xf numFmtId="178" fontId="34" fillId="0" borderId="36" xfId="4" applyNumberFormat="1" applyFont="1" applyFill="1" applyBorder="1" applyAlignment="1" applyProtection="1">
      <alignment horizontal="center" vertical="center" shrinkToFit="1"/>
    </xf>
    <xf numFmtId="0" fontId="34" fillId="0" borderId="12" xfId="4" applyNumberFormat="1" applyFont="1" applyFill="1" applyBorder="1" applyAlignment="1" applyProtection="1">
      <alignment horizontal="center" vertical="center" shrinkToFit="1"/>
    </xf>
    <xf numFmtId="0" fontId="34" fillId="0" borderId="36" xfId="4" applyNumberFormat="1" applyFont="1" applyFill="1" applyBorder="1" applyAlignment="1" applyProtection="1">
      <alignment horizontal="center" vertical="center" shrinkToFit="1"/>
    </xf>
    <xf numFmtId="0" fontId="34" fillId="0" borderId="13" xfId="4" applyNumberFormat="1" applyFont="1" applyFill="1" applyBorder="1" applyAlignment="1" applyProtection="1">
      <alignment horizontal="center" vertical="center" shrinkToFit="1"/>
    </xf>
    <xf numFmtId="0" fontId="34" fillId="0" borderId="54" xfId="4" applyNumberFormat="1" applyFont="1" applyFill="1" applyBorder="1" applyAlignment="1" applyProtection="1">
      <alignment horizontal="center" vertical="center" shrinkToFit="1"/>
    </xf>
    <xf numFmtId="0" fontId="30" fillId="0" borderId="61" xfId="4" applyNumberFormat="1" applyFont="1" applyFill="1" applyBorder="1" applyAlignment="1" applyProtection="1">
      <alignment horizontal="center" vertical="center" shrinkToFit="1"/>
    </xf>
    <xf numFmtId="0" fontId="30" fillId="0" borderId="37" xfId="4" applyNumberFormat="1" applyFont="1" applyFill="1" applyBorder="1" applyAlignment="1" applyProtection="1">
      <alignment horizontal="center" vertical="center" shrinkToFit="1"/>
    </xf>
    <xf numFmtId="0" fontId="34" fillId="0" borderId="7" xfId="4" applyNumberFormat="1" applyFont="1" applyFill="1" applyBorder="1" applyAlignment="1" applyProtection="1">
      <alignment horizontal="left" vertical="center" wrapText="1" shrinkToFit="1"/>
      <protection locked="0"/>
    </xf>
    <xf numFmtId="0" fontId="34" fillId="0" borderId="12" xfId="4" applyNumberFormat="1" applyFont="1" applyFill="1" applyBorder="1" applyAlignment="1" applyProtection="1">
      <alignment horizontal="left" vertical="center" wrapText="1" shrinkToFit="1"/>
      <protection locked="0"/>
    </xf>
    <xf numFmtId="0" fontId="34" fillId="0" borderId="61" xfId="4" applyNumberFormat="1" applyFont="1" applyFill="1" applyBorder="1" applyAlignment="1" applyProtection="1">
      <alignment horizontal="left" vertical="center" wrapText="1" shrinkToFit="1"/>
      <protection locked="0"/>
    </xf>
    <xf numFmtId="0" fontId="34" fillId="0" borderId="5" xfId="4" applyNumberFormat="1" applyFont="1" applyFill="1" applyBorder="1" applyAlignment="1" applyProtection="1">
      <alignment horizontal="left" vertical="center" wrapText="1" shrinkToFit="1"/>
      <protection locked="0"/>
    </xf>
    <xf numFmtId="0" fontId="34" fillId="0" borderId="36" xfId="4" applyNumberFormat="1" applyFont="1" applyFill="1" applyBorder="1" applyAlignment="1" applyProtection="1">
      <alignment horizontal="left" vertical="center" wrapText="1" shrinkToFit="1"/>
      <protection locked="0"/>
    </xf>
    <xf numFmtId="0" fontId="34" fillId="0" borderId="37" xfId="4" applyNumberFormat="1" applyFont="1" applyFill="1" applyBorder="1" applyAlignment="1" applyProtection="1">
      <alignment horizontal="left" vertical="center" wrapText="1" shrinkToFit="1"/>
      <protection locked="0"/>
    </xf>
    <xf numFmtId="0" fontId="34" fillId="7" borderId="4" xfId="4" applyNumberFormat="1" applyFont="1" applyFill="1" applyBorder="1" applyAlignment="1" applyProtection="1">
      <alignment horizontal="center" vertical="center" wrapText="1"/>
    </xf>
    <xf numFmtId="0" fontId="34" fillId="7" borderId="200" xfId="4" applyNumberFormat="1" applyFont="1" applyFill="1" applyBorder="1" applyAlignment="1" applyProtection="1">
      <alignment horizontal="center" vertical="center" wrapText="1"/>
    </xf>
    <xf numFmtId="0" fontId="34" fillId="7" borderId="2" xfId="4" applyNumberFormat="1" applyFont="1" applyFill="1" applyBorder="1" applyAlignment="1" applyProtection="1">
      <alignment horizontal="center" vertical="center" wrapText="1"/>
    </xf>
    <xf numFmtId="0" fontId="123" fillId="0" borderId="193" xfId="4" applyNumberFormat="1" applyFont="1" applyFill="1" applyBorder="1" applyAlignment="1" applyProtection="1">
      <alignment horizontal="left" vertical="center"/>
      <protection locked="0"/>
    </xf>
    <xf numFmtId="0" fontId="123" fillId="0" borderId="194" xfId="4" applyNumberFormat="1" applyFont="1" applyFill="1" applyBorder="1" applyAlignment="1" applyProtection="1">
      <alignment horizontal="left" vertical="center"/>
      <protection locked="0"/>
    </xf>
    <xf numFmtId="0" fontId="123" fillId="0" borderId="196" xfId="4" applyNumberFormat="1" applyFont="1" applyFill="1" applyBorder="1" applyAlignment="1" applyProtection="1">
      <alignment horizontal="left" vertical="center"/>
      <protection locked="0"/>
    </xf>
    <xf numFmtId="0" fontId="123" fillId="0" borderId="5" xfId="4" applyNumberFormat="1" applyFont="1" applyFill="1" applyBorder="1" applyAlignment="1" applyProtection="1">
      <alignment horizontal="left" vertical="center"/>
      <protection locked="0"/>
    </xf>
    <xf numFmtId="0" fontId="123" fillId="0" borderId="36" xfId="4" applyNumberFormat="1" applyFont="1" applyFill="1" applyBorder="1" applyAlignment="1" applyProtection="1">
      <alignment horizontal="left" vertical="center"/>
      <protection locked="0"/>
    </xf>
    <xf numFmtId="0" fontId="123" fillId="0" borderId="37" xfId="4" applyNumberFormat="1" applyFont="1" applyFill="1" applyBorder="1" applyAlignment="1" applyProtection="1">
      <alignment horizontal="left" vertical="center"/>
      <protection locked="0"/>
    </xf>
    <xf numFmtId="0" fontId="34" fillId="0" borderId="193" xfId="4" applyNumberFormat="1" applyFont="1" applyFill="1" applyBorder="1" applyAlignment="1" applyProtection="1">
      <alignment horizontal="left" vertical="center" wrapText="1" shrinkToFit="1"/>
      <protection locked="0"/>
    </xf>
    <xf numFmtId="0" fontId="34" fillId="0" borderId="194" xfId="4" applyNumberFormat="1" applyFont="1" applyFill="1" applyBorder="1" applyAlignment="1" applyProtection="1">
      <alignment horizontal="left" vertical="center" wrapText="1" shrinkToFit="1"/>
      <protection locked="0"/>
    </xf>
    <xf numFmtId="0" fontId="34" fillId="0" borderId="195" xfId="4" applyNumberFormat="1" applyFont="1" applyFill="1" applyBorder="1" applyAlignment="1" applyProtection="1">
      <alignment horizontal="left" vertical="center" wrapText="1" shrinkToFit="1"/>
      <protection locked="0"/>
    </xf>
    <xf numFmtId="0" fontId="34" fillId="0" borderId="54" xfId="4" applyNumberFormat="1" applyFont="1" applyFill="1" applyBorder="1" applyAlignment="1" applyProtection="1">
      <alignment horizontal="left" vertical="center" wrapText="1" shrinkToFit="1"/>
      <protection locked="0"/>
    </xf>
    <xf numFmtId="0" fontId="34" fillId="7" borderId="8" xfId="4" applyNumberFormat="1" applyFont="1" applyFill="1" applyBorder="1" applyAlignment="1" applyProtection="1">
      <alignment horizontal="center" vertical="center" shrinkToFit="1"/>
    </xf>
    <xf numFmtId="0" fontId="34" fillId="7" borderId="0" xfId="4" applyNumberFormat="1" applyFont="1" applyFill="1" applyBorder="1" applyAlignment="1" applyProtection="1">
      <alignment horizontal="center" vertical="center" shrinkToFit="1"/>
    </xf>
    <xf numFmtId="0" fontId="34" fillId="7" borderId="38" xfId="4" applyNumberFormat="1" applyFont="1" applyFill="1" applyBorder="1" applyAlignment="1" applyProtection="1">
      <alignment horizontal="center" vertical="center" shrinkToFit="1"/>
    </xf>
    <xf numFmtId="0" fontId="30" fillId="0" borderId="196" xfId="4" applyNumberFormat="1" applyFont="1" applyFill="1" applyBorder="1" applyAlignment="1" applyProtection="1">
      <alignment horizontal="center" vertical="center" wrapText="1" shrinkToFit="1"/>
    </xf>
    <xf numFmtId="0" fontId="30" fillId="0" borderId="37" xfId="4" applyNumberFormat="1" applyFont="1" applyFill="1" applyBorder="1" applyAlignment="1" applyProtection="1">
      <alignment horizontal="center" vertical="center" wrapText="1" shrinkToFit="1"/>
    </xf>
    <xf numFmtId="0" fontId="34" fillId="0" borderId="7" xfId="10" applyNumberFormat="1" applyFont="1" applyFill="1" applyBorder="1" applyAlignment="1" applyProtection="1">
      <alignment horizontal="left" vertical="center" shrinkToFit="1"/>
      <protection locked="0"/>
    </xf>
    <xf numFmtId="0" fontId="34" fillId="0" borderId="12" xfId="10" applyNumberFormat="1" applyFont="1" applyFill="1" applyBorder="1" applyAlignment="1" applyProtection="1">
      <alignment horizontal="left" vertical="center" shrinkToFit="1"/>
      <protection locked="0"/>
    </xf>
    <xf numFmtId="0" fontId="34" fillId="0" borderId="61" xfId="10" applyNumberFormat="1" applyFont="1" applyFill="1" applyBorder="1" applyAlignment="1" applyProtection="1">
      <alignment horizontal="left" vertical="center" shrinkToFit="1"/>
      <protection locked="0"/>
    </xf>
    <xf numFmtId="0" fontId="34" fillId="0" borderId="5" xfId="10" applyNumberFormat="1" applyFont="1" applyFill="1" applyBorder="1" applyAlignment="1" applyProtection="1">
      <alignment horizontal="left" vertical="center" shrinkToFit="1"/>
      <protection locked="0"/>
    </xf>
    <xf numFmtId="0" fontId="34" fillId="0" borderId="36" xfId="10" applyNumberFormat="1" applyFont="1" applyFill="1" applyBorder="1" applyAlignment="1" applyProtection="1">
      <alignment horizontal="left" vertical="center" shrinkToFit="1"/>
      <protection locked="0"/>
    </xf>
    <xf numFmtId="0" fontId="34" fillId="0" borderId="37" xfId="10" applyNumberFormat="1" applyFont="1" applyFill="1" applyBorder="1" applyAlignment="1" applyProtection="1">
      <alignment horizontal="left" vertical="center" shrinkToFit="1"/>
      <protection locked="0"/>
    </xf>
    <xf numFmtId="0" fontId="34" fillId="0" borderId="7" xfId="10" applyNumberFormat="1" applyFont="1" applyFill="1" applyBorder="1" applyAlignment="1" applyProtection="1">
      <alignment horizontal="right" vertical="center" shrinkToFit="1"/>
      <protection locked="0"/>
    </xf>
    <xf numFmtId="0" fontId="34" fillId="0" borderId="12" xfId="10" applyNumberFormat="1" applyFont="1" applyFill="1" applyBorder="1" applyAlignment="1" applyProtection="1">
      <alignment horizontal="right" vertical="center" shrinkToFit="1"/>
      <protection locked="0"/>
    </xf>
    <xf numFmtId="0" fontId="34" fillId="0" borderId="5" xfId="10" applyNumberFormat="1" applyFont="1" applyFill="1" applyBorder="1" applyAlignment="1" applyProtection="1">
      <alignment horizontal="right" vertical="center" shrinkToFit="1"/>
      <protection locked="0"/>
    </xf>
    <xf numFmtId="0" fontId="34" fillId="0" borderId="36" xfId="10" applyNumberFormat="1" applyFont="1" applyFill="1" applyBorder="1" applyAlignment="1" applyProtection="1">
      <alignment horizontal="right" vertical="center" shrinkToFit="1"/>
      <protection locked="0"/>
    </xf>
    <xf numFmtId="0" fontId="34" fillId="0" borderId="12" xfId="10" applyNumberFormat="1" applyFont="1" applyFill="1" applyBorder="1" applyAlignment="1" applyProtection="1">
      <alignment horizontal="center" vertical="center" shrinkToFit="1"/>
    </xf>
    <xf numFmtId="0" fontId="34" fillId="0" borderId="36" xfId="10" applyNumberFormat="1" applyFont="1" applyFill="1" applyBorder="1" applyAlignment="1" applyProtection="1">
      <alignment horizontal="center" vertical="center" shrinkToFit="1"/>
    </xf>
    <xf numFmtId="0" fontId="34" fillId="0" borderId="13" xfId="10" applyNumberFormat="1" applyFont="1" applyFill="1" applyBorder="1" applyAlignment="1" applyProtection="1">
      <alignment horizontal="left" vertical="center" shrinkToFit="1"/>
      <protection locked="0"/>
    </xf>
    <xf numFmtId="0" fontId="34" fillId="0" borderId="54" xfId="10" applyNumberFormat="1" applyFont="1" applyFill="1" applyBorder="1" applyAlignment="1" applyProtection="1">
      <alignment horizontal="left" vertical="center" shrinkToFit="1"/>
      <protection locked="0"/>
    </xf>
    <xf numFmtId="0" fontId="34" fillId="7" borderId="111" xfId="4" applyNumberFormat="1" applyFont="1" applyFill="1" applyBorder="1" applyAlignment="1" applyProtection="1">
      <alignment horizontal="center" vertical="center" wrapText="1"/>
    </xf>
    <xf numFmtId="0" fontId="44" fillId="0" borderId="112" xfId="10" applyNumberFormat="1" applyFont="1" applyFill="1" applyBorder="1" applyAlignment="1" applyProtection="1">
      <alignment horizontal="center" vertical="center" shrinkToFit="1"/>
      <protection locked="0"/>
    </xf>
    <xf numFmtId="0" fontId="30" fillId="0" borderId="112" xfId="10" applyNumberFormat="1" applyFont="1" applyFill="1" applyBorder="1" applyAlignment="1" applyProtection="1">
      <alignment horizontal="center" vertical="center" shrinkToFit="1"/>
      <protection locked="0"/>
    </xf>
    <xf numFmtId="49" fontId="39" fillId="0" borderId="209" xfId="4" applyNumberFormat="1" applyFont="1" applyFill="1" applyBorder="1" applyAlignment="1" applyProtection="1">
      <alignment horizontal="left" shrinkToFit="1"/>
      <protection locked="0"/>
    </xf>
    <xf numFmtId="49" fontId="39" fillId="0" borderId="94" xfId="4" applyNumberFormat="1" applyFont="1" applyFill="1" applyBorder="1" applyAlignment="1" applyProtection="1">
      <alignment horizontal="left" shrinkToFit="1"/>
      <protection locked="0"/>
    </xf>
    <xf numFmtId="0" fontId="39" fillId="0" borderId="209" xfId="4" applyNumberFormat="1" applyFont="1" applyFill="1" applyBorder="1" applyAlignment="1" applyProtection="1">
      <alignment horizontal="left" shrinkToFit="1"/>
      <protection locked="0"/>
    </xf>
    <xf numFmtId="0" fontId="39" fillId="0" borderId="210" xfId="4" applyNumberFormat="1" applyFont="1" applyFill="1" applyBorder="1" applyAlignment="1" applyProtection="1">
      <alignment horizontal="left" shrinkToFit="1"/>
      <protection locked="0"/>
    </xf>
    <xf numFmtId="0" fontId="39" fillId="0" borderId="94" xfId="4" applyNumberFormat="1" applyFont="1" applyFill="1" applyBorder="1" applyAlignment="1" applyProtection="1">
      <alignment horizontal="left" shrinkToFit="1"/>
      <protection locked="0"/>
    </xf>
    <xf numFmtId="0" fontId="39" fillId="0" borderId="206" xfId="4" applyNumberFormat="1" applyFont="1" applyFill="1" applyBorder="1" applyAlignment="1" applyProtection="1">
      <alignment horizontal="left" shrinkToFit="1"/>
      <protection locked="0"/>
    </xf>
    <xf numFmtId="49" fontId="30" fillId="0" borderId="56" xfId="4" applyNumberFormat="1" applyFont="1" applyFill="1" applyBorder="1" applyAlignment="1" applyProtection="1">
      <alignment horizontal="left" vertical="center" shrinkToFit="1"/>
      <protection locked="0"/>
    </xf>
    <xf numFmtId="49" fontId="30" fillId="0" borderId="213" xfId="4" applyNumberFormat="1" applyFont="1" applyFill="1" applyBorder="1" applyAlignment="1" applyProtection="1">
      <alignment horizontal="left" vertical="center" shrinkToFit="1"/>
      <protection locked="0"/>
    </xf>
    <xf numFmtId="49" fontId="30" fillId="0" borderId="56" xfId="4" applyNumberFormat="1" applyFont="1" applyFill="1" applyBorder="1" applyAlignment="1" applyProtection="1">
      <alignment horizontal="left" vertical="center" indent="1" shrinkToFit="1"/>
      <protection locked="0"/>
    </xf>
    <xf numFmtId="49" fontId="30" fillId="0" borderId="64" xfId="4" applyNumberFormat="1" applyFont="1" applyFill="1" applyBorder="1" applyAlignment="1" applyProtection="1">
      <alignment horizontal="left" vertical="center" indent="1" shrinkToFit="1"/>
      <protection locked="0"/>
    </xf>
    <xf numFmtId="0" fontId="34" fillId="7" borderId="193" xfId="4" applyNumberFormat="1" applyFont="1" applyFill="1" applyBorder="1" applyAlignment="1" applyProtection="1">
      <alignment horizontal="center" vertical="center" wrapText="1"/>
    </xf>
    <xf numFmtId="0" fontId="123" fillId="0" borderId="8" xfId="4" applyNumberFormat="1" applyFont="1" applyFill="1" applyBorder="1" applyAlignment="1" applyProtection="1">
      <alignment horizontal="left" vertical="center" shrinkToFit="1"/>
      <protection locked="0"/>
    </xf>
    <xf numFmtId="0" fontId="123" fillId="0" borderId="0" xfId="4" applyNumberFormat="1" applyFont="1" applyFill="1" applyBorder="1" applyAlignment="1" applyProtection="1">
      <alignment horizontal="left" vertical="center" shrinkToFit="1"/>
      <protection locked="0"/>
    </xf>
    <xf numFmtId="0" fontId="123" fillId="0" borderId="34" xfId="4" applyNumberFormat="1" applyFont="1" applyFill="1" applyBorder="1" applyAlignment="1" applyProtection="1">
      <alignment horizontal="left" vertical="center" shrinkToFit="1"/>
      <protection locked="0"/>
    </xf>
    <xf numFmtId="0" fontId="123" fillId="0" borderId="5" xfId="4" applyNumberFormat="1" applyFont="1" applyFill="1" applyBorder="1" applyAlignment="1" applyProtection="1">
      <alignment horizontal="left" vertical="center" shrinkToFit="1"/>
      <protection locked="0"/>
    </xf>
    <xf numFmtId="0" fontId="123" fillId="0" borderId="36" xfId="4" applyNumberFormat="1" applyFont="1" applyFill="1" applyBorder="1" applyAlignment="1" applyProtection="1">
      <alignment horizontal="left" vertical="center" shrinkToFit="1"/>
      <protection locked="0"/>
    </xf>
    <xf numFmtId="0" fontId="123" fillId="0" borderId="37" xfId="4" applyNumberFormat="1" applyFont="1" applyFill="1" applyBorder="1" applyAlignment="1" applyProtection="1">
      <alignment horizontal="left" vertical="center" shrinkToFit="1"/>
      <protection locked="0"/>
    </xf>
    <xf numFmtId="0" fontId="34" fillId="7" borderId="4" xfId="4" applyNumberFormat="1" applyFont="1" applyFill="1" applyBorder="1" applyAlignment="1" applyProtection="1">
      <alignment horizontal="center" vertical="center"/>
    </xf>
    <xf numFmtId="0" fontId="34" fillId="7" borderId="1" xfId="4" applyNumberFormat="1" applyFont="1" applyFill="1" applyBorder="1" applyAlignment="1" applyProtection="1">
      <alignment horizontal="center" vertical="center"/>
    </xf>
    <xf numFmtId="0" fontId="34" fillId="7" borderId="2" xfId="4" applyNumberFormat="1" applyFont="1" applyFill="1" applyBorder="1" applyAlignment="1" applyProtection="1">
      <alignment horizontal="center" vertical="center"/>
    </xf>
    <xf numFmtId="49" fontId="30" fillId="0" borderId="2" xfId="4" applyNumberFormat="1" applyFont="1" applyFill="1" applyBorder="1" applyAlignment="1" applyProtection="1">
      <alignment horizontal="center" vertical="center" shrinkToFit="1"/>
      <protection locked="0"/>
    </xf>
    <xf numFmtId="0" fontId="34" fillId="7" borderId="52" xfId="4" applyNumberFormat="1" applyFont="1" applyFill="1" applyBorder="1" applyAlignment="1" applyProtection="1">
      <alignment horizontal="center" vertical="center"/>
    </xf>
    <xf numFmtId="49" fontId="30" fillId="0" borderId="243" xfId="4" applyNumberFormat="1" applyFont="1" applyFill="1" applyBorder="1" applyAlignment="1" applyProtection="1">
      <alignment horizontal="center" vertical="center" shrinkToFit="1"/>
      <protection locked="0"/>
    </xf>
    <xf numFmtId="49" fontId="30" fillId="0" borderId="243" xfId="4" quotePrefix="1" applyNumberFormat="1" applyFont="1" applyFill="1" applyBorder="1" applyAlignment="1" applyProtection="1">
      <alignment horizontal="center" vertical="center" shrinkToFit="1"/>
      <protection locked="0"/>
    </xf>
    <xf numFmtId="0" fontId="39" fillId="0" borderId="52" xfId="4" applyNumberFormat="1" applyFont="1" applyFill="1" applyBorder="1" applyAlignment="1" applyProtection="1">
      <alignment horizontal="center" shrinkToFit="1"/>
      <protection locked="0"/>
    </xf>
    <xf numFmtId="0" fontId="39" fillId="0" borderId="50" xfId="4" applyNumberFormat="1" applyFont="1" applyFill="1" applyBorder="1" applyAlignment="1" applyProtection="1">
      <alignment horizontal="center" shrinkToFit="1"/>
      <protection locked="0"/>
    </xf>
    <xf numFmtId="0" fontId="39" fillId="0" borderId="5" xfId="4" applyNumberFormat="1" applyFont="1" applyFill="1" applyBorder="1" applyAlignment="1" applyProtection="1">
      <alignment horizontal="center" shrinkToFit="1"/>
      <protection locked="0"/>
    </xf>
    <xf numFmtId="0" fontId="39" fillId="0" borderId="36" xfId="4" applyNumberFormat="1" applyFont="1" applyFill="1" applyBorder="1" applyAlignment="1" applyProtection="1">
      <alignment horizontal="center" shrinkToFit="1"/>
      <protection locked="0"/>
    </xf>
    <xf numFmtId="0" fontId="34" fillId="0" borderId="1" xfId="4" applyNumberFormat="1" applyFont="1" applyFill="1" applyBorder="1" applyAlignment="1" applyProtection="1">
      <alignment horizontal="left" vertical="center" shrinkToFit="1"/>
    </xf>
    <xf numFmtId="0" fontId="34" fillId="0" borderId="59" xfId="4" applyNumberFormat="1" applyFont="1" applyFill="1" applyBorder="1" applyAlignment="1" applyProtection="1">
      <alignment horizontal="left" vertical="center" shrinkToFit="1"/>
    </xf>
    <xf numFmtId="0" fontId="34" fillId="7" borderId="60" xfId="4" applyNumberFormat="1" applyFont="1" applyFill="1" applyBorder="1" applyAlignment="1" applyProtection="1">
      <alignment horizontal="center" vertical="center"/>
    </xf>
    <xf numFmtId="0" fontId="30" fillId="0" borderId="213" xfId="4" applyNumberFormat="1" applyFont="1" applyFill="1" applyBorder="1" applyAlignment="1" applyProtection="1">
      <alignment horizontal="center" vertical="center" shrinkToFit="1"/>
    </xf>
    <xf numFmtId="0" fontId="34" fillId="60" borderId="60" xfId="4" applyNumberFormat="1" applyFont="1" applyFill="1" applyBorder="1" applyAlignment="1" applyProtection="1">
      <alignment horizontal="left" vertical="center" shrinkToFit="1"/>
      <protection locked="0"/>
    </xf>
    <xf numFmtId="0" fontId="34" fillId="60" borderId="56" xfId="4" applyNumberFormat="1" applyFont="1" applyFill="1" applyBorder="1" applyAlignment="1" applyProtection="1">
      <alignment horizontal="left" vertical="center" shrinkToFit="1"/>
      <protection locked="0"/>
    </xf>
    <xf numFmtId="0" fontId="34" fillId="60" borderId="57" xfId="4" applyNumberFormat="1" applyFont="1" applyFill="1" applyBorder="1" applyAlignment="1" applyProtection="1">
      <alignment horizontal="left" vertical="center" shrinkToFit="1"/>
      <protection locked="0"/>
    </xf>
    <xf numFmtId="0" fontId="34" fillId="7" borderId="56" xfId="4" applyNumberFormat="1" applyFont="1" applyFill="1" applyBorder="1" applyAlignment="1" applyProtection="1">
      <alignment horizontal="center" vertical="center" shrinkToFit="1"/>
    </xf>
    <xf numFmtId="0" fontId="34" fillId="7" borderId="64" xfId="4" applyNumberFormat="1" applyFont="1" applyFill="1" applyBorder="1" applyAlignment="1" applyProtection="1">
      <alignment horizontal="center" vertical="center" shrinkToFit="1"/>
    </xf>
    <xf numFmtId="0" fontId="39" fillId="0" borderId="52" xfId="4" applyNumberFormat="1" applyFont="1" applyFill="1" applyBorder="1" applyAlignment="1" applyProtection="1">
      <alignment horizontal="left" vertical="center" shrinkToFit="1"/>
      <protection locked="0"/>
    </xf>
    <xf numFmtId="0" fontId="39" fillId="0" borderId="50" xfId="4" applyNumberFormat="1" applyFont="1" applyFill="1" applyBorder="1" applyAlignment="1" applyProtection="1">
      <alignment horizontal="left" vertical="center" shrinkToFit="1"/>
      <protection locked="0"/>
    </xf>
    <xf numFmtId="0" fontId="39" fillId="0" borderId="51" xfId="4" applyNumberFormat="1" applyFont="1" applyFill="1" applyBorder="1" applyAlignment="1" applyProtection="1">
      <alignment horizontal="left" vertical="center" shrinkToFit="1"/>
      <protection locked="0"/>
    </xf>
    <xf numFmtId="0" fontId="39" fillId="0" borderId="54" xfId="4" applyNumberFormat="1" applyFont="1" applyFill="1" applyBorder="1" applyAlignment="1" applyProtection="1">
      <alignment horizontal="left" vertical="center" shrinkToFit="1"/>
      <protection locked="0"/>
    </xf>
    <xf numFmtId="0" fontId="39" fillId="0" borderId="53" xfId="4" applyNumberFormat="1" applyFont="1" applyFill="1" applyBorder="1" applyAlignment="1" applyProtection="1">
      <alignment horizontal="left" vertical="center" shrinkToFit="1"/>
      <protection locked="0"/>
    </xf>
    <xf numFmtId="0" fontId="34" fillId="7" borderId="107" xfId="4" applyNumberFormat="1" applyFont="1" applyFill="1" applyBorder="1" applyAlignment="1" applyProtection="1">
      <alignment horizontal="center" vertical="center"/>
    </xf>
    <xf numFmtId="0" fontId="34" fillId="7" borderId="67" xfId="4" applyNumberFormat="1" applyFont="1" applyFill="1" applyBorder="1" applyAlignment="1" applyProtection="1">
      <alignment horizontal="center" vertical="center"/>
    </xf>
    <xf numFmtId="0" fontId="34" fillId="7" borderId="68" xfId="4" applyNumberFormat="1" applyFont="1" applyFill="1" applyBorder="1" applyAlignment="1" applyProtection="1">
      <alignment horizontal="center" vertical="center"/>
    </xf>
    <xf numFmtId="49" fontId="30" fillId="0" borderId="66" xfId="4" applyNumberFormat="1" applyFont="1" applyFill="1" applyBorder="1" applyAlignment="1" applyProtection="1">
      <alignment horizontal="center" vertical="center" shrinkToFit="1"/>
      <protection locked="0"/>
    </xf>
    <xf numFmtId="49" fontId="30" fillId="0" borderId="67" xfId="4" applyNumberFormat="1" applyFont="1" applyFill="1" applyBorder="1" applyAlignment="1" applyProtection="1">
      <alignment horizontal="center" vertical="center" shrinkToFit="1"/>
      <protection locked="0"/>
    </xf>
    <xf numFmtId="49" fontId="30" fillId="0" borderId="68" xfId="4" applyNumberFormat="1" applyFont="1" applyFill="1" applyBorder="1" applyAlignment="1" applyProtection="1">
      <alignment horizontal="center" vertical="center" shrinkToFit="1"/>
      <protection locked="0"/>
    </xf>
    <xf numFmtId="0" fontId="34" fillId="7" borderId="66" xfId="4" applyNumberFormat="1" applyFont="1" applyFill="1" applyBorder="1" applyAlignment="1" applyProtection="1">
      <alignment horizontal="center" vertical="center" shrinkToFit="1"/>
    </xf>
    <xf numFmtId="0" fontId="34" fillId="7" borderId="67" xfId="4" applyNumberFormat="1" applyFont="1" applyFill="1" applyBorder="1" applyAlignment="1" applyProtection="1">
      <alignment horizontal="center" vertical="center" shrinkToFit="1"/>
    </xf>
    <xf numFmtId="0" fontId="34" fillId="7" borderId="68" xfId="4" applyNumberFormat="1" applyFont="1" applyFill="1" applyBorder="1" applyAlignment="1" applyProtection="1">
      <alignment horizontal="center" vertical="center" shrinkToFit="1"/>
    </xf>
    <xf numFmtId="49" fontId="30" fillId="0" borderId="69" xfId="4" applyNumberFormat="1" applyFont="1" applyFill="1" applyBorder="1" applyAlignment="1" applyProtection="1">
      <alignment horizontal="center" vertical="center" shrinkToFit="1"/>
      <protection locked="0"/>
    </xf>
    <xf numFmtId="0" fontId="68" fillId="0" borderId="31" xfId="4" applyNumberFormat="1" applyFont="1" applyFill="1" applyBorder="1" applyAlignment="1" applyProtection="1">
      <alignment horizontal="right" vertical="center"/>
    </xf>
    <xf numFmtId="0" fontId="30" fillId="0" borderId="233" xfId="4" applyNumberFormat="1" applyFont="1" applyFill="1" applyBorder="1" applyAlignment="1" applyProtection="1">
      <alignment horizontal="center" vertical="center" shrinkToFit="1"/>
      <protection locked="0"/>
    </xf>
    <xf numFmtId="0" fontId="30" fillId="0" borderId="234" xfId="4" applyNumberFormat="1" applyFont="1" applyFill="1" applyBorder="1" applyAlignment="1" applyProtection="1">
      <alignment horizontal="center" vertical="center" shrinkToFit="1"/>
      <protection locked="0"/>
    </xf>
    <xf numFmtId="0" fontId="30" fillId="0" borderId="235" xfId="4" applyNumberFormat="1" applyFont="1" applyFill="1" applyBorder="1" applyAlignment="1" applyProtection="1">
      <alignment horizontal="center" vertical="center" shrinkToFit="1"/>
      <protection locked="0"/>
    </xf>
    <xf numFmtId="0" fontId="34" fillId="7" borderId="63" xfId="4" applyNumberFormat="1" applyFont="1" applyFill="1" applyBorder="1" applyAlignment="1" applyProtection="1">
      <alignment horizontal="center" vertical="center" shrinkToFit="1"/>
    </xf>
    <xf numFmtId="0" fontId="34" fillId="7" borderId="31" xfId="4" applyNumberFormat="1" applyFont="1" applyFill="1" applyBorder="1" applyAlignment="1" applyProtection="1">
      <alignment horizontal="center" vertical="center" shrinkToFit="1"/>
    </xf>
    <xf numFmtId="0" fontId="34" fillId="7" borderId="62" xfId="4" applyNumberFormat="1" applyFont="1" applyFill="1" applyBorder="1" applyAlignment="1" applyProtection="1">
      <alignment horizontal="center" vertical="center" shrinkToFit="1"/>
    </xf>
    <xf numFmtId="0" fontId="30" fillId="0" borderId="31" xfId="4" applyNumberFormat="1" applyFont="1" applyFill="1" applyBorder="1" applyAlignment="1" applyProtection="1">
      <alignment horizontal="center" vertical="center" shrinkToFit="1"/>
      <protection locked="0"/>
    </xf>
    <xf numFmtId="0" fontId="30" fillId="0" borderId="62" xfId="4" applyNumberFormat="1" applyFont="1" applyFill="1" applyBorder="1" applyAlignment="1" applyProtection="1">
      <alignment horizontal="center" vertical="center" shrinkToFit="1"/>
      <protection locked="0"/>
    </xf>
    <xf numFmtId="0" fontId="30" fillId="0" borderId="0" xfId="4" applyNumberFormat="1" applyFont="1" applyFill="1" applyBorder="1" applyAlignment="1" applyProtection="1">
      <alignment horizontal="center" vertical="center" shrinkToFit="1"/>
      <protection locked="0"/>
    </xf>
    <xf numFmtId="0" fontId="30" fillId="0" borderId="38" xfId="4" applyNumberFormat="1" applyFont="1" applyFill="1" applyBorder="1" applyAlignment="1" applyProtection="1">
      <alignment horizontal="center" vertical="center" shrinkToFit="1"/>
      <protection locked="0"/>
    </xf>
    <xf numFmtId="0" fontId="30" fillId="0" borderId="54" xfId="4" applyNumberFormat="1" applyFont="1" applyFill="1" applyBorder="1" applyAlignment="1" applyProtection="1">
      <alignment horizontal="center" vertical="center" shrinkToFit="1"/>
      <protection locked="0"/>
    </xf>
    <xf numFmtId="0" fontId="34" fillId="7" borderId="100" xfId="4" applyNumberFormat="1" applyFont="1" applyFill="1" applyBorder="1" applyAlignment="1" applyProtection="1">
      <alignment horizontal="center" vertical="center" shrinkToFit="1"/>
    </xf>
    <xf numFmtId="0" fontId="34" fillId="7" borderId="99" xfId="4" applyNumberFormat="1" applyFont="1" applyFill="1" applyBorder="1" applyAlignment="1" applyProtection="1">
      <alignment horizontal="center" vertical="center" shrinkToFit="1"/>
    </xf>
    <xf numFmtId="0" fontId="34" fillId="7" borderId="232" xfId="4" applyNumberFormat="1" applyFont="1" applyFill="1" applyBorder="1" applyAlignment="1" applyProtection="1">
      <alignment horizontal="center" vertical="center" shrinkToFit="1"/>
    </xf>
    <xf numFmtId="0" fontId="30" fillId="0" borderId="100" xfId="4" applyNumberFormat="1" applyFont="1" applyFill="1" applyBorder="1" applyAlignment="1" applyProtection="1">
      <alignment horizontal="center" vertical="center" shrinkToFit="1"/>
    </xf>
    <xf numFmtId="0" fontId="30" fillId="0" borderId="99" xfId="4" applyNumberFormat="1" applyFont="1" applyFill="1" applyBorder="1" applyAlignment="1" applyProtection="1">
      <alignment horizontal="center" vertical="center" shrinkToFit="1"/>
    </xf>
    <xf numFmtId="0" fontId="39" fillId="0" borderId="236" xfId="4" applyNumberFormat="1" applyFont="1" applyFill="1" applyBorder="1" applyAlignment="1" applyProtection="1">
      <alignment horizontal="center" vertical="center" shrinkToFit="1"/>
      <protection locked="0"/>
    </xf>
    <xf numFmtId="0" fontId="39" fillId="0" borderId="237" xfId="4" applyNumberFormat="1" applyFont="1" applyFill="1" applyBorder="1" applyAlignment="1" applyProtection="1">
      <alignment horizontal="center" vertical="center" shrinkToFit="1"/>
      <protection locked="0"/>
    </xf>
    <xf numFmtId="0" fontId="39" fillId="0" borderId="239" xfId="4" applyNumberFormat="1" applyFont="1" applyFill="1" applyBorder="1" applyAlignment="1" applyProtection="1">
      <alignment horizontal="center" vertical="center" shrinkToFit="1"/>
      <protection locked="0"/>
    </xf>
    <xf numFmtId="0" fontId="39" fillId="0" borderId="240" xfId="4" applyNumberFormat="1" applyFont="1" applyFill="1" applyBorder="1" applyAlignment="1" applyProtection="1">
      <alignment horizontal="center" vertical="center" shrinkToFit="1"/>
      <protection locked="0"/>
    </xf>
    <xf numFmtId="0" fontId="39" fillId="0" borderId="238" xfId="4" applyNumberFormat="1" applyFont="1" applyFill="1" applyBorder="1" applyAlignment="1" applyProtection="1">
      <alignment horizontal="center" vertical="center" shrinkToFit="1"/>
      <protection locked="0"/>
    </xf>
    <xf numFmtId="0" fontId="39" fillId="0" borderId="241" xfId="4" applyNumberFormat="1" applyFont="1" applyFill="1" applyBorder="1" applyAlignment="1" applyProtection="1">
      <alignment horizontal="center" vertical="center" shrinkToFit="1"/>
      <protection locked="0"/>
    </xf>
    <xf numFmtId="0" fontId="34" fillId="7" borderId="193" xfId="4" applyNumberFormat="1" applyFont="1" applyFill="1" applyBorder="1" applyAlignment="1" applyProtection="1">
      <alignment horizontal="center" vertical="center" shrinkToFit="1"/>
    </xf>
    <xf numFmtId="0" fontId="30" fillId="0" borderId="0" xfId="4" applyNumberFormat="1" applyFont="1" applyFill="1" applyBorder="1" applyAlignment="1" applyProtection="1">
      <alignment horizontal="center" vertical="center" shrinkToFit="1"/>
    </xf>
    <xf numFmtId="0" fontId="30" fillId="0" borderId="0" xfId="0" applyNumberFormat="1" applyFont="1" applyFill="1" applyBorder="1" applyAlignment="1" applyProtection="1">
      <alignment horizontal="center" vertical="center" shrinkToFit="1"/>
      <protection locked="0"/>
    </xf>
    <xf numFmtId="0" fontId="30" fillId="0" borderId="12" xfId="0" applyNumberFormat="1" applyFont="1" applyFill="1" applyBorder="1" applyAlignment="1" applyProtection="1">
      <alignment horizontal="center" vertical="center" shrinkToFit="1"/>
      <protection locked="0"/>
    </xf>
    <xf numFmtId="0" fontId="30" fillId="0" borderId="12" xfId="4" applyNumberFormat="1" applyFont="1" applyFill="1" applyBorder="1" applyAlignment="1" applyProtection="1">
      <alignment horizontal="center" vertical="center" shrinkToFit="1"/>
    </xf>
    <xf numFmtId="0" fontId="30" fillId="0" borderId="34" xfId="4" applyNumberFormat="1" applyFont="1" applyFill="1" applyBorder="1" applyAlignment="1" applyProtection="1">
      <alignment horizontal="center" vertical="center" shrinkToFit="1"/>
    </xf>
    <xf numFmtId="0" fontId="39" fillId="0" borderId="7" xfId="4" applyNumberFormat="1" applyFont="1" applyFill="1" applyBorder="1" applyAlignment="1" applyProtection="1">
      <alignment horizontal="left" vertical="center" wrapText="1" shrinkToFit="1"/>
      <protection locked="0"/>
    </xf>
    <xf numFmtId="0" fontId="39" fillId="0" borderId="12" xfId="4" applyNumberFormat="1" applyFont="1" applyFill="1" applyBorder="1" applyAlignment="1" applyProtection="1">
      <alignment horizontal="left" vertical="center" shrinkToFit="1"/>
      <protection locked="0"/>
    </xf>
    <xf numFmtId="0" fontId="39" fillId="0" borderId="61" xfId="4" applyNumberFormat="1" applyFont="1" applyFill="1" applyBorder="1" applyAlignment="1" applyProtection="1">
      <alignment horizontal="left" vertical="center" shrinkToFit="1"/>
      <protection locked="0"/>
    </xf>
    <xf numFmtId="0" fontId="30" fillId="0" borderId="7" xfId="10" applyNumberFormat="1" applyFont="1" applyFill="1" applyBorder="1" applyAlignment="1" applyProtection="1">
      <alignment horizontal="left" vertical="center" shrinkToFit="1"/>
      <protection locked="0"/>
    </xf>
    <xf numFmtId="0" fontId="30" fillId="0" borderId="12" xfId="4" applyNumberFormat="1" applyFont="1" applyFill="1" applyBorder="1" applyAlignment="1" applyProtection="1">
      <alignment horizontal="left" vertical="center" shrinkToFit="1"/>
      <protection locked="0"/>
    </xf>
    <xf numFmtId="0" fontId="30" fillId="0" borderId="61" xfId="4" applyNumberFormat="1" applyFont="1" applyFill="1" applyBorder="1" applyAlignment="1" applyProtection="1">
      <alignment horizontal="left" vertical="center" shrinkToFit="1"/>
      <protection locked="0"/>
    </xf>
    <xf numFmtId="38" fontId="30" fillId="0" borderId="66" xfId="11" applyFont="1" applyFill="1" applyBorder="1" applyAlignment="1" applyProtection="1">
      <alignment horizontal="center" vertical="center" shrinkToFit="1"/>
      <protection locked="0"/>
    </xf>
    <xf numFmtId="38" fontId="30" fillId="0" borderId="67" xfId="11" applyFont="1" applyFill="1" applyBorder="1" applyAlignment="1" applyProtection="1">
      <alignment horizontal="center" vertical="center" shrinkToFit="1"/>
      <protection locked="0"/>
    </xf>
    <xf numFmtId="0" fontId="30" fillId="0" borderId="67" xfId="4" applyNumberFormat="1" applyFont="1" applyFill="1" applyBorder="1" applyAlignment="1" applyProtection="1">
      <alignment horizontal="left" vertical="center" shrinkToFit="1"/>
    </xf>
    <xf numFmtId="0" fontId="30" fillId="0" borderId="68" xfId="4" applyNumberFormat="1" applyFont="1" applyFill="1" applyBorder="1" applyAlignment="1" applyProtection="1">
      <alignment horizontal="left" vertical="center" shrinkToFit="1"/>
    </xf>
    <xf numFmtId="0" fontId="34" fillId="7" borderId="66" xfId="4" applyNumberFormat="1" applyFont="1" applyFill="1" applyBorder="1" applyAlignment="1" applyProtection="1">
      <alignment horizontal="center" vertical="center"/>
    </xf>
    <xf numFmtId="38" fontId="30" fillId="0" borderId="1" xfId="11" applyFont="1" applyFill="1" applyBorder="1" applyAlignment="1" applyProtection="1">
      <alignment horizontal="center" vertical="center" shrinkToFit="1"/>
      <protection locked="0"/>
    </xf>
    <xf numFmtId="0" fontId="30" fillId="0" borderId="1" xfId="4" applyNumberFormat="1" applyFont="1" applyFill="1" applyBorder="1" applyAlignment="1" applyProtection="1">
      <alignment horizontal="left" vertical="center" shrinkToFit="1"/>
    </xf>
    <xf numFmtId="0" fontId="30" fillId="0" borderId="2" xfId="4" applyNumberFormat="1" applyFont="1" applyFill="1" applyBorder="1" applyAlignment="1" applyProtection="1">
      <alignment horizontal="left" vertical="center" shrinkToFit="1"/>
    </xf>
    <xf numFmtId="0" fontId="30" fillId="0" borderId="59" xfId="4" applyNumberFormat="1" applyFont="1" applyFill="1" applyBorder="1" applyAlignment="1" applyProtection="1">
      <alignment horizontal="left" vertical="center" shrinkToFit="1"/>
    </xf>
    <xf numFmtId="0" fontId="30" fillId="0" borderId="3" xfId="4" applyNumberFormat="1" applyFont="1" applyFill="1" applyBorder="1" applyAlignment="1" applyProtection="1">
      <alignment horizontal="center" vertical="center" shrinkToFit="1"/>
    </xf>
    <xf numFmtId="0" fontId="30" fillId="0" borderId="1" xfId="4" applyNumberFormat="1" applyFont="1" applyFill="1" applyBorder="1" applyAlignment="1" applyProtection="1">
      <alignment horizontal="center" vertical="center" shrinkToFit="1"/>
    </xf>
    <xf numFmtId="0" fontId="30" fillId="0" borderId="1" xfId="4" applyNumberFormat="1" applyFont="1" applyFill="1" applyBorder="1" applyAlignment="1" applyProtection="1">
      <alignment horizontal="center" vertical="center" shrinkToFit="1"/>
      <protection locked="0"/>
    </xf>
    <xf numFmtId="0" fontId="30" fillId="0" borderId="1" xfId="0" applyNumberFormat="1" applyFont="1" applyFill="1" applyBorder="1" applyAlignment="1" applyProtection="1">
      <alignment horizontal="center" vertical="center" shrinkToFit="1"/>
      <protection locked="0"/>
    </xf>
    <xf numFmtId="0" fontId="30" fillId="7" borderId="49" xfId="4" applyNumberFormat="1" applyFont="1" applyFill="1" applyBorder="1" applyAlignment="1" applyProtection="1">
      <alignment horizontal="center" vertical="center" wrapText="1"/>
    </xf>
    <xf numFmtId="0" fontId="30" fillId="7" borderId="50" xfId="4" applyNumberFormat="1" applyFont="1" applyFill="1" applyBorder="1" applyAlignment="1" applyProtection="1">
      <alignment horizontal="center" vertical="center"/>
    </xf>
    <xf numFmtId="0" fontId="30" fillId="7" borderId="51" xfId="4" applyNumberFormat="1" applyFont="1" applyFill="1" applyBorder="1" applyAlignment="1" applyProtection="1">
      <alignment horizontal="center" vertical="center"/>
    </xf>
    <xf numFmtId="0" fontId="30" fillId="7" borderId="33" xfId="4" applyNumberFormat="1" applyFont="1" applyFill="1" applyBorder="1" applyAlignment="1" applyProtection="1">
      <alignment horizontal="center" vertical="center"/>
    </xf>
    <xf numFmtId="0" fontId="30" fillId="7" borderId="0" xfId="4" applyNumberFormat="1" applyFont="1" applyFill="1" applyBorder="1" applyAlignment="1" applyProtection="1">
      <alignment horizontal="center" vertical="center"/>
    </xf>
    <xf numFmtId="0" fontId="30" fillId="7" borderId="38" xfId="4" applyNumberFormat="1" applyFont="1" applyFill="1" applyBorder="1" applyAlignment="1" applyProtection="1">
      <alignment horizontal="center" vertical="center"/>
    </xf>
    <xf numFmtId="0" fontId="30" fillId="7" borderId="35" xfId="4" applyNumberFormat="1" applyFont="1" applyFill="1" applyBorder="1" applyAlignment="1" applyProtection="1">
      <alignment horizontal="center" vertical="center"/>
    </xf>
    <xf numFmtId="0" fontId="30" fillId="7" borderId="36" xfId="4" applyNumberFormat="1" applyFont="1" applyFill="1" applyBorder="1" applyAlignment="1" applyProtection="1">
      <alignment horizontal="center" vertical="center"/>
    </xf>
    <xf numFmtId="0" fontId="30" fillId="7" borderId="54" xfId="4" applyNumberFormat="1" applyFont="1" applyFill="1" applyBorder="1" applyAlignment="1" applyProtection="1">
      <alignment horizontal="center" vertical="center"/>
    </xf>
    <xf numFmtId="0" fontId="34" fillId="7" borderId="194" xfId="4" applyNumberFormat="1" applyFont="1" applyFill="1" applyBorder="1" applyAlignment="1" applyProtection="1">
      <alignment horizontal="center" vertical="center"/>
    </xf>
    <xf numFmtId="0" fontId="34" fillId="7" borderId="195" xfId="4" applyNumberFormat="1" applyFont="1" applyFill="1" applyBorder="1" applyAlignment="1" applyProtection="1">
      <alignment horizontal="center" vertical="center"/>
    </xf>
    <xf numFmtId="0" fontId="34" fillId="0" borderId="31" xfId="4" applyNumberFormat="1" applyFont="1" applyFill="1" applyBorder="1" applyAlignment="1" applyProtection="1">
      <alignment horizontal="left" vertical="top"/>
    </xf>
    <xf numFmtId="0" fontId="34" fillId="0" borderId="32" xfId="4" applyNumberFormat="1" applyFont="1" applyFill="1" applyBorder="1" applyAlignment="1" applyProtection="1">
      <alignment horizontal="left" vertical="top"/>
    </xf>
    <xf numFmtId="0" fontId="34" fillId="0" borderId="0" xfId="4" applyNumberFormat="1" applyFont="1" applyFill="1" applyBorder="1" applyAlignment="1" applyProtection="1">
      <alignment horizontal="left" vertical="top"/>
    </xf>
    <xf numFmtId="0" fontId="34" fillId="0" borderId="34" xfId="4" applyNumberFormat="1" applyFont="1" applyFill="1" applyBorder="1" applyAlignment="1" applyProtection="1">
      <alignment horizontal="left" vertical="top"/>
    </xf>
    <xf numFmtId="0" fontId="34" fillId="0" borderId="40" xfId="4" applyNumberFormat="1" applyFont="1" applyFill="1" applyBorder="1" applyAlignment="1" applyProtection="1">
      <alignment horizontal="left" vertical="top"/>
    </xf>
    <xf numFmtId="0" fontId="34" fillId="0" borderId="43" xfId="4" applyNumberFormat="1" applyFont="1" applyFill="1" applyBorder="1" applyAlignment="1" applyProtection="1">
      <alignment horizontal="left" vertical="top"/>
    </xf>
    <xf numFmtId="0" fontId="144" fillId="0" borderId="31" xfId="4" applyNumberFormat="1" applyFont="1" applyFill="1" applyBorder="1" applyAlignment="1" applyProtection="1">
      <alignment horizontal="center" vertical="center"/>
    </xf>
    <xf numFmtId="0" fontId="144" fillId="0" borderId="0" xfId="4" applyNumberFormat="1" applyFont="1" applyFill="1" applyBorder="1" applyAlignment="1" applyProtection="1">
      <alignment horizontal="center" vertical="center"/>
    </xf>
    <xf numFmtId="0" fontId="30" fillId="0" borderId="47" xfId="4" applyNumberFormat="1" applyFont="1" applyFill="1" applyBorder="1" applyAlignment="1" applyProtection="1">
      <alignment horizontal="left" vertical="center" shrinkToFit="1"/>
      <protection locked="0"/>
    </xf>
    <xf numFmtId="0" fontId="30" fillId="0" borderId="45" xfId="4" applyNumberFormat="1" applyFont="1" applyFill="1" applyBorder="1" applyAlignment="1" applyProtection="1">
      <alignment horizontal="left" vertical="center" shrinkToFit="1"/>
      <protection locked="0"/>
    </xf>
    <xf numFmtId="0" fontId="30" fillId="0" borderId="48" xfId="4" applyNumberFormat="1" applyFont="1" applyFill="1" applyBorder="1" applyAlignment="1" applyProtection="1">
      <alignment horizontal="left" vertical="center" shrinkToFit="1"/>
      <protection locked="0"/>
    </xf>
    <xf numFmtId="0" fontId="30" fillId="7" borderId="50" xfId="4" applyNumberFormat="1" applyFont="1" applyFill="1" applyBorder="1" applyAlignment="1" applyProtection="1">
      <alignment horizontal="center" vertical="center" wrapText="1"/>
    </xf>
    <xf numFmtId="0" fontId="30" fillId="7" borderId="51" xfId="4" applyNumberFormat="1" applyFont="1" applyFill="1" applyBorder="1" applyAlignment="1" applyProtection="1">
      <alignment horizontal="center" vertical="center" wrapText="1"/>
    </xf>
    <xf numFmtId="0" fontId="30" fillId="7" borderId="33" xfId="4" applyNumberFormat="1" applyFont="1" applyFill="1" applyBorder="1" applyAlignment="1" applyProtection="1">
      <alignment horizontal="center" vertical="center" wrapText="1"/>
    </xf>
    <xf numFmtId="0" fontId="30" fillId="7" borderId="0" xfId="4" applyNumberFormat="1" applyFont="1" applyFill="1" applyBorder="1" applyAlignment="1" applyProtection="1">
      <alignment horizontal="center" vertical="center" wrapText="1"/>
    </xf>
    <xf numFmtId="0" fontId="30" fillId="7" borderId="38" xfId="4" applyNumberFormat="1" applyFont="1" applyFill="1" applyBorder="1" applyAlignment="1" applyProtection="1">
      <alignment horizontal="center" vertical="center" wrapText="1"/>
    </xf>
    <xf numFmtId="0" fontId="30" fillId="7" borderId="35" xfId="4" applyNumberFormat="1" applyFont="1" applyFill="1" applyBorder="1" applyAlignment="1" applyProtection="1">
      <alignment horizontal="center" vertical="center" wrapText="1"/>
    </xf>
    <xf numFmtId="0" fontId="30" fillId="7" borderId="36" xfId="4" applyNumberFormat="1" applyFont="1" applyFill="1" applyBorder="1" applyAlignment="1" applyProtection="1">
      <alignment horizontal="center" vertical="center" wrapText="1"/>
    </xf>
    <xf numFmtId="0" fontId="30" fillId="7" borderId="54" xfId="4" applyNumberFormat="1" applyFont="1" applyFill="1" applyBorder="1" applyAlignment="1" applyProtection="1">
      <alignment horizontal="center" vertical="center" wrapText="1"/>
    </xf>
    <xf numFmtId="0" fontId="123" fillId="0" borderId="193" xfId="4" applyNumberFormat="1" applyFont="1" applyFill="1" applyBorder="1" applyAlignment="1" applyProtection="1">
      <alignment horizontal="left" vertical="center" shrinkToFit="1"/>
      <protection locked="0"/>
    </xf>
    <xf numFmtId="0" fontId="123" fillId="0" borderId="194" xfId="4" applyNumberFormat="1" applyFont="1" applyFill="1" applyBorder="1" applyAlignment="1" applyProtection="1">
      <alignment horizontal="left" vertical="center" shrinkToFit="1"/>
      <protection locked="0"/>
    </xf>
    <xf numFmtId="0" fontId="39" fillId="0" borderId="193" xfId="4" applyNumberFormat="1" applyFont="1" applyFill="1" applyBorder="1" applyAlignment="1" applyProtection="1">
      <alignment horizontal="left" vertical="center" shrinkToFit="1"/>
      <protection locked="0"/>
    </xf>
    <xf numFmtId="0" fontId="39" fillId="0" borderId="194" xfId="4" applyNumberFormat="1" applyFont="1" applyFill="1" applyBorder="1" applyAlignment="1" applyProtection="1">
      <alignment horizontal="left" vertical="center" shrinkToFit="1"/>
      <protection locked="0"/>
    </xf>
    <xf numFmtId="0" fontId="39" fillId="0" borderId="196" xfId="4" applyNumberFormat="1" applyFont="1" applyFill="1" applyBorder="1" applyAlignment="1" applyProtection="1">
      <alignment horizontal="left" vertical="center" shrinkToFit="1"/>
      <protection locked="0"/>
    </xf>
    <xf numFmtId="0" fontId="34" fillId="8" borderId="0" xfId="4" applyNumberFormat="1" applyFont="1" applyFill="1" applyBorder="1" applyAlignment="1" applyProtection="1">
      <alignment horizontal="left" vertical="center" wrapText="1" shrinkToFit="1"/>
    </xf>
    <xf numFmtId="0" fontId="34" fillId="8" borderId="40" xfId="4" applyNumberFormat="1" applyFont="1" applyFill="1" applyBorder="1" applyAlignment="1" applyProtection="1">
      <alignment horizontal="left" vertical="center" wrapText="1" shrinkToFit="1"/>
    </xf>
    <xf numFmtId="0" fontId="34" fillId="8" borderId="0" xfId="4" applyNumberFormat="1" applyFont="1" applyFill="1" applyBorder="1" applyAlignment="1" applyProtection="1">
      <alignment horizontal="left" vertical="center" shrinkToFit="1"/>
    </xf>
    <xf numFmtId="0" fontId="34" fillId="8" borderId="40" xfId="4" applyNumberFormat="1" applyFont="1" applyFill="1" applyBorder="1" applyAlignment="1" applyProtection="1">
      <alignment horizontal="left" vertical="center" shrinkToFit="1"/>
    </xf>
    <xf numFmtId="0" fontId="34" fillId="0" borderId="63" xfId="4" applyNumberFormat="1" applyFont="1" applyFill="1" applyBorder="1" applyAlignment="1" applyProtection="1">
      <alignment vertical="center" wrapText="1"/>
    </xf>
    <xf numFmtId="0" fontId="34" fillId="0" borderId="31" xfId="4" applyNumberFormat="1" applyFont="1" applyFill="1" applyBorder="1" applyAlignment="1" applyProtection="1">
      <alignment vertical="center" wrapText="1"/>
    </xf>
    <xf numFmtId="0" fontId="34" fillId="0" borderId="8" xfId="4" applyNumberFormat="1" applyFont="1" applyFill="1" applyBorder="1" applyAlignment="1" applyProtection="1">
      <alignment vertical="center" wrapText="1"/>
    </xf>
    <xf numFmtId="0" fontId="34" fillId="0" borderId="0" xfId="4" applyNumberFormat="1" applyFont="1" applyFill="1" applyBorder="1" applyAlignment="1" applyProtection="1">
      <alignment vertical="center" wrapText="1"/>
    </xf>
    <xf numFmtId="0" fontId="34" fillId="0" borderId="42" xfId="4" applyNumberFormat="1" applyFont="1" applyFill="1" applyBorder="1" applyAlignment="1" applyProtection="1">
      <alignment vertical="center" wrapText="1"/>
    </xf>
    <xf numFmtId="0" fontId="34" fillId="0" borderId="40" xfId="4" applyNumberFormat="1" applyFont="1" applyFill="1" applyBorder="1" applyAlignment="1" applyProtection="1">
      <alignment vertical="center" wrapText="1"/>
    </xf>
    <xf numFmtId="0" fontId="34" fillId="0" borderId="31" xfId="4" applyNumberFormat="1" applyFont="1" applyFill="1" applyBorder="1" applyAlignment="1" applyProtection="1">
      <alignment horizontal="center" vertical="top"/>
    </xf>
    <xf numFmtId="0" fontId="34" fillId="0" borderId="0" xfId="4" applyNumberFormat="1" applyFont="1" applyFill="1" applyBorder="1" applyAlignment="1" applyProtection="1">
      <alignment horizontal="center" vertical="top"/>
    </xf>
    <xf numFmtId="0" fontId="34" fillId="0" borderId="40" xfId="4" applyNumberFormat="1" applyFont="1" applyFill="1" applyBorder="1" applyAlignment="1" applyProtection="1">
      <alignment horizontal="center" vertical="top"/>
    </xf>
    <xf numFmtId="0" fontId="33" fillId="0" borderId="25" xfId="4" applyNumberFormat="1" applyFont="1" applyFill="1" applyBorder="1" applyAlignment="1" applyProtection="1">
      <alignment horizontal="center" vertical="center"/>
    </xf>
    <xf numFmtId="0" fontId="33" fillId="0" borderId="26" xfId="4" applyNumberFormat="1" applyFont="1" applyFill="1" applyBorder="1" applyAlignment="1" applyProtection="1">
      <alignment horizontal="center" vertical="center"/>
    </xf>
    <xf numFmtId="0" fontId="33" fillId="0" borderId="27" xfId="4" applyNumberFormat="1" applyFont="1" applyFill="1" applyBorder="1" applyAlignment="1" applyProtection="1">
      <alignment horizontal="center" vertical="center"/>
    </xf>
    <xf numFmtId="0" fontId="33" fillId="0" borderId="28" xfId="4" applyNumberFormat="1" applyFont="1" applyFill="1" applyBorder="1" applyAlignment="1" applyProtection="1">
      <alignment horizontal="center" vertical="center"/>
    </xf>
    <xf numFmtId="0" fontId="33" fillId="0" borderId="24" xfId="4" applyNumberFormat="1" applyFont="1" applyFill="1" applyBorder="1" applyAlignment="1" applyProtection="1">
      <alignment horizontal="center" vertical="center"/>
    </xf>
    <xf numFmtId="0" fontId="33" fillId="0" borderId="29" xfId="4" applyNumberFormat="1" applyFont="1" applyFill="1" applyBorder="1" applyAlignment="1" applyProtection="1">
      <alignment horizontal="center" vertical="center"/>
    </xf>
    <xf numFmtId="0" fontId="34" fillId="7" borderId="30" xfId="4" applyNumberFormat="1" applyFont="1" applyFill="1" applyBorder="1" applyAlignment="1" applyProtection="1">
      <alignment horizontal="center" vertical="center"/>
    </xf>
    <xf numFmtId="0" fontId="34" fillId="7" borderId="31" xfId="4" applyNumberFormat="1" applyFont="1" applyFill="1" applyBorder="1" applyAlignment="1" applyProtection="1">
      <alignment horizontal="center" vertical="center"/>
    </xf>
    <xf numFmtId="0" fontId="34" fillId="7" borderId="62" xfId="4" applyNumberFormat="1" applyFont="1" applyFill="1" applyBorder="1" applyAlignment="1" applyProtection="1">
      <alignment horizontal="center" vertical="center"/>
    </xf>
    <xf numFmtId="0" fontId="34" fillId="0" borderId="8" xfId="4" applyNumberFormat="1" applyFont="1" applyFill="1" applyBorder="1" applyAlignment="1" applyProtection="1">
      <alignment horizontal="left" vertical="top" wrapText="1"/>
    </xf>
    <xf numFmtId="0" fontId="34" fillId="0" borderId="0" xfId="4" applyNumberFormat="1" applyFont="1" applyFill="1" applyBorder="1" applyAlignment="1" applyProtection="1">
      <alignment horizontal="left" vertical="top" wrapText="1"/>
    </xf>
    <xf numFmtId="0" fontId="34" fillId="0" borderId="34" xfId="4" applyNumberFormat="1" applyFont="1" applyFill="1" applyBorder="1" applyAlignment="1" applyProtection="1">
      <alignment horizontal="left" vertical="top" wrapText="1"/>
    </xf>
    <xf numFmtId="0" fontId="34" fillId="8" borderId="8" xfId="4" applyNumberFormat="1" applyFont="1" applyFill="1" applyBorder="1" applyAlignment="1" applyProtection="1">
      <alignment horizontal="left" vertical="top" wrapText="1" shrinkToFit="1"/>
    </xf>
    <xf numFmtId="0" fontId="34" fillId="8" borderId="0" xfId="4" applyNumberFormat="1" applyFont="1" applyFill="1" applyBorder="1" applyAlignment="1" applyProtection="1">
      <alignment horizontal="left" vertical="top" wrapText="1" shrinkToFit="1"/>
    </xf>
    <xf numFmtId="0" fontId="69" fillId="0" borderId="26" xfId="4" applyNumberFormat="1" applyFont="1" applyFill="1" applyBorder="1" applyAlignment="1" applyProtection="1">
      <alignment horizontal="left" wrapText="1"/>
    </xf>
    <xf numFmtId="0" fontId="69" fillId="0" borderId="0" xfId="4" applyNumberFormat="1" applyFont="1" applyFill="1" applyBorder="1" applyAlignment="1" applyProtection="1">
      <alignment horizontal="left" wrapText="1"/>
    </xf>
    <xf numFmtId="0" fontId="28" fillId="0" borderId="0" xfId="4" applyNumberFormat="1" applyFont="1" applyFill="1" applyBorder="1" applyAlignment="1" applyProtection="1">
      <alignment horizontal="left" vertical="top" wrapText="1"/>
    </xf>
    <xf numFmtId="0" fontId="28" fillId="0" borderId="0" xfId="4" applyNumberFormat="1" applyFont="1" applyFill="1" applyBorder="1" applyAlignment="1" applyProtection="1">
      <alignment horizontal="left" vertical="center" wrapText="1"/>
    </xf>
    <xf numFmtId="0" fontId="30" fillId="0" borderId="40" xfId="4" applyNumberFormat="1" applyFont="1" applyFill="1" applyBorder="1" applyAlignment="1" applyProtection="1">
      <alignment horizontal="center" vertical="center" shrinkToFit="1"/>
      <protection locked="0"/>
    </xf>
    <xf numFmtId="0" fontId="34" fillId="7" borderId="42" xfId="4" applyNumberFormat="1" applyFont="1" applyFill="1" applyBorder="1" applyAlignment="1" applyProtection="1">
      <alignment horizontal="center" vertical="center" shrinkToFit="1"/>
    </xf>
    <xf numFmtId="0" fontId="34" fillId="7" borderId="40" xfId="4" applyNumberFormat="1" applyFont="1" applyFill="1" applyBorder="1" applyAlignment="1" applyProtection="1">
      <alignment horizontal="center" vertical="center" shrinkToFit="1"/>
    </xf>
    <xf numFmtId="0" fontId="34" fillId="7" borderId="41" xfId="4" applyNumberFormat="1" applyFont="1" applyFill="1" applyBorder="1" applyAlignment="1" applyProtection="1">
      <alignment horizontal="center" vertical="center" shrinkToFit="1"/>
    </xf>
    <xf numFmtId="0" fontId="34" fillId="7" borderId="44" xfId="4" applyNumberFormat="1" applyFont="1" applyFill="1" applyBorder="1" applyAlignment="1" applyProtection="1">
      <alignment horizontal="center" vertical="center" wrapText="1"/>
    </xf>
    <xf numFmtId="0" fontId="34" fillId="7" borderId="45" xfId="4" applyNumberFormat="1" applyFont="1" applyFill="1" applyBorder="1" applyAlignment="1" applyProtection="1">
      <alignment horizontal="center" vertical="center" wrapText="1"/>
    </xf>
    <xf numFmtId="0" fontId="34" fillId="7" borderId="46" xfId="4" applyNumberFormat="1" applyFont="1" applyFill="1" applyBorder="1" applyAlignment="1" applyProtection="1">
      <alignment horizontal="center" vertical="center" wrapText="1"/>
    </xf>
    <xf numFmtId="0" fontId="34" fillId="7" borderId="60" xfId="4" applyNumberFormat="1" applyFont="1" applyFill="1" applyBorder="1" applyAlignment="1" applyProtection="1">
      <alignment horizontal="center" vertical="center" shrinkToFit="1"/>
    </xf>
    <xf numFmtId="0" fontId="34" fillId="7" borderId="57" xfId="4" applyNumberFormat="1" applyFont="1" applyFill="1" applyBorder="1" applyAlignment="1" applyProtection="1">
      <alignment horizontal="center" vertical="center" shrinkToFit="1"/>
    </xf>
    <xf numFmtId="0" fontId="34" fillId="7" borderId="58" xfId="4" applyNumberFormat="1" applyFont="1" applyFill="1" applyBorder="1" applyAlignment="1" applyProtection="1">
      <alignment horizontal="center" vertical="center" shrinkToFit="1"/>
    </xf>
    <xf numFmtId="0" fontId="34" fillId="7" borderId="295" xfId="4" applyNumberFormat="1" applyFont="1" applyFill="1" applyBorder="1" applyAlignment="1" applyProtection="1">
      <alignment horizontal="center" vertical="center" shrinkToFit="1"/>
    </xf>
    <xf numFmtId="0" fontId="39" fillId="0" borderId="52" xfId="4" applyNumberFormat="1" applyFont="1" applyFill="1" applyBorder="1" applyAlignment="1" applyProtection="1">
      <alignment horizontal="left" vertical="center" wrapText="1" shrinkToFit="1"/>
      <protection locked="0"/>
    </xf>
    <xf numFmtId="0" fontId="39" fillId="0" borderId="50" xfId="4" applyNumberFormat="1" applyFont="1" applyFill="1" applyBorder="1" applyAlignment="1" applyProtection="1">
      <alignment horizontal="left" vertical="center" wrapText="1" shrinkToFit="1"/>
      <protection locked="0"/>
    </xf>
    <xf numFmtId="0" fontId="39" fillId="0" borderId="51" xfId="4" applyNumberFormat="1" applyFont="1" applyFill="1" applyBorder="1" applyAlignment="1" applyProtection="1">
      <alignment horizontal="left" vertical="center" wrapText="1" shrinkToFit="1"/>
      <protection locked="0"/>
    </xf>
    <xf numFmtId="0" fontId="39" fillId="0" borderId="5" xfId="4" applyNumberFormat="1" applyFont="1" applyFill="1" applyBorder="1" applyAlignment="1" applyProtection="1">
      <alignment horizontal="left" vertical="center" wrapText="1" shrinkToFit="1"/>
      <protection locked="0"/>
    </xf>
    <xf numFmtId="0" fontId="39" fillId="0" borderId="36" xfId="4" applyNumberFormat="1" applyFont="1" applyFill="1" applyBorder="1" applyAlignment="1" applyProtection="1">
      <alignment horizontal="left" vertical="center" wrapText="1" shrinkToFit="1"/>
      <protection locked="0"/>
    </xf>
    <xf numFmtId="0" fontId="39" fillId="0" borderId="54" xfId="4" applyNumberFormat="1" applyFont="1" applyFill="1" applyBorder="1" applyAlignment="1" applyProtection="1">
      <alignment horizontal="left" vertical="center" wrapText="1" shrinkToFit="1"/>
      <protection locked="0"/>
    </xf>
    <xf numFmtId="0" fontId="123" fillId="0" borderId="8" xfId="4" quotePrefix="1" applyNumberFormat="1" applyFont="1" applyFill="1" applyBorder="1" applyAlignment="1" applyProtection="1">
      <alignment horizontal="left" vertical="center" shrinkToFit="1"/>
      <protection locked="0"/>
    </xf>
    <xf numFmtId="0" fontId="123" fillId="0" borderId="0" xfId="4" quotePrefix="1" applyNumberFormat="1" applyFont="1" applyFill="1" applyBorder="1" applyAlignment="1" applyProtection="1">
      <alignment horizontal="left" vertical="center" shrinkToFit="1"/>
      <protection locked="0"/>
    </xf>
    <xf numFmtId="0" fontId="123" fillId="0" borderId="34" xfId="4" quotePrefix="1" applyNumberFormat="1" applyFont="1" applyFill="1" applyBorder="1" applyAlignment="1" applyProtection="1">
      <alignment horizontal="left" vertical="center" shrinkToFit="1"/>
      <protection locked="0"/>
    </xf>
    <xf numFmtId="0" fontId="42" fillId="7" borderId="65" xfId="4" applyNumberFormat="1" applyFont="1" applyFill="1" applyBorder="1" applyAlignment="1" applyProtection="1">
      <alignment horizontal="center" vertical="center" wrapText="1"/>
    </xf>
    <xf numFmtId="0" fontId="42" fillId="7" borderId="12" xfId="4" applyNumberFormat="1" applyFont="1" applyFill="1" applyBorder="1" applyAlignment="1" applyProtection="1">
      <alignment horizontal="center" vertical="center" wrapText="1"/>
    </xf>
    <xf numFmtId="0" fontId="42" fillId="7" borderId="13" xfId="4" applyNumberFormat="1" applyFont="1" applyFill="1" applyBorder="1" applyAlignment="1" applyProtection="1">
      <alignment horizontal="center" vertical="center" wrapText="1"/>
    </xf>
    <xf numFmtId="0" fontId="30" fillId="19" borderId="263" xfId="4" applyFont="1" applyFill="1" applyBorder="1" applyAlignment="1" applyProtection="1">
      <alignment horizontal="center" vertical="center" shrinkToFit="1"/>
    </xf>
    <xf numFmtId="0" fontId="30" fillId="19" borderId="245" xfId="4" applyFont="1" applyFill="1" applyBorder="1" applyAlignment="1" applyProtection="1">
      <alignment horizontal="center" vertical="center" shrinkToFit="1"/>
    </xf>
    <xf numFmtId="0" fontId="30" fillId="19" borderId="256" xfId="4" applyFont="1" applyFill="1" applyBorder="1" applyAlignment="1" applyProtection="1">
      <alignment horizontal="center" vertical="center" shrinkToFit="1"/>
    </xf>
    <xf numFmtId="0" fontId="34" fillId="0" borderId="107" xfId="4" applyFont="1" applyFill="1" applyBorder="1" applyAlignment="1" applyProtection="1">
      <alignment horizontal="center" vertical="center" shrinkToFit="1"/>
    </xf>
    <xf numFmtId="0" fontId="34" fillId="0" borderId="285" xfId="4" applyFont="1" applyFill="1" applyBorder="1" applyAlignment="1" applyProtection="1">
      <alignment horizontal="center" vertical="center" shrinkToFit="1"/>
    </xf>
    <xf numFmtId="0" fontId="34" fillId="0" borderId="290" xfId="4" applyFont="1" applyFill="1" applyBorder="1" applyAlignment="1" applyProtection="1">
      <alignment horizontal="center" vertical="center" shrinkToFit="1"/>
    </xf>
    <xf numFmtId="0" fontId="29" fillId="0" borderId="263" xfId="4" applyFont="1" applyFill="1" applyBorder="1" applyAlignment="1" applyProtection="1">
      <alignment horizontal="center" vertical="center" shrinkToFit="1"/>
      <protection locked="0"/>
    </xf>
    <xf numFmtId="0" fontId="29" fillId="0" borderId="245" xfId="4" applyFont="1" applyFill="1" applyBorder="1" applyAlignment="1" applyProtection="1">
      <alignment horizontal="center" vertical="center" shrinkToFit="1"/>
      <protection locked="0"/>
    </xf>
    <xf numFmtId="0" fontId="29" fillId="0" borderId="256" xfId="4" applyFont="1" applyFill="1" applyBorder="1" applyAlignment="1" applyProtection="1">
      <alignment horizontal="center" vertical="center" shrinkToFit="1"/>
      <protection locked="0"/>
    </xf>
    <xf numFmtId="0" fontId="29" fillId="0" borderId="264" xfId="4" applyFont="1" applyFill="1" applyBorder="1" applyAlignment="1" applyProtection="1">
      <alignment horizontal="center" vertical="center"/>
    </xf>
    <xf numFmtId="0" fontId="29" fillId="8" borderId="245" xfId="6" applyNumberFormat="1" applyFont="1" applyFill="1" applyBorder="1" applyAlignment="1" applyProtection="1">
      <alignment horizontal="right" vertical="center" shrinkToFit="1"/>
    </xf>
    <xf numFmtId="0" fontId="29" fillId="8" borderId="245" xfId="6" applyNumberFormat="1" applyFont="1" applyFill="1" applyBorder="1" applyAlignment="1" applyProtection="1">
      <alignment horizontal="left" vertical="center" shrinkToFit="1"/>
      <protection locked="0"/>
    </xf>
    <xf numFmtId="0" fontId="29" fillId="8" borderId="265" xfId="6" applyNumberFormat="1" applyFont="1" applyFill="1" applyBorder="1" applyAlignment="1" applyProtection="1">
      <alignment horizontal="left" vertical="center" shrinkToFit="1"/>
      <protection locked="0"/>
    </xf>
    <xf numFmtId="6" fontId="34" fillId="0" borderId="264" xfId="13" applyFont="1" applyBorder="1" applyAlignment="1" applyProtection="1">
      <alignment horizontal="right" vertical="center" shrinkToFit="1"/>
      <protection locked="0"/>
    </xf>
    <xf numFmtId="0" fontId="29" fillId="0" borderId="274" xfId="4" applyFont="1" applyFill="1" applyBorder="1" applyAlignment="1" applyProtection="1">
      <alignment horizontal="center" vertical="center" wrapText="1"/>
    </xf>
    <xf numFmtId="0" fontId="29" fillId="0" borderId="274" xfId="4" applyFont="1" applyFill="1" applyBorder="1" applyAlignment="1" applyProtection="1">
      <alignment horizontal="center" vertical="center"/>
    </xf>
    <xf numFmtId="0" fontId="34" fillId="0" borderId="274" xfId="0" applyFont="1" applyBorder="1" applyAlignment="1">
      <alignment horizontal="center" vertical="center"/>
    </xf>
    <xf numFmtId="0" fontId="46" fillId="0" borderId="274" xfId="0" applyFont="1" applyBorder="1" applyAlignment="1">
      <alignment horizontal="center" vertical="center"/>
    </xf>
    <xf numFmtId="0" fontId="30" fillId="0" borderId="100" xfId="4" applyFont="1" applyFill="1" applyBorder="1" applyAlignment="1" applyProtection="1">
      <alignment horizontal="left" vertical="center" shrinkToFit="1"/>
    </xf>
    <xf numFmtId="0" fontId="30" fillId="0" borderId="99" xfId="4" applyFont="1" applyFill="1" applyBorder="1" applyAlignment="1" applyProtection="1">
      <alignment horizontal="left" vertical="center" shrinkToFit="1"/>
    </xf>
    <xf numFmtId="0" fontId="30" fillId="0" borderId="232" xfId="4" applyFont="1" applyFill="1" applyBorder="1" applyAlignment="1" applyProtection="1">
      <alignment horizontal="left" vertical="center" shrinkToFit="1"/>
    </xf>
    <xf numFmtId="0" fontId="34" fillId="0" borderId="99" xfId="4" applyFont="1" applyFill="1" applyBorder="1" applyAlignment="1" applyProtection="1">
      <alignment horizontal="left" vertical="center"/>
    </xf>
    <xf numFmtId="6" fontId="34" fillId="0" borderId="99" xfId="5" applyFont="1" applyBorder="1" applyAlignment="1" applyProtection="1">
      <alignment horizontal="left" vertical="center" shrinkToFit="1"/>
    </xf>
    <xf numFmtId="0" fontId="29" fillId="0" borderId="311" xfId="4" applyFont="1" applyFill="1" applyBorder="1" applyAlignment="1" applyProtection="1">
      <alignment horizontal="left" vertical="center" shrinkToFit="1"/>
    </xf>
    <xf numFmtId="0" fontId="29" fillId="0" borderId="99" xfId="4" applyFont="1" applyFill="1" applyBorder="1" applyAlignment="1" applyProtection="1">
      <alignment horizontal="left" vertical="center" shrinkToFit="1"/>
    </xf>
    <xf numFmtId="0" fontId="29" fillId="0" borderId="104" xfId="4" applyFont="1" applyFill="1" applyBorder="1" applyAlignment="1" applyProtection="1">
      <alignment horizontal="left" vertical="center" shrinkToFit="1"/>
    </xf>
    <xf numFmtId="0" fontId="30" fillId="0" borderId="42" xfId="4" applyFont="1" applyFill="1" applyBorder="1" applyAlignment="1" applyProtection="1">
      <alignment horizontal="left" vertical="center" shrinkToFit="1"/>
    </xf>
    <xf numFmtId="0" fontId="30" fillId="0" borderId="40" xfId="4" applyFont="1" applyFill="1" applyBorder="1" applyAlignment="1" applyProtection="1">
      <alignment horizontal="left" vertical="center" shrinkToFit="1"/>
    </xf>
    <xf numFmtId="0" fontId="30" fillId="0" borderId="41" xfId="4" applyFont="1" applyFill="1" applyBorder="1" applyAlignment="1" applyProtection="1">
      <alignment horizontal="left" vertical="center" shrinkToFit="1"/>
    </xf>
    <xf numFmtId="0" fontId="34" fillId="0" borderId="40" xfId="5" applyNumberFormat="1" applyFont="1" applyBorder="1" applyAlignment="1" applyProtection="1">
      <alignment horizontal="left" vertical="center" shrinkToFit="1"/>
    </xf>
    <xf numFmtId="0" fontId="29" fillId="0" borderId="312" xfId="4" applyFont="1" applyFill="1" applyBorder="1" applyAlignment="1" applyProtection="1">
      <alignment horizontal="left" vertical="center" shrinkToFit="1"/>
    </xf>
    <xf numFmtId="0" fontId="29" fillId="0" borderId="285" xfId="4" applyFont="1" applyFill="1" applyBorder="1" applyAlignment="1" applyProtection="1">
      <alignment horizontal="left" vertical="center" shrinkToFit="1"/>
    </xf>
    <xf numFmtId="0" fontId="29" fillId="0" borderId="69" xfId="4" applyFont="1" applyFill="1" applyBorder="1" applyAlignment="1" applyProtection="1">
      <alignment horizontal="left" vertical="center" shrinkToFit="1"/>
    </xf>
    <xf numFmtId="10" fontId="34" fillId="0" borderId="264" xfId="5" applyNumberFormat="1" applyFont="1" applyBorder="1" applyAlignment="1" applyProtection="1">
      <alignment horizontal="right" vertical="center" shrinkToFit="1"/>
      <protection locked="0"/>
    </xf>
    <xf numFmtId="0" fontId="30" fillId="0" borderId="270" xfId="4" applyFont="1" applyBorder="1" applyAlignment="1" applyProtection="1">
      <alignment horizontal="center" vertical="center"/>
    </xf>
    <xf numFmtId="0" fontId="30" fillId="0" borderId="271" xfId="4" applyFont="1" applyBorder="1" applyAlignment="1" applyProtection="1">
      <alignment horizontal="center" vertical="center"/>
    </xf>
    <xf numFmtId="0" fontId="30" fillId="0" borderId="309" xfId="4" applyFont="1" applyBorder="1" applyAlignment="1" applyProtection="1">
      <alignment horizontal="center" vertical="center"/>
      <protection locked="0"/>
    </xf>
    <xf numFmtId="0" fontId="30" fillId="0" borderId="323" xfId="4" applyFont="1" applyBorder="1" applyAlignment="1" applyProtection="1">
      <alignment horizontal="center" vertical="center"/>
      <protection locked="0"/>
    </xf>
    <xf numFmtId="0" fontId="30" fillId="0" borderId="324" xfId="4" applyFont="1" applyBorder="1" applyAlignment="1" applyProtection="1">
      <alignment horizontal="center" vertical="center"/>
      <protection locked="0"/>
    </xf>
    <xf numFmtId="0" fontId="51" fillId="0" borderId="0" xfId="4" applyFont="1" applyFill="1" applyBorder="1" applyAlignment="1" applyProtection="1">
      <alignment horizontal="center" vertical="center"/>
    </xf>
    <xf numFmtId="0" fontId="34" fillId="0" borderId="274" xfId="4" applyFont="1" applyFill="1" applyBorder="1" applyAlignment="1" applyProtection="1">
      <alignment horizontal="center" vertical="center"/>
    </xf>
    <xf numFmtId="0" fontId="46" fillId="0" borderId="274" xfId="4" applyFont="1" applyFill="1" applyBorder="1" applyAlignment="1" applyProtection="1">
      <alignment horizontal="center" vertical="center" wrapText="1"/>
    </xf>
    <xf numFmtId="0" fontId="46" fillId="0" borderId="274" xfId="4" applyFont="1" applyFill="1" applyBorder="1" applyAlignment="1" applyProtection="1">
      <alignment horizontal="center" vertical="center"/>
    </xf>
    <xf numFmtId="184" fontId="29" fillId="6" borderId="1" xfId="5" applyNumberFormat="1" applyFont="1" applyFill="1" applyBorder="1" applyAlignment="1" applyProtection="1">
      <alignment horizontal="left" vertical="center" shrinkToFit="1"/>
    </xf>
    <xf numFmtId="184" fontId="29" fillId="6" borderId="165" xfId="5" applyNumberFormat="1" applyFont="1" applyFill="1" applyBorder="1" applyAlignment="1" applyProtection="1">
      <alignment horizontal="left" vertical="center" shrinkToFit="1"/>
    </xf>
    <xf numFmtId="49" fontId="31" fillId="6" borderId="162" xfId="13" applyNumberFormat="1" applyFont="1" applyFill="1" applyBorder="1" applyAlignment="1" applyProtection="1">
      <alignment horizontal="left" vertical="center" wrapText="1" shrinkToFit="1"/>
    </xf>
    <xf numFmtId="49" fontId="31" fillId="6" borderId="163" xfId="13" applyNumberFormat="1" applyFont="1" applyFill="1" applyBorder="1" applyAlignment="1" applyProtection="1">
      <alignment horizontal="left" vertical="center" shrinkToFit="1"/>
    </xf>
    <xf numFmtId="49" fontId="31" fillId="6" borderId="164" xfId="13" applyNumberFormat="1" applyFont="1" applyFill="1" applyBorder="1" applyAlignment="1" applyProtection="1">
      <alignment horizontal="left" vertical="center" shrinkToFit="1"/>
    </xf>
    <xf numFmtId="49" fontId="31" fillId="6" borderId="161" xfId="13" applyNumberFormat="1" applyFont="1" applyFill="1" applyBorder="1" applyAlignment="1" applyProtection="1">
      <alignment horizontal="left" vertical="center" shrinkToFit="1"/>
    </xf>
    <xf numFmtId="49" fontId="31" fillId="6" borderId="157" xfId="13" applyNumberFormat="1" applyFont="1" applyFill="1" applyBorder="1" applyAlignment="1" applyProtection="1">
      <alignment horizontal="left" vertical="center" shrinkToFit="1"/>
    </xf>
    <xf numFmtId="49" fontId="31" fillId="6" borderId="158" xfId="13" applyNumberFormat="1" applyFont="1" applyFill="1" applyBorder="1" applyAlignment="1" applyProtection="1">
      <alignment horizontal="left" vertical="center" shrinkToFit="1"/>
    </xf>
    <xf numFmtId="6" fontId="34" fillId="19" borderId="152" xfId="13" applyFont="1" applyFill="1" applyBorder="1" applyAlignment="1" applyProtection="1">
      <alignment horizontal="center" vertical="center" shrinkToFit="1"/>
    </xf>
    <xf numFmtId="6" fontId="34" fillId="19" borderId="153" xfId="13" applyFont="1" applyFill="1" applyBorder="1" applyAlignment="1" applyProtection="1">
      <alignment horizontal="center" vertical="center" shrinkToFit="1"/>
    </xf>
    <xf numFmtId="6" fontId="34" fillId="19" borderId="166" xfId="13" applyFont="1" applyFill="1" applyBorder="1" applyAlignment="1" applyProtection="1">
      <alignment horizontal="center" vertical="center" shrinkToFit="1"/>
    </xf>
    <xf numFmtId="0" fontId="29" fillId="19" borderId="7" xfId="4" applyFont="1" applyFill="1" applyBorder="1" applyAlignment="1" applyProtection="1">
      <alignment horizontal="center" vertical="center" wrapText="1" shrinkToFit="1"/>
    </xf>
    <xf numFmtId="0" fontId="29" fillId="19" borderId="147" xfId="4" applyFont="1" applyFill="1" applyBorder="1" applyAlignment="1" applyProtection="1">
      <alignment horizontal="center" vertical="center" wrapText="1" shrinkToFit="1"/>
    </xf>
    <xf numFmtId="0" fontId="29" fillId="19" borderId="149" xfId="4" applyFont="1" applyFill="1" applyBorder="1" applyAlignment="1" applyProtection="1">
      <alignment horizontal="center" vertical="center" wrapText="1" shrinkToFit="1"/>
    </xf>
    <xf numFmtId="49" fontId="29" fillId="6" borderId="6" xfId="13" applyNumberFormat="1" applyFont="1" applyFill="1" applyBorder="1" applyAlignment="1" applyProtection="1">
      <alignment horizontal="center" vertical="center" wrapText="1" shrinkToFit="1"/>
      <protection locked="0"/>
    </xf>
    <xf numFmtId="0" fontId="29" fillId="6" borderId="6" xfId="13" applyNumberFormat="1" applyFont="1" applyFill="1" applyBorder="1" applyAlignment="1" applyProtection="1">
      <alignment horizontal="center" vertical="center" shrinkToFit="1"/>
      <protection locked="0"/>
    </xf>
    <xf numFmtId="0" fontId="29" fillId="6" borderId="3" xfId="13" applyNumberFormat="1" applyFont="1" applyFill="1" applyBorder="1" applyAlignment="1" applyProtection="1">
      <alignment horizontal="center" vertical="center" shrinkToFit="1"/>
      <protection locked="0"/>
    </xf>
    <xf numFmtId="0" fontId="29" fillId="0" borderId="270" xfId="5" applyNumberFormat="1" applyFont="1" applyBorder="1" applyAlignment="1" applyProtection="1">
      <alignment horizontal="right" vertical="center"/>
    </xf>
    <xf numFmtId="0" fontId="29" fillId="0" borderId="270" xfId="5" applyNumberFormat="1" applyFont="1" applyBorder="1" applyAlignment="1" applyProtection="1">
      <alignment horizontal="left" vertical="center"/>
      <protection locked="0"/>
    </xf>
    <xf numFmtId="0" fontId="29" fillId="0" borderId="284" xfId="5" applyNumberFormat="1" applyFont="1" applyBorder="1" applyAlignment="1" applyProtection="1">
      <alignment horizontal="left" vertical="center"/>
      <protection locked="0"/>
    </xf>
    <xf numFmtId="0" fontId="34" fillId="19" borderId="30" xfId="4" applyFont="1" applyFill="1" applyBorder="1" applyAlignment="1" applyProtection="1">
      <alignment horizontal="center" vertical="center" shrinkToFit="1"/>
    </xf>
    <xf numFmtId="0" fontId="34" fillId="19" borderId="31" xfId="4" applyFont="1" applyFill="1" applyBorder="1" applyAlignment="1" applyProtection="1">
      <alignment horizontal="center" vertical="center" shrinkToFit="1"/>
    </xf>
    <xf numFmtId="0" fontId="34" fillId="19" borderId="62" xfId="4" applyFont="1" applyFill="1" applyBorder="1" applyAlignment="1" applyProtection="1">
      <alignment horizontal="center" vertical="center" shrinkToFit="1"/>
    </xf>
    <xf numFmtId="0" fontId="34" fillId="19" borderId="35" xfId="4" applyFont="1" applyFill="1" applyBorder="1" applyAlignment="1" applyProtection="1">
      <alignment horizontal="center" vertical="center" shrinkToFit="1"/>
    </xf>
    <xf numFmtId="0" fontId="34" fillId="19" borderId="36" xfId="4" applyFont="1" applyFill="1" applyBorder="1" applyAlignment="1" applyProtection="1">
      <alignment horizontal="center" vertical="center" shrinkToFit="1"/>
    </xf>
    <xf numFmtId="0" fontId="34" fillId="19" borderId="54" xfId="4" applyFont="1" applyFill="1" applyBorder="1" applyAlignment="1" applyProtection="1">
      <alignment horizontal="center" vertical="center" shrinkToFit="1"/>
    </xf>
    <xf numFmtId="0" fontId="34" fillId="0" borderId="31" xfId="4" applyFont="1" applyFill="1" applyBorder="1" applyAlignment="1" applyProtection="1">
      <alignment horizontal="left" vertical="center" shrinkToFit="1"/>
    </xf>
    <xf numFmtId="0" fontId="34" fillId="0" borderId="32" xfId="4" applyFont="1" applyFill="1" applyBorder="1" applyAlignment="1" applyProtection="1">
      <alignment horizontal="left" vertical="center" shrinkToFit="1"/>
    </xf>
    <xf numFmtId="0" fontId="36" fillId="0" borderId="36" xfId="4" applyFont="1" applyFill="1" applyBorder="1" applyAlignment="1" applyProtection="1">
      <alignment horizontal="left" vertical="center" shrinkToFit="1"/>
    </xf>
    <xf numFmtId="0" fontId="36" fillId="0" borderId="37" xfId="4" applyFont="1" applyFill="1" applyBorder="1" applyAlignment="1" applyProtection="1">
      <alignment horizontal="left" vertical="center" shrinkToFit="1"/>
    </xf>
    <xf numFmtId="0" fontId="34" fillId="62" borderId="71" xfId="4" applyFont="1" applyFill="1" applyBorder="1" applyAlignment="1" applyProtection="1">
      <alignment horizontal="center" vertical="center" wrapText="1"/>
    </xf>
    <xf numFmtId="0" fontId="34" fillId="62" borderId="114" xfId="4" applyFont="1" applyFill="1" applyBorder="1" applyAlignment="1" applyProtection="1">
      <alignment horizontal="center" vertical="center" wrapText="1"/>
    </xf>
    <xf numFmtId="0" fontId="34" fillId="62" borderId="36" xfId="4" applyFont="1" applyFill="1" applyBorder="1" applyAlignment="1" applyProtection="1">
      <alignment horizontal="center" vertical="center" wrapText="1"/>
    </xf>
    <xf numFmtId="0" fontId="34" fillId="62" borderId="54" xfId="4" applyFont="1" applyFill="1" applyBorder="1" applyAlignment="1" applyProtection="1">
      <alignment horizontal="center" vertical="center" wrapText="1"/>
    </xf>
    <xf numFmtId="0" fontId="34" fillId="62" borderId="70" xfId="4" applyFont="1" applyFill="1" applyBorder="1" applyAlignment="1" applyProtection="1">
      <alignment horizontal="center" vertical="center" wrapText="1" shrinkToFit="1"/>
    </xf>
    <xf numFmtId="0" fontId="34" fillId="62" borderId="71" xfId="4" applyFont="1" applyFill="1" applyBorder="1" applyAlignment="1" applyProtection="1">
      <alignment horizontal="center" vertical="center" wrapText="1" shrinkToFit="1"/>
    </xf>
    <xf numFmtId="0" fontId="34" fillId="62" borderId="115" xfId="4" applyFont="1" applyFill="1" applyBorder="1" applyAlignment="1" applyProtection="1">
      <alignment horizontal="center" vertical="center" wrapText="1" shrinkToFit="1"/>
    </xf>
    <xf numFmtId="0" fontId="34" fillId="62" borderId="5" xfId="4" applyFont="1" applyFill="1" applyBorder="1" applyAlignment="1" applyProtection="1">
      <alignment horizontal="center" vertical="center" wrapText="1" shrinkToFit="1"/>
    </xf>
    <xf numFmtId="0" fontId="34" fillId="62" borderId="36" xfId="4" applyFont="1" applyFill="1" applyBorder="1" applyAlignment="1" applyProtection="1">
      <alignment horizontal="center" vertical="center" wrapText="1" shrinkToFit="1"/>
    </xf>
    <xf numFmtId="0" fontId="34" fillId="62" borderId="80" xfId="4" applyFont="1" applyFill="1" applyBorder="1" applyAlignment="1" applyProtection="1">
      <alignment horizontal="center" vertical="center" wrapText="1" shrinkToFit="1"/>
    </xf>
    <xf numFmtId="6" fontId="34" fillId="0" borderId="286" xfId="13" applyFont="1" applyBorder="1" applyAlignment="1" applyProtection="1">
      <alignment horizontal="right" vertical="center" shrinkToFit="1"/>
    </xf>
    <xf numFmtId="6" fontId="34" fillId="0" borderId="270" xfId="13" applyFont="1" applyBorder="1" applyAlignment="1" applyProtection="1">
      <alignment horizontal="right" vertical="center" shrinkToFit="1"/>
    </xf>
    <xf numFmtId="6" fontId="34" fillId="0" borderId="78" xfId="6" applyNumberFormat="1" applyFont="1" applyBorder="1" applyAlignment="1" applyProtection="1">
      <alignment horizontal="right" vertical="center" shrinkToFit="1"/>
    </xf>
    <xf numFmtId="6" fontId="34" fillId="0" borderId="36" xfId="6" applyNumberFormat="1" applyFont="1" applyBorder="1" applyAlignment="1" applyProtection="1">
      <alignment horizontal="right" vertical="center" shrinkToFit="1"/>
    </xf>
    <xf numFmtId="6" fontId="34" fillId="0" borderId="54" xfId="6" applyNumberFormat="1" applyFont="1" applyBorder="1" applyAlignment="1" applyProtection="1">
      <alignment horizontal="right" vertical="center" shrinkToFit="1"/>
    </xf>
    <xf numFmtId="0" fontId="34" fillId="0" borderId="5" xfId="4" applyNumberFormat="1" applyFont="1" applyFill="1" applyBorder="1" applyAlignment="1" applyProtection="1">
      <alignment horizontal="left" vertical="center" shrinkToFit="1"/>
      <protection locked="0"/>
    </xf>
    <xf numFmtId="0" fontId="34" fillId="0" borderId="36" xfId="4" applyNumberFormat="1" applyFont="1" applyFill="1" applyBorder="1" applyAlignment="1" applyProtection="1">
      <alignment horizontal="left" vertical="center" shrinkToFit="1"/>
      <protection locked="0"/>
    </xf>
    <xf numFmtId="0" fontId="34" fillId="0" borderId="80" xfId="4" applyNumberFormat="1" applyFont="1" applyFill="1" applyBorder="1" applyAlignment="1" applyProtection="1">
      <alignment horizontal="left" vertical="center" shrinkToFit="1"/>
      <protection locked="0"/>
    </xf>
    <xf numFmtId="6" fontId="34" fillId="0" borderId="264" xfId="13" applyFont="1" applyFill="1" applyBorder="1" applyAlignment="1" applyProtection="1">
      <alignment horizontal="right" vertical="center" shrinkToFit="1"/>
      <protection locked="0"/>
    </xf>
    <xf numFmtId="0" fontId="42" fillId="2" borderId="282" xfId="4" applyFont="1" applyFill="1" applyBorder="1" applyAlignment="1" applyProtection="1">
      <alignment horizontal="center" vertical="center" shrinkToFit="1"/>
    </xf>
    <xf numFmtId="0" fontId="42" fillId="2" borderId="273" xfId="4" applyFont="1" applyFill="1" applyBorder="1" applyAlignment="1" applyProtection="1">
      <alignment horizontal="center" vertical="center" shrinkToFit="1"/>
    </xf>
    <xf numFmtId="0" fontId="42" fillId="2" borderId="275" xfId="4" applyFont="1" applyFill="1" applyBorder="1" applyAlignment="1" applyProtection="1">
      <alignment horizontal="center" vertical="center" shrinkToFit="1"/>
    </xf>
    <xf numFmtId="0" fontId="42" fillId="2" borderId="35" xfId="4" applyFont="1" applyFill="1" applyBorder="1" applyAlignment="1" applyProtection="1">
      <alignment horizontal="center" vertical="center" shrinkToFit="1"/>
    </xf>
    <xf numFmtId="0" fontId="42" fillId="2" borderId="36" xfId="4" applyFont="1" applyFill="1" applyBorder="1" applyAlignment="1" applyProtection="1">
      <alignment horizontal="center" vertical="center" shrinkToFit="1"/>
    </xf>
    <xf numFmtId="0" fontId="42" fillId="2" borderId="54" xfId="4" applyFont="1" applyFill="1" applyBorder="1" applyAlignment="1" applyProtection="1">
      <alignment horizontal="center" vertical="center" shrinkToFit="1"/>
    </xf>
    <xf numFmtId="49" fontId="43" fillId="0" borderId="152" xfId="4" applyNumberFormat="1" applyFont="1" applyFill="1" applyBorder="1" applyAlignment="1" applyProtection="1">
      <alignment horizontal="center" vertical="center" shrinkToFit="1"/>
    </xf>
    <xf numFmtId="49" fontId="43" fillId="0" borderId="153" xfId="4" applyNumberFormat="1" applyFont="1" applyFill="1" applyBorder="1" applyAlignment="1" applyProtection="1">
      <alignment horizontal="center" vertical="center" shrinkToFit="1"/>
    </xf>
    <xf numFmtId="49" fontId="43" fillId="0" borderId="154" xfId="4" applyNumberFormat="1" applyFont="1" applyFill="1" applyBorder="1" applyAlignment="1" applyProtection="1">
      <alignment horizontal="center" vertical="center" shrinkToFit="1"/>
    </xf>
    <xf numFmtId="0" fontId="43" fillId="0" borderId="153" xfId="4" applyFont="1" applyFill="1" applyBorder="1" applyAlignment="1" applyProtection="1">
      <alignment horizontal="center" vertical="center"/>
    </xf>
    <xf numFmtId="0" fontId="43" fillId="0" borderId="273" xfId="4" applyFont="1" applyFill="1" applyBorder="1" applyAlignment="1" applyProtection="1">
      <alignment horizontal="left" vertical="center"/>
    </xf>
    <xf numFmtId="0" fontId="52" fillId="0" borderId="245" xfId="4" applyFont="1" applyFill="1" applyBorder="1" applyAlignment="1" applyProtection="1">
      <alignment horizontal="center" vertical="center"/>
    </xf>
    <xf numFmtId="0" fontId="52" fillId="0" borderId="265" xfId="4" applyFont="1" applyFill="1" applyBorder="1" applyAlignment="1" applyProtection="1">
      <alignment horizontal="center" vertical="center"/>
    </xf>
    <xf numFmtId="0" fontId="30" fillId="0" borderId="5" xfId="4" applyFont="1" applyFill="1" applyBorder="1" applyAlignment="1" applyProtection="1">
      <alignment horizontal="center" vertical="center" shrinkToFit="1"/>
    </xf>
    <xf numFmtId="0" fontId="30" fillId="0" borderId="36" xfId="4" applyFont="1" applyFill="1" applyBorder="1" applyAlignment="1" applyProtection="1">
      <alignment horizontal="center" vertical="center" shrinkToFit="1"/>
    </xf>
    <xf numFmtId="0" fontId="30" fillId="0" borderId="54" xfId="4" applyFont="1" applyFill="1" applyBorder="1" applyAlignment="1" applyProtection="1">
      <alignment horizontal="center" vertical="center" shrinkToFit="1"/>
    </xf>
    <xf numFmtId="0" fontId="43" fillId="0" borderId="152" xfId="4" applyFont="1" applyFill="1" applyBorder="1" applyAlignment="1" applyProtection="1">
      <alignment horizontal="left" vertical="center" shrinkToFit="1"/>
      <protection locked="0"/>
    </xf>
    <xf numFmtId="0" fontId="43" fillId="0" borderId="153" xfId="4" applyFont="1" applyFill="1" applyBorder="1" applyAlignment="1" applyProtection="1">
      <alignment horizontal="left" vertical="center" shrinkToFit="1"/>
      <protection locked="0"/>
    </xf>
    <xf numFmtId="0" fontId="29" fillId="0" borderId="264" xfId="4" applyFont="1" applyFill="1" applyBorder="1" applyAlignment="1" applyProtection="1">
      <alignment vertical="center"/>
    </xf>
    <xf numFmtId="0" fontId="43" fillId="0" borderId="275" xfId="4" applyFont="1" applyFill="1" applyBorder="1" applyAlignment="1" applyProtection="1">
      <alignment horizontal="left" vertical="center"/>
    </xf>
    <xf numFmtId="0" fontId="29" fillId="0" borderId="264" xfId="4" applyFont="1" applyFill="1" applyBorder="1" applyAlignment="1" applyProtection="1">
      <alignment horizontal="center" vertical="center"/>
      <protection locked="0"/>
    </xf>
    <xf numFmtId="0" fontId="30" fillId="0" borderId="192" xfId="4" applyFont="1" applyFill="1" applyBorder="1" applyAlignment="1" applyProtection="1">
      <alignment horizontal="center" vertical="center" shrinkToFit="1"/>
    </xf>
    <xf numFmtId="0" fontId="30" fillId="0" borderId="200" xfId="4" applyFont="1" applyFill="1" applyBorder="1" applyAlignment="1" applyProtection="1">
      <alignment horizontal="center" vertical="center" shrinkToFit="1"/>
    </xf>
    <xf numFmtId="0" fontId="43" fillId="0" borderId="5" xfId="4" applyFont="1" applyFill="1" applyBorder="1" applyAlignment="1" applyProtection="1">
      <alignment horizontal="left" vertical="center"/>
      <protection locked="0"/>
    </xf>
    <xf numFmtId="0" fontId="43" fillId="0" borderId="36" xfId="4" applyFont="1" applyFill="1" applyBorder="1" applyAlignment="1" applyProtection="1">
      <alignment horizontal="left" vertical="center"/>
      <protection locked="0"/>
    </xf>
    <xf numFmtId="0" fontId="43" fillId="0" borderId="54" xfId="4" applyFont="1" applyFill="1" applyBorder="1" applyAlignment="1" applyProtection="1">
      <alignment horizontal="left" vertical="center"/>
      <protection locked="0"/>
    </xf>
    <xf numFmtId="0" fontId="43" fillId="0" borderId="5" xfId="4" applyFont="1" applyFill="1" applyBorder="1" applyAlignment="1" applyProtection="1">
      <alignment horizontal="center" vertical="center"/>
    </xf>
    <xf numFmtId="0" fontId="43" fillId="0" borderId="92" xfId="4" applyFont="1" applyFill="1" applyBorder="1" applyAlignment="1" applyProtection="1">
      <alignment horizontal="center" vertical="center"/>
    </xf>
    <xf numFmtId="0" fontId="43" fillId="0" borderId="248" xfId="4" applyFont="1" applyFill="1" applyBorder="1" applyAlignment="1" applyProtection="1">
      <alignment horizontal="left" vertical="center"/>
      <protection locked="0"/>
    </xf>
    <xf numFmtId="0" fontId="43" fillId="0" borderId="153" xfId="4" applyFont="1" applyFill="1" applyBorder="1" applyAlignment="1" applyProtection="1">
      <alignment horizontal="left" vertical="center"/>
      <protection locked="0"/>
    </xf>
    <xf numFmtId="0" fontId="43" fillId="0" borderId="154" xfId="4" applyFont="1" applyFill="1" applyBorder="1" applyAlignment="1" applyProtection="1">
      <alignment horizontal="left" vertical="center"/>
      <protection locked="0"/>
    </xf>
    <xf numFmtId="10" fontId="34" fillId="0" borderId="264" xfId="6" applyNumberFormat="1" applyFont="1" applyFill="1" applyBorder="1" applyAlignment="1" applyProtection="1">
      <alignment horizontal="right" vertical="center" shrinkToFit="1"/>
      <protection locked="0"/>
    </xf>
    <xf numFmtId="0" fontId="29" fillId="0" borderId="22" xfId="4" applyFont="1" applyFill="1" applyBorder="1" applyAlignment="1" applyProtection="1">
      <alignment vertical="center"/>
    </xf>
    <xf numFmtId="0" fontId="29" fillId="0" borderId="21" xfId="4" applyFont="1" applyFill="1" applyBorder="1" applyAlignment="1" applyProtection="1">
      <alignment vertical="center"/>
    </xf>
    <xf numFmtId="0" fontId="30" fillId="0" borderId="40" xfId="4" applyFont="1" applyFill="1" applyBorder="1" applyAlignment="1" applyProtection="1">
      <alignment horizontal="center" vertical="center" shrinkToFit="1"/>
    </xf>
    <xf numFmtId="0" fontId="30" fillId="0" borderId="41" xfId="4" applyFont="1" applyFill="1" applyBorder="1" applyAlignment="1" applyProtection="1">
      <alignment horizontal="center" vertical="center" shrinkToFit="1"/>
    </xf>
    <xf numFmtId="0" fontId="30" fillId="0" borderId="42" xfId="4" applyFont="1" applyFill="1" applyBorder="1" applyAlignment="1" applyProtection="1">
      <alignment horizontal="center" vertical="center"/>
    </xf>
    <xf numFmtId="0" fontId="30" fillId="0" borderId="155" xfId="4" applyFont="1" applyFill="1" applyBorder="1" applyAlignment="1" applyProtection="1">
      <alignment horizontal="center" vertical="center"/>
    </xf>
    <xf numFmtId="0" fontId="30" fillId="0" borderId="167" xfId="13" applyNumberFormat="1" applyFont="1" applyFill="1" applyBorder="1" applyAlignment="1" applyProtection="1">
      <alignment horizontal="left" vertical="center"/>
      <protection locked="0"/>
    </xf>
    <xf numFmtId="0" fontId="30" fillId="0" borderId="40" xfId="13" applyNumberFormat="1" applyFont="1" applyFill="1" applyBorder="1" applyAlignment="1" applyProtection="1">
      <alignment horizontal="left" vertical="center"/>
      <protection locked="0"/>
    </xf>
    <xf numFmtId="0" fontId="30" fillId="0" borderId="167" xfId="6" applyNumberFormat="1" applyFont="1" applyFill="1" applyBorder="1" applyAlignment="1" applyProtection="1">
      <alignment horizontal="left" vertical="center"/>
      <protection locked="0"/>
    </xf>
    <xf numFmtId="0" fontId="30" fillId="0" borderId="40" xfId="6" applyNumberFormat="1" applyFont="1" applyFill="1" applyBorder="1" applyAlignment="1" applyProtection="1">
      <alignment horizontal="left" vertical="center"/>
      <protection locked="0"/>
    </xf>
    <xf numFmtId="0" fontId="30" fillId="0" borderId="41" xfId="6" applyNumberFormat="1" applyFont="1" applyFill="1" applyBorder="1" applyAlignment="1" applyProtection="1">
      <alignment horizontal="left" vertical="center"/>
      <protection locked="0"/>
    </xf>
    <xf numFmtId="6" fontId="34" fillId="0" borderId="143" xfId="13" applyFont="1" applyFill="1" applyBorder="1" applyAlignment="1" applyProtection="1">
      <alignment horizontal="right" vertical="center" shrinkToFit="1"/>
      <protection locked="0"/>
    </xf>
    <xf numFmtId="6" fontId="34" fillId="0" borderId="143" xfId="13" applyFont="1" applyBorder="1" applyAlignment="1" applyProtection="1">
      <alignment horizontal="right" vertical="center" shrinkToFit="1"/>
      <protection locked="0"/>
    </xf>
    <xf numFmtId="10" fontId="34" fillId="0" borderId="143" xfId="5" applyNumberFormat="1" applyFont="1" applyBorder="1" applyAlignment="1" applyProtection="1">
      <alignment horizontal="right" vertical="center" shrinkToFit="1"/>
      <protection locked="0"/>
    </xf>
    <xf numFmtId="0" fontId="34" fillId="7" borderId="30" xfId="4" applyFont="1" applyFill="1" applyBorder="1" applyAlignment="1" applyProtection="1">
      <alignment horizontal="center" vertical="center"/>
    </xf>
    <xf numFmtId="0" fontId="34" fillId="7" borderId="31" xfId="4" applyFont="1" applyFill="1" applyBorder="1" applyAlignment="1" applyProtection="1">
      <alignment horizontal="center" vertical="center"/>
    </xf>
    <xf numFmtId="0" fontId="34" fillId="7" borderId="62" xfId="4" applyFont="1" applyFill="1" applyBorder="1" applyAlignment="1" applyProtection="1">
      <alignment horizontal="center" vertical="center"/>
    </xf>
    <xf numFmtId="0" fontId="34" fillId="7" borderId="35" xfId="4" applyFont="1" applyFill="1" applyBorder="1" applyAlignment="1" applyProtection="1">
      <alignment horizontal="center" vertical="center"/>
    </xf>
    <xf numFmtId="0" fontId="34" fillId="7" borderId="36" xfId="4" applyFont="1" applyFill="1" applyBorder="1" applyAlignment="1" applyProtection="1">
      <alignment horizontal="center" vertical="center"/>
    </xf>
    <xf numFmtId="0" fontId="34" fillId="7" borderId="54" xfId="4" applyFont="1" applyFill="1" applyBorder="1" applyAlignment="1" applyProtection="1">
      <alignment horizontal="center" vertical="center"/>
    </xf>
    <xf numFmtId="0" fontId="34" fillId="7" borderId="63" xfId="4" applyFont="1" applyFill="1" applyBorder="1" applyAlignment="1" applyProtection="1">
      <alignment horizontal="center" vertical="center"/>
    </xf>
    <xf numFmtId="0" fontId="34" fillId="7" borderId="288" xfId="4" applyFont="1" applyFill="1" applyBorder="1" applyAlignment="1" applyProtection="1">
      <alignment horizontal="center" vertical="center"/>
    </xf>
    <xf numFmtId="0" fontId="34" fillId="7" borderId="5" xfId="4" applyFont="1" applyFill="1" applyBorder="1" applyAlignment="1" applyProtection="1">
      <alignment horizontal="center" vertical="center"/>
    </xf>
    <xf numFmtId="0" fontId="34" fillId="7" borderId="80" xfId="4" applyFont="1" applyFill="1" applyBorder="1" applyAlignment="1" applyProtection="1">
      <alignment horizontal="center" vertical="center"/>
    </xf>
    <xf numFmtId="0" fontId="30" fillId="19" borderId="117" xfId="4" applyFont="1" applyFill="1" applyBorder="1" applyAlignment="1" applyProtection="1">
      <alignment horizontal="center" vertical="center"/>
    </xf>
    <xf numFmtId="0" fontId="30" fillId="19" borderId="23" xfId="4" applyFont="1" applyFill="1" applyBorder="1" applyAlignment="1" applyProtection="1">
      <alignment horizontal="center" vertical="center"/>
    </xf>
    <xf numFmtId="0" fontId="30" fillId="19" borderId="151" xfId="4" applyFont="1" applyFill="1" applyBorder="1" applyAlignment="1" applyProtection="1">
      <alignment horizontal="center" vertical="center"/>
    </xf>
    <xf numFmtId="0" fontId="30" fillId="19" borderId="78" xfId="4" applyFont="1" applyFill="1" applyBorder="1" applyAlignment="1" applyProtection="1">
      <alignment horizontal="center" vertical="center"/>
    </xf>
    <xf numFmtId="0" fontId="30" fillId="19" borderId="36" xfId="4" applyFont="1" applyFill="1" applyBorder="1" applyAlignment="1" applyProtection="1">
      <alignment horizontal="center" vertical="center"/>
    </xf>
    <xf numFmtId="0" fontId="30" fillId="19" borderId="54" xfId="4" applyFont="1" applyFill="1" applyBorder="1" applyAlignment="1" applyProtection="1">
      <alignment horizontal="center" vertical="center"/>
    </xf>
    <xf numFmtId="0" fontId="30" fillId="19" borderId="211" xfId="4" applyFont="1" applyFill="1" applyBorder="1" applyAlignment="1" applyProtection="1">
      <alignment horizontal="center" vertical="center" wrapText="1"/>
    </xf>
    <xf numFmtId="0" fontId="30" fillId="19" borderId="151" xfId="4" applyFont="1" applyFill="1" applyBorder="1" applyAlignment="1" applyProtection="1">
      <alignment horizontal="center" vertical="center" wrapText="1"/>
    </xf>
    <xf numFmtId="0" fontId="30" fillId="19" borderId="5" xfId="4" applyFont="1" applyFill="1" applyBorder="1" applyAlignment="1" applyProtection="1">
      <alignment horizontal="center" vertical="center" wrapText="1"/>
    </xf>
    <xf numFmtId="0" fontId="30" fillId="19" borderId="54" xfId="4" applyFont="1" applyFill="1" applyBorder="1" applyAlignment="1" applyProtection="1">
      <alignment horizontal="center" vertical="center" wrapText="1"/>
    </xf>
    <xf numFmtId="0" fontId="30" fillId="19" borderId="23" xfId="4" applyFont="1" applyFill="1" applyBorder="1" applyAlignment="1" applyProtection="1">
      <alignment horizontal="center" vertical="center" wrapText="1"/>
    </xf>
    <xf numFmtId="0" fontId="30" fillId="19" borderId="36" xfId="4" applyFont="1" applyFill="1" applyBorder="1" applyAlignment="1" applyProtection="1">
      <alignment horizontal="center" vertical="center" wrapText="1"/>
    </xf>
    <xf numFmtId="0" fontId="34" fillId="0" borderId="39" xfId="4" applyFont="1" applyFill="1" applyBorder="1" applyAlignment="1" applyProtection="1">
      <alignment horizontal="center" vertical="center" shrinkToFit="1"/>
      <protection locked="0"/>
    </xf>
    <xf numFmtId="0" fontId="34" fillId="0" borderId="40" xfId="4" applyFont="1" applyFill="1" applyBorder="1" applyAlignment="1" applyProtection="1">
      <alignment horizontal="center" vertical="center" shrinkToFit="1"/>
      <protection locked="0"/>
    </xf>
    <xf numFmtId="0" fontId="34" fillId="0" borderId="41" xfId="4" applyFont="1" applyFill="1" applyBorder="1" applyAlignment="1" applyProtection="1">
      <alignment horizontal="center" vertical="center" shrinkToFit="1"/>
      <protection locked="0"/>
    </xf>
    <xf numFmtId="0" fontId="29" fillId="0" borderId="258" xfId="4" applyFont="1" applyFill="1" applyBorder="1" applyAlignment="1" applyProtection="1">
      <alignment horizontal="center" vertical="center" shrinkToFit="1"/>
      <protection locked="0"/>
    </xf>
    <xf numFmtId="0" fontId="29" fillId="0" borderId="157" xfId="4" applyFont="1" applyFill="1" applyBorder="1" applyAlignment="1" applyProtection="1">
      <alignment horizontal="center" vertical="center" shrinkToFit="1"/>
      <protection locked="0"/>
    </xf>
    <xf numFmtId="0" fontId="29" fillId="0" borderId="259" xfId="4" applyFont="1" applyFill="1" applyBorder="1" applyAlignment="1" applyProtection="1">
      <alignment horizontal="center" vertical="center" shrinkToFit="1"/>
      <protection locked="0"/>
    </xf>
    <xf numFmtId="0" fontId="29" fillId="0" borderId="254" xfId="4" applyFont="1" applyFill="1" applyBorder="1" applyAlignment="1" applyProtection="1">
      <alignment vertical="center"/>
    </xf>
    <xf numFmtId="0" fontId="34" fillId="0" borderId="6" xfId="4" applyFont="1" applyFill="1" applyBorder="1" applyAlignment="1" applyProtection="1">
      <alignment horizontal="center" vertical="center" shrinkToFit="1"/>
    </xf>
    <xf numFmtId="0" fontId="34" fillId="0" borderId="192" xfId="4" applyFont="1" applyFill="1" applyBorder="1" applyAlignment="1" applyProtection="1">
      <alignment horizontal="center" vertical="center" shrinkToFit="1"/>
    </xf>
    <xf numFmtId="0" fontId="29" fillId="0" borderId="79" xfId="4" applyFont="1" applyFill="1" applyBorder="1" applyAlignment="1" applyProtection="1">
      <alignment horizontal="center" vertical="center" shrinkToFit="1"/>
    </xf>
    <xf numFmtId="0" fontId="29" fillId="0" borderId="194" xfId="4" applyFont="1" applyFill="1" applyBorder="1" applyAlignment="1" applyProtection="1">
      <alignment horizontal="center" vertical="center" shrinkToFit="1"/>
    </xf>
    <xf numFmtId="0" fontId="29" fillId="0" borderId="195" xfId="4" applyFont="1" applyFill="1" applyBorder="1" applyAlignment="1" applyProtection="1">
      <alignment horizontal="center" vertical="center" shrinkToFit="1"/>
    </xf>
    <xf numFmtId="0" fontId="29" fillId="0" borderId="6" xfId="4" applyFont="1" applyFill="1" applyBorder="1" applyAlignment="1" applyProtection="1">
      <alignment vertical="center"/>
    </xf>
    <xf numFmtId="6" fontId="34" fillId="0" borderId="6" xfId="13" applyFont="1" applyFill="1" applyBorder="1" applyAlignment="1" applyProtection="1">
      <alignment horizontal="right" vertical="center" shrinkToFit="1"/>
      <protection locked="0"/>
    </xf>
    <xf numFmtId="6" fontId="34" fillId="0" borderId="6" xfId="13" applyFont="1" applyBorder="1" applyAlignment="1" applyProtection="1">
      <alignment horizontal="right" vertical="center" shrinkToFit="1"/>
      <protection locked="0"/>
    </xf>
    <xf numFmtId="10" fontId="34" fillId="0" borderId="6" xfId="5" applyNumberFormat="1" applyFont="1" applyBorder="1" applyAlignment="1" applyProtection="1">
      <alignment horizontal="right" vertical="center" shrinkToFit="1"/>
      <protection locked="0"/>
    </xf>
    <xf numFmtId="0" fontId="34" fillId="0" borderId="4" xfId="4" applyFont="1" applyFill="1" applyBorder="1" applyAlignment="1" applyProtection="1">
      <alignment horizontal="center" vertical="center" shrinkToFit="1"/>
    </xf>
    <xf numFmtId="0" fontId="34" fillId="0" borderId="200" xfId="4" applyFont="1" applyFill="1" applyBorder="1" applyAlignment="1" applyProtection="1">
      <alignment horizontal="center" vertical="center" shrinkToFit="1"/>
    </xf>
    <xf numFmtId="0" fontId="34" fillId="0" borderId="2" xfId="4" applyFont="1" applyFill="1" applyBorder="1" applyAlignment="1" applyProtection="1">
      <alignment horizontal="center" vertical="center" shrinkToFit="1"/>
    </xf>
    <xf numFmtId="0" fontId="29" fillId="0" borderId="76" xfId="4" applyFont="1" applyFill="1" applyBorder="1" applyAlignment="1" applyProtection="1">
      <alignment horizontal="center" vertical="center" shrinkToFit="1"/>
    </xf>
    <xf numFmtId="0" fontId="29" fillId="0" borderId="200" xfId="4" applyFont="1" applyFill="1" applyBorder="1" applyAlignment="1" applyProtection="1">
      <alignment horizontal="center" vertical="center" shrinkToFit="1"/>
    </xf>
    <xf numFmtId="0" fontId="29" fillId="0" borderId="2" xfId="4" applyFont="1" applyFill="1" applyBorder="1" applyAlignment="1" applyProtection="1">
      <alignment horizontal="center" vertical="center" shrinkToFit="1"/>
    </xf>
    <xf numFmtId="0" fontId="49" fillId="7" borderId="118" xfId="4" applyFont="1" applyFill="1" applyBorder="1" applyAlignment="1" applyProtection="1">
      <alignment horizontal="center" vertical="center" wrapText="1"/>
    </xf>
    <xf numFmtId="0" fontId="49" fillId="7" borderId="119" xfId="4" applyFont="1" applyFill="1" applyBorder="1" applyAlignment="1" applyProtection="1">
      <alignment horizontal="center" vertical="center" wrapText="1"/>
    </xf>
    <xf numFmtId="0" fontId="49" fillId="7" borderId="120" xfId="4" applyFont="1" applyFill="1" applyBorder="1" applyAlignment="1" applyProtection="1">
      <alignment horizontal="center" vertical="center" wrapText="1"/>
    </xf>
    <xf numFmtId="49" fontId="49" fillId="0" borderId="121" xfId="4" applyNumberFormat="1" applyFont="1" applyFill="1" applyBorder="1" applyAlignment="1" applyProtection="1">
      <alignment horizontal="center" vertical="center" shrinkToFit="1"/>
      <protection locked="0"/>
    </xf>
    <xf numFmtId="49" fontId="49" fillId="0" borderId="119" xfId="4" applyNumberFormat="1" applyFont="1" applyFill="1" applyBorder="1" applyAlignment="1" applyProtection="1">
      <alignment horizontal="center" vertical="center" shrinkToFit="1"/>
      <protection locked="0"/>
    </xf>
    <xf numFmtId="49" fontId="49" fillId="0" borderId="120" xfId="4" applyNumberFormat="1" applyFont="1" applyFill="1" applyBorder="1" applyAlignment="1" applyProtection="1">
      <alignment horizontal="center" vertical="center" shrinkToFit="1"/>
      <protection locked="0"/>
    </xf>
    <xf numFmtId="0" fontId="49" fillId="7" borderId="121" xfId="4" applyFont="1" applyFill="1" applyBorder="1" applyAlignment="1" applyProtection="1">
      <alignment horizontal="center" vertical="center" wrapText="1"/>
    </xf>
    <xf numFmtId="0" fontId="30" fillId="7" borderId="121" xfId="4" applyFont="1" applyFill="1" applyBorder="1" applyAlignment="1" applyProtection="1">
      <alignment horizontal="center" vertical="center" shrinkToFit="1"/>
    </xf>
    <xf numFmtId="0" fontId="30" fillId="7" borderId="119" xfId="4" applyFont="1" applyFill="1" applyBorder="1" applyAlignment="1" applyProtection="1">
      <alignment horizontal="center" vertical="center" shrinkToFit="1"/>
    </xf>
    <xf numFmtId="49" fontId="30" fillId="0" borderId="121" xfId="4" applyNumberFormat="1" applyFont="1" applyFill="1" applyBorder="1" applyAlignment="1" applyProtection="1">
      <alignment horizontal="center" vertical="center" shrinkToFit="1"/>
      <protection locked="0"/>
    </xf>
    <xf numFmtId="49" fontId="30" fillId="0" borderId="119" xfId="4" applyNumberFormat="1" applyFont="1" applyFill="1" applyBorder="1" applyAlignment="1" applyProtection="1">
      <alignment horizontal="center" vertical="center" shrinkToFit="1"/>
      <protection locked="0"/>
    </xf>
    <xf numFmtId="0" fontId="30" fillId="0" borderId="125" xfId="4" applyNumberFormat="1" applyFont="1" applyFill="1" applyBorder="1" applyAlignment="1" applyProtection="1">
      <alignment horizontal="center" vertical="center" shrinkToFit="1"/>
      <protection locked="0"/>
    </xf>
    <xf numFmtId="0" fontId="30" fillId="0" borderId="127" xfId="4" applyNumberFormat="1" applyFont="1" applyFill="1" applyBorder="1" applyAlignment="1" applyProtection="1">
      <alignment horizontal="center" vertical="center"/>
      <protection locked="0"/>
    </xf>
    <xf numFmtId="0" fontId="34" fillId="7" borderId="124" xfId="4" applyFont="1" applyFill="1" applyBorder="1" applyAlignment="1" applyProtection="1">
      <alignment horizontal="center" vertical="center" shrinkToFit="1"/>
    </xf>
    <xf numFmtId="0" fontId="34" fillId="7" borderId="12" xfId="4" applyFont="1" applyFill="1" applyBorder="1" applyAlignment="1" applyProtection="1">
      <alignment horizontal="center" vertical="center" shrinkToFit="1"/>
    </xf>
    <xf numFmtId="0" fontId="34" fillId="7" borderId="13" xfId="4" applyFont="1" applyFill="1" applyBorder="1" applyAlignment="1" applyProtection="1">
      <alignment horizontal="center" vertical="center" shrinkToFit="1"/>
    </xf>
    <xf numFmtId="0" fontId="30" fillId="0" borderId="3" xfId="4" applyNumberFormat="1" applyFont="1" applyFill="1" applyBorder="1" applyAlignment="1" applyProtection="1">
      <alignment horizontal="center" vertical="center" shrinkToFit="1"/>
      <protection locked="0"/>
    </xf>
    <xf numFmtId="0" fontId="30" fillId="0" borderId="2" xfId="4" applyNumberFormat="1" applyFont="1" applyFill="1" applyBorder="1" applyAlignment="1" applyProtection="1">
      <alignment horizontal="center" vertical="center" shrinkToFit="1"/>
      <protection locked="0"/>
    </xf>
    <xf numFmtId="0" fontId="30" fillId="0" borderId="2" xfId="4" applyNumberFormat="1" applyFont="1" applyFill="1" applyBorder="1" applyAlignment="1" applyProtection="1">
      <alignment horizontal="center" vertical="center" shrinkToFit="1"/>
    </xf>
    <xf numFmtId="0" fontId="34" fillId="7" borderId="9" xfId="4" applyFont="1" applyFill="1" applyBorder="1" applyAlignment="1" applyProtection="1">
      <alignment horizontal="center" vertical="center" shrinkToFit="1"/>
    </xf>
    <xf numFmtId="0" fontId="30" fillId="0" borderId="9" xfId="4" applyNumberFormat="1" applyFont="1" applyFill="1" applyBorder="1" applyAlignment="1" applyProtection="1">
      <alignment horizontal="center" vertical="center" shrinkToFit="1"/>
    </xf>
    <xf numFmtId="0" fontId="34" fillId="7" borderId="3" xfId="4" applyFont="1" applyFill="1" applyBorder="1" applyAlignment="1" applyProtection="1">
      <alignment horizontal="center" vertical="center" shrinkToFit="1"/>
    </xf>
    <xf numFmtId="0" fontId="34" fillId="7" borderId="1" xfId="4" applyFont="1" applyFill="1" applyBorder="1" applyAlignment="1" applyProtection="1">
      <alignment horizontal="center" vertical="center" shrinkToFit="1"/>
    </xf>
    <xf numFmtId="0" fontId="30" fillId="0" borderId="144" xfId="4" applyNumberFormat="1" applyFont="1" applyFill="1" applyBorder="1" applyAlignment="1" applyProtection="1">
      <alignment horizontal="center" vertical="center" shrinkToFit="1"/>
    </xf>
    <xf numFmtId="0" fontId="30" fillId="0" borderId="145" xfId="4" applyNumberFormat="1" applyFont="1" applyFill="1" applyBorder="1" applyAlignment="1" applyProtection="1">
      <alignment horizontal="center" vertical="center" shrinkToFit="1"/>
    </xf>
    <xf numFmtId="0" fontId="34" fillId="7" borderId="7" xfId="4" applyFont="1" applyFill="1" applyBorder="1" applyAlignment="1" applyProtection="1">
      <alignment horizontal="center" vertical="center" shrinkToFit="1"/>
    </xf>
    <xf numFmtId="0" fontId="30" fillId="0" borderId="135" xfId="4" applyNumberFormat="1" applyFont="1" applyFill="1" applyBorder="1" applyAlignment="1" applyProtection="1">
      <alignment horizontal="center" vertical="center" shrinkToFit="1"/>
    </xf>
    <xf numFmtId="0" fontId="30" fillId="0" borderId="7" xfId="4" applyNumberFormat="1" applyFont="1" applyFill="1" applyBorder="1" applyAlignment="1" applyProtection="1">
      <alignment horizontal="center" vertical="center" shrinkToFit="1"/>
    </xf>
    <xf numFmtId="0" fontId="30" fillId="0" borderId="13" xfId="4" applyNumberFormat="1" applyFont="1" applyFill="1" applyBorder="1" applyAlignment="1" applyProtection="1">
      <alignment horizontal="center" vertical="center" shrinkToFit="1"/>
    </xf>
    <xf numFmtId="0" fontId="59" fillId="0" borderId="272" xfId="4" applyFont="1" applyFill="1" applyBorder="1" applyAlignment="1" applyProtection="1">
      <alignment horizontal="center" vertical="center"/>
    </xf>
    <xf numFmtId="0" fontId="59" fillId="0" borderId="275" xfId="4" applyFont="1" applyFill="1" applyBorder="1" applyAlignment="1" applyProtection="1">
      <alignment horizontal="center" vertical="center"/>
    </xf>
    <xf numFmtId="0" fontId="29" fillId="0" borderId="279" xfId="4" applyFont="1" applyFill="1" applyBorder="1" applyAlignment="1" applyProtection="1">
      <alignment horizontal="center" vertical="center" shrinkToFit="1"/>
      <protection locked="0"/>
    </xf>
    <xf numFmtId="0" fontId="29" fillId="0" borderId="273" xfId="4" applyFont="1" applyFill="1" applyBorder="1" applyAlignment="1" applyProtection="1">
      <alignment horizontal="center" vertical="center" shrinkToFit="1"/>
      <protection locked="0"/>
    </xf>
    <xf numFmtId="0" fontId="29" fillId="0" borderId="275" xfId="4" applyFont="1" applyFill="1" applyBorder="1" applyAlignment="1" applyProtection="1">
      <alignment horizontal="center" vertical="center" shrinkToFit="1"/>
      <protection locked="0"/>
    </xf>
    <xf numFmtId="0" fontId="30" fillId="0" borderId="121" xfId="4" applyNumberFormat="1" applyFont="1" applyFill="1" applyBorder="1" applyAlignment="1" applyProtection="1">
      <alignment horizontal="center" vertical="center" shrinkToFit="1"/>
    </xf>
    <xf numFmtId="0" fontId="30" fillId="0" borderId="119" xfId="4" applyNumberFormat="1" applyFont="1" applyFill="1" applyBorder="1" applyAlignment="1" applyProtection="1">
      <alignment horizontal="center" vertical="center" shrinkToFit="1"/>
    </xf>
    <xf numFmtId="0" fontId="30" fillId="7" borderId="122" xfId="4" applyFont="1" applyFill="1" applyBorder="1" applyAlignment="1" applyProtection="1">
      <alignment horizontal="center" vertical="center" shrinkToFit="1"/>
    </xf>
    <xf numFmtId="0" fontId="30" fillId="0" borderId="146" xfId="4" applyNumberFormat="1" applyFont="1" applyFill="1" applyBorder="1" applyAlignment="1" applyProtection="1">
      <alignment horizontal="center" vertical="center" shrinkToFit="1"/>
    </xf>
    <xf numFmtId="0" fontId="34" fillId="7" borderId="127" xfId="4" applyFont="1" applyFill="1" applyBorder="1" applyAlignment="1" applyProtection="1">
      <alignment horizontal="center" vertical="center"/>
    </xf>
    <xf numFmtId="0" fontId="34" fillId="7" borderId="128" xfId="4" applyFont="1" applyFill="1" applyBorder="1" applyAlignment="1" applyProtection="1">
      <alignment horizontal="center" vertical="center"/>
    </xf>
    <xf numFmtId="0" fontId="34" fillId="0" borderId="129" xfId="4" applyFont="1" applyFill="1" applyBorder="1" applyAlignment="1" applyProtection="1">
      <alignment horizontal="center" vertical="center"/>
    </xf>
    <xf numFmtId="0" fontId="34" fillId="0" borderId="127" xfId="4" applyFont="1" applyFill="1" applyBorder="1" applyAlignment="1" applyProtection="1">
      <alignment horizontal="center" vertical="center"/>
    </xf>
    <xf numFmtId="0" fontId="29" fillId="0" borderId="269" xfId="4" applyFont="1" applyFill="1" applyBorder="1" applyAlignment="1" applyProtection="1">
      <alignment horizontal="right" vertical="center"/>
    </xf>
    <xf numFmtId="0" fontId="29" fillId="0" borderId="270" xfId="4" applyFont="1" applyFill="1" applyBorder="1" applyAlignment="1" applyProtection="1">
      <alignment horizontal="right" vertical="center"/>
    </xf>
    <xf numFmtId="49" fontId="29" fillId="0" borderId="270" xfId="5" applyNumberFormat="1" applyFont="1" applyBorder="1" applyAlignment="1" applyProtection="1">
      <alignment horizontal="left" vertical="center" shrinkToFit="1"/>
      <protection locked="0"/>
    </xf>
    <xf numFmtId="49" fontId="29" fillId="0" borderId="228" xfId="5" applyNumberFormat="1" applyFont="1" applyBorder="1" applyAlignment="1" applyProtection="1">
      <alignment horizontal="left" vertical="center" shrinkToFit="1"/>
      <protection locked="0"/>
    </xf>
    <xf numFmtId="10" fontId="31" fillId="0" borderId="269" xfId="6" applyNumberFormat="1" applyFont="1" applyFill="1" applyBorder="1" applyAlignment="1" applyProtection="1">
      <alignment horizontal="left" vertical="center" shrinkToFit="1"/>
    </xf>
    <xf numFmtId="10" fontId="31" fillId="0" borderId="270" xfId="6" applyNumberFormat="1" applyFont="1" applyFill="1" applyBorder="1" applyAlignment="1" applyProtection="1">
      <alignment horizontal="left" vertical="center" shrinkToFit="1"/>
    </xf>
    <xf numFmtId="49" fontId="30" fillId="0" borderId="122" xfId="4" applyNumberFormat="1" applyFont="1" applyFill="1" applyBorder="1" applyAlignment="1" applyProtection="1">
      <alignment horizontal="center" vertical="center" shrinkToFit="1"/>
      <protection locked="0"/>
    </xf>
    <xf numFmtId="49" fontId="30" fillId="0" borderId="123" xfId="4" applyNumberFormat="1" applyFont="1" applyFill="1" applyBorder="1" applyAlignment="1" applyProtection="1">
      <alignment horizontal="center" vertical="center" shrinkToFit="1"/>
      <protection locked="0"/>
    </xf>
    <xf numFmtId="0" fontId="59" fillId="0" borderId="75" xfId="4" applyFont="1" applyFill="1" applyBorder="1" applyAlignment="1" applyProtection="1">
      <alignment horizontal="center" vertical="center"/>
    </xf>
    <xf numFmtId="0" fontId="59" fillId="0" borderId="74" xfId="4" applyFont="1" applyFill="1" applyBorder="1" applyAlignment="1" applyProtection="1">
      <alignment horizontal="center" vertical="center"/>
    </xf>
    <xf numFmtId="0" fontId="29" fillId="8" borderId="270" xfId="6" applyNumberFormat="1" applyFont="1" applyFill="1" applyBorder="1" applyAlignment="1" applyProtection="1">
      <alignment horizontal="right" vertical="center" shrinkToFit="1"/>
    </xf>
    <xf numFmtId="6" fontId="34" fillId="0" borderId="329" xfId="13" applyFont="1" applyBorder="1" applyAlignment="1" applyProtection="1">
      <alignment horizontal="right" vertical="center" shrinkToFit="1"/>
      <protection locked="0"/>
    </xf>
    <xf numFmtId="0" fontId="34" fillId="7" borderId="126" xfId="4" applyFont="1" applyFill="1" applyBorder="1" applyAlignment="1" applyProtection="1">
      <alignment horizontal="center" vertical="center"/>
    </xf>
    <xf numFmtId="0" fontId="34" fillId="0" borderId="280" xfId="4" applyFont="1" applyFill="1" applyBorder="1" applyAlignment="1" applyProtection="1">
      <alignment horizontal="center" vertical="center" shrinkToFit="1"/>
    </xf>
    <xf numFmtId="0" fontId="34" fillId="0" borderId="270" xfId="4" applyFont="1" applyFill="1" applyBorder="1" applyAlignment="1" applyProtection="1">
      <alignment horizontal="center" vertical="center" shrinkToFit="1"/>
    </xf>
    <xf numFmtId="0" fontId="34" fillId="0" borderId="271" xfId="4" applyFont="1" applyFill="1" applyBorder="1" applyAlignment="1" applyProtection="1">
      <alignment horizontal="center" vertical="center" shrinkToFit="1"/>
    </xf>
    <xf numFmtId="0" fontId="30" fillId="19" borderId="138" xfId="4" applyFont="1" applyFill="1" applyBorder="1" applyAlignment="1" applyProtection="1">
      <alignment horizontal="center" vertical="center"/>
    </xf>
    <xf numFmtId="0" fontId="30" fillId="19" borderId="71" xfId="4" applyFont="1" applyFill="1" applyBorder="1" applyAlignment="1" applyProtection="1">
      <alignment horizontal="center" vertical="center"/>
    </xf>
    <xf numFmtId="0" fontId="30" fillId="19" borderId="114" xfId="4" applyFont="1" applyFill="1" applyBorder="1" applyAlignment="1" applyProtection="1">
      <alignment horizontal="center" vertical="center"/>
    </xf>
    <xf numFmtId="0" fontId="30" fillId="19" borderId="108" xfId="4" applyFont="1" applyFill="1" applyBorder="1" applyAlignment="1" applyProtection="1">
      <alignment horizontal="center" vertical="center"/>
    </xf>
    <xf numFmtId="0" fontId="30" fillId="19" borderId="0" xfId="4" applyFont="1" applyFill="1" applyBorder="1" applyAlignment="1" applyProtection="1">
      <alignment horizontal="center" vertical="center"/>
    </xf>
    <xf numFmtId="0" fontId="30" fillId="19" borderId="38" xfId="4" applyFont="1" applyFill="1" applyBorder="1" applyAlignment="1" applyProtection="1">
      <alignment horizontal="center" vertical="center"/>
    </xf>
    <xf numFmtId="0" fontId="30" fillId="19" borderId="70" xfId="4" applyFont="1" applyFill="1" applyBorder="1" applyAlignment="1" applyProtection="1">
      <alignment horizontal="center" vertical="center" wrapText="1"/>
    </xf>
    <xf numFmtId="0" fontId="30" fillId="19" borderId="114" xfId="4" applyFont="1" applyFill="1" applyBorder="1" applyAlignment="1" applyProtection="1">
      <alignment horizontal="center" vertical="center" wrapText="1"/>
    </xf>
    <xf numFmtId="0" fontId="30" fillId="19" borderId="8" xfId="4" applyFont="1" applyFill="1" applyBorder="1" applyAlignment="1" applyProtection="1">
      <alignment horizontal="center" vertical="center" wrapText="1"/>
    </xf>
    <xf numFmtId="0" fontId="30" fillId="19" borderId="38" xfId="4" applyFont="1" applyFill="1" applyBorder="1" applyAlignment="1" applyProtection="1">
      <alignment horizontal="center" vertical="center" wrapText="1"/>
    </xf>
    <xf numFmtId="0" fontId="30" fillId="19" borderId="71" xfId="4" applyFont="1" applyFill="1" applyBorder="1" applyAlignment="1" applyProtection="1">
      <alignment horizontal="center" vertical="center" wrapText="1"/>
    </xf>
    <xf numFmtId="0" fontId="30" fillId="19" borderId="0" xfId="4" applyFont="1" applyFill="1" applyBorder="1" applyAlignment="1" applyProtection="1">
      <alignment horizontal="center" vertical="center" wrapText="1"/>
    </xf>
    <xf numFmtId="6" fontId="30" fillId="19" borderId="70" xfId="5" applyFont="1" applyFill="1" applyBorder="1" applyAlignment="1" applyProtection="1">
      <alignment horizontal="center" vertical="center" shrinkToFit="1"/>
    </xf>
    <xf numFmtId="6" fontId="30" fillId="19" borderId="71" xfId="5" applyFont="1" applyFill="1" applyBorder="1" applyAlignment="1" applyProtection="1">
      <alignment horizontal="center" vertical="center" shrinkToFit="1"/>
    </xf>
    <xf numFmtId="6" fontId="30" fillId="19" borderId="277" xfId="5" applyFont="1" applyFill="1" applyBorder="1" applyAlignment="1" applyProtection="1">
      <alignment horizontal="center" vertical="center" shrinkToFit="1"/>
    </xf>
    <xf numFmtId="6" fontId="30" fillId="19" borderId="8" xfId="5" applyFont="1" applyFill="1" applyBorder="1" applyAlignment="1" applyProtection="1">
      <alignment horizontal="center" vertical="center" shrinkToFit="1"/>
    </xf>
    <xf numFmtId="6" fontId="30" fillId="19" borderId="0" xfId="5" applyFont="1" applyFill="1" applyBorder="1" applyAlignment="1" applyProtection="1">
      <alignment horizontal="center" vertical="center" shrinkToFit="1"/>
    </xf>
    <xf numFmtId="6" fontId="30" fillId="19" borderId="72" xfId="5" applyFont="1" applyFill="1" applyBorder="1" applyAlignment="1" applyProtection="1">
      <alignment horizontal="center" vertical="center" shrinkToFit="1"/>
    </xf>
    <xf numFmtId="10" fontId="34" fillId="0" borderId="274" xfId="5" applyNumberFormat="1" applyFont="1" applyBorder="1" applyAlignment="1" applyProtection="1">
      <alignment horizontal="right" vertical="center" shrinkToFit="1"/>
      <protection locked="0"/>
    </xf>
    <xf numFmtId="6" fontId="34" fillId="0" borderId="272" xfId="13" applyFont="1" applyFill="1" applyBorder="1" applyAlignment="1" applyProtection="1">
      <alignment horizontal="right" vertical="center" shrinkToFit="1"/>
      <protection locked="0"/>
    </xf>
    <xf numFmtId="6" fontId="34" fillId="0" borderId="273" xfId="13" applyFont="1" applyFill="1" applyBorder="1" applyAlignment="1" applyProtection="1">
      <alignment horizontal="right" vertical="center" shrinkToFit="1"/>
      <protection locked="0"/>
    </xf>
    <xf numFmtId="6" fontId="34" fillId="0" borderId="275" xfId="13" applyFont="1" applyFill="1" applyBorder="1" applyAlignment="1" applyProtection="1">
      <alignment horizontal="right" vertical="center" shrinkToFit="1"/>
      <protection locked="0"/>
    </xf>
    <xf numFmtId="6" fontId="34" fillId="0" borderId="272" xfId="13" applyFont="1" applyBorder="1" applyAlignment="1" applyProtection="1">
      <alignment horizontal="right" vertical="center" shrinkToFit="1"/>
      <protection locked="0"/>
    </xf>
    <xf numFmtId="6" fontId="34" fillId="0" borderId="273" xfId="13" applyFont="1" applyBorder="1" applyAlignment="1" applyProtection="1">
      <alignment horizontal="right" vertical="center" shrinkToFit="1"/>
      <protection locked="0"/>
    </xf>
    <xf numFmtId="6" fontId="34" fillId="0" borderId="275" xfId="13" applyFont="1" applyBorder="1" applyAlignment="1" applyProtection="1">
      <alignment horizontal="right" vertical="center" shrinkToFit="1"/>
      <protection locked="0"/>
    </xf>
    <xf numFmtId="0" fontId="34" fillId="7" borderId="33" xfId="4" applyFont="1" applyFill="1" applyBorder="1" applyAlignment="1" applyProtection="1">
      <alignment horizontal="center" vertical="center"/>
    </xf>
    <xf numFmtId="0" fontId="34" fillId="7" borderId="0" xfId="4" applyFont="1" applyFill="1" applyBorder="1" applyAlignment="1" applyProtection="1">
      <alignment horizontal="center" vertical="center"/>
    </xf>
    <xf numFmtId="0" fontId="34" fillId="7" borderId="38" xfId="4" applyFont="1" applyFill="1" applyBorder="1" applyAlignment="1" applyProtection="1">
      <alignment horizontal="center" vertical="center"/>
    </xf>
    <xf numFmtId="0" fontId="34" fillId="7" borderId="8" xfId="4" applyFont="1" applyFill="1" applyBorder="1" applyAlignment="1" applyProtection="1">
      <alignment horizontal="center" vertical="center"/>
    </xf>
    <xf numFmtId="0" fontId="34" fillId="0" borderId="81" xfId="4" applyFont="1" applyFill="1" applyBorder="1" applyAlignment="1" applyProtection="1">
      <alignment horizontal="center" vertical="center" shrinkToFit="1"/>
    </xf>
    <xf numFmtId="6" fontId="5" fillId="0" borderId="9" xfId="13" applyFont="1" applyFill="1" applyBorder="1" applyAlignment="1" applyProtection="1">
      <alignment vertical="center" shrinkToFit="1"/>
      <protection hidden="1"/>
    </xf>
    <xf numFmtId="6" fontId="5" fillId="0" borderId="11" xfId="13" applyFont="1" applyFill="1" applyBorder="1" applyAlignment="1" applyProtection="1">
      <alignment vertical="center" shrinkToFit="1"/>
      <protection hidden="1"/>
    </xf>
    <xf numFmtId="0" fontId="34" fillId="2" borderId="66" xfId="4" applyFont="1" applyFill="1" applyBorder="1" applyAlignment="1" applyProtection="1">
      <alignment horizontal="center" vertical="center" shrinkToFit="1"/>
    </xf>
    <xf numFmtId="0" fontId="34" fillId="2" borderId="68" xfId="4" applyFont="1" applyFill="1" applyBorder="1" applyAlignment="1" applyProtection="1">
      <alignment horizontal="center" vertical="center" shrinkToFit="1"/>
    </xf>
    <xf numFmtId="0" fontId="29" fillId="0" borderId="148" xfId="4" applyFont="1" applyFill="1" applyBorder="1" applyAlignment="1" applyProtection="1">
      <alignment vertical="center"/>
    </xf>
    <xf numFmtId="6" fontId="29" fillId="0" borderId="148" xfId="5" applyFont="1" applyBorder="1" applyAlignment="1" applyProtection="1">
      <alignment horizontal="left" vertical="center" shrinkToFit="1"/>
    </xf>
    <xf numFmtId="6" fontId="29" fillId="0" borderId="207" xfId="5" applyFont="1" applyBorder="1" applyAlignment="1" applyProtection="1">
      <alignment horizontal="left" vertical="center" shrinkToFit="1"/>
    </xf>
    <xf numFmtId="0" fontId="34" fillId="23" borderId="201" xfId="4" applyFont="1" applyFill="1" applyBorder="1" applyAlignment="1" applyProtection="1">
      <alignment horizontal="center" vertical="center" wrapText="1" shrinkToFit="1"/>
    </xf>
    <xf numFmtId="0" fontId="38" fillId="23" borderId="194" xfId="4" applyFont="1" applyFill="1" applyBorder="1" applyAlignment="1" applyProtection="1">
      <alignment horizontal="center" vertical="center" shrinkToFit="1"/>
    </xf>
    <xf numFmtId="0" fontId="38" fillId="23" borderId="195" xfId="4" applyFont="1" applyFill="1" applyBorder="1" applyAlignment="1" applyProtection="1">
      <alignment horizontal="center" vertical="center" shrinkToFit="1"/>
    </xf>
    <xf numFmtId="0" fontId="38" fillId="23" borderId="33" xfId="4" applyFont="1" applyFill="1" applyBorder="1" applyAlignment="1" applyProtection="1">
      <alignment horizontal="center" vertical="center" shrinkToFit="1"/>
    </xf>
    <xf numFmtId="0" fontId="38" fillId="23" borderId="0" xfId="4" applyFont="1" applyFill="1" applyBorder="1" applyAlignment="1" applyProtection="1">
      <alignment horizontal="center" vertical="center" shrinkToFit="1"/>
    </xf>
    <xf numFmtId="0" fontId="38" fillId="23" borderId="38" xfId="4" applyFont="1" applyFill="1" applyBorder="1" applyAlignment="1" applyProtection="1">
      <alignment horizontal="center" vertical="center" shrinkToFit="1"/>
    </xf>
    <xf numFmtId="0" fontId="38" fillId="23" borderId="39" xfId="4" applyFont="1" applyFill="1" applyBorder="1" applyAlignment="1" applyProtection="1">
      <alignment horizontal="center" vertical="center" shrinkToFit="1"/>
    </xf>
    <xf numFmtId="0" fontId="38" fillId="23" borderId="40" xfId="4" applyFont="1" applyFill="1" applyBorder="1" applyAlignment="1" applyProtection="1">
      <alignment horizontal="center" vertical="center" shrinkToFit="1"/>
    </xf>
    <xf numFmtId="0" fontId="38" fillId="23" borderId="41" xfId="4" applyFont="1" applyFill="1" applyBorder="1" applyAlignment="1" applyProtection="1">
      <alignment horizontal="center" vertical="center" shrinkToFit="1"/>
    </xf>
    <xf numFmtId="0" fontId="34" fillId="2" borderId="192" xfId="4" applyFont="1" applyFill="1" applyBorder="1" applyAlignment="1" applyProtection="1">
      <alignment horizontal="center" vertical="center" shrinkToFit="1"/>
    </xf>
    <xf numFmtId="0" fontId="34" fillId="2" borderId="2" xfId="4" applyFont="1" applyFill="1" applyBorder="1" applyAlignment="1" applyProtection="1">
      <alignment horizontal="center" vertical="center" shrinkToFit="1"/>
    </xf>
    <xf numFmtId="6" fontId="29" fillId="0" borderId="6" xfId="5" applyFont="1" applyBorder="1" applyAlignment="1" applyProtection="1">
      <alignment horizontal="left" vertical="center" shrinkToFit="1"/>
    </xf>
    <xf numFmtId="6" fontId="29" fillId="0" borderId="84" xfId="5" applyFont="1" applyBorder="1" applyAlignment="1" applyProtection="1">
      <alignment horizontal="left" vertical="center" shrinkToFit="1"/>
    </xf>
    <xf numFmtId="6" fontId="5" fillId="0" borderId="6" xfId="4" applyNumberFormat="1" applyFont="1" applyFill="1" applyBorder="1" applyAlignment="1" applyProtection="1">
      <alignment vertical="center" shrinkToFit="1"/>
      <protection hidden="1"/>
    </xf>
    <xf numFmtId="10" fontId="34" fillId="0" borderId="329" xfId="5" applyNumberFormat="1" applyFont="1" applyBorder="1" applyAlignment="1" applyProtection="1">
      <alignment horizontal="right" vertical="center" shrinkToFit="1"/>
      <protection locked="0"/>
    </xf>
    <xf numFmtId="0" fontId="29" fillId="8" borderId="270" xfId="6" applyNumberFormat="1" applyFont="1" applyFill="1" applyBorder="1" applyAlignment="1" applyProtection="1">
      <alignment horizontal="left" vertical="center" shrinkToFit="1"/>
      <protection locked="0"/>
    </xf>
    <xf numFmtId="0" fontId="29" fillId="8" borderId="228" xfId="6" applyNumberFormat="1" applyFont="1" applyFill="1" applyBorder="1" applyAlignment="1" applyProtection="1">
      <alignment horizontal="left" vertical="center" shrinkToFit="1"/>
      <protection locked="0"/>
    </xf>
    <xf numFmtId="0" fontId="59" fillId="0" borderId="313" xfId="4" applyFont="1" applyFill="1" applyBorder="1" applyAlignment="1" applyProtection="1">
      <alignment horizontal="center" vertical="center"/>
    </xf>
    <xf numFmtId="0" fontId="59" fillId="0" borderId="315" xfId="4" applyFont="1" applyFill="1" applyBorder="1" applyAlignment="1" applyProtection="1">
      <alignment horizontal="center" vertical="center"/>
    </xf>
    <xf numFmtId="6" fontId="34" fillId="0" borderId="313" xfId="13" applyFont="1" applyFill="1" applyBorder="1" applyAlignment="1" applyProtection="1">
      <alignment horizontal="right" vertical="center" shrinkToFit="1"/>
      <protection locked="0"/>
    </xf>
    <xf numFmtId="6" fontId="34" fillId="0" borderId="314" xfId="13" applyFont="1" applyFill="1" applyBorder="1" applyAlignment="1" applyProtection="1">
      <alignment horizontal="right" vertical="center" shrinkToFit="1"/>
      <protection locked="0"/>
    </xf>
    <xf numFmtId="6" fontId="34" fillId="0" borderId="315" xfId="13" applyFont="1" applyFill="1" applyBorder="1" applyAlignment="1" applyProtection="1">
      <alignment horizontal="right" vertical="center" shrinkToFit="1"/>
      <protection locked="0"/>
    </xf>
    <xf numFmtId="6" fontId="34" fillId="0" borderId="313" xfId="13" applyFont="1" applyBorder="1" applyAlignment="1" applyProtection="1">
      <alignment horizontal="right" vertical="center" shrinkToFit="1"/>
      <protection locked="0"/>
    </xf>
    <xf numFmtId="6" fontId="34" fillId="0" borderId="314" xfId="13" applyFont="1" applyBorder="1" applyAlignment="1" applyProtection="1">
      <alignment horizontal="right" vertical="center" shrinkToFit="1"/>
      <protection locked="0"/>
    </xf>
    <xf numFmtId="6" fontId="34" fillId="0" borderId="315" xfId="13" applyFont="1" applyBorder="1" applyAlignment="1" applyProtection="1">
      <alignment horizontal="right" vertical="center" shrinkToFit="1"/>
      <protection locked="0"/>
    </xf>
    <xf numFmtId="0" fontId="28" fillId="8" borderId="5" xfId="6" applyNumberFormat="1" applyFont="1" applyFill="1" applyBorder="1" applyAlignment="1" applyProtection="1">
      <alignment horizontal="left" vertical="center" shrinkToFit="1"/>
    </xf>
    <xf numFmtId="0" fontId="28" fillId="8" borderId="36" xfId="6" applyNumberFormat="1" applyFont="1" applyFill="1" applyBorder="1" applyAlignment="1" applyProtection="1">
      <alignment horizontal="left" vertical="center" shrinkToFit="1"/>
    </xf>
    <xf numFmtId="10" fontId="31" fillId="0" borderId="313" xfId="6" applyNumberFormat="1" applyFont="1" applyFill="1" applyBorder="1" applyAlignment="1" applyProtection="1">
      <alignment horizontal="center" vertical="center" shrinkToFit="1"/>
    </xf>
    <xf numFmtId="10" fontId="31" fillId="0" borderId="314" xfId="6" applyNumberFormat="1" applyFont="1" applyFill="1" applyBorder="1" applyAlignment="1" applyProtection="1">
      <alignment horizontal="center" vertical="center" shrinkToFit="1"/>
    </xf>
    <xf numFmtId="0" fontId="34" fillId="2" borderId="4" xfId="4" applyFont="1" applyFill="1" applyBorder="1" applyAlignment="1" applyProtection="1">
      <alignment horizontal="center" vertical="center" shrinkToFit="1"/>
    </xf>
    <xf numFmtId="0" fontId="34" fillId="2" borderId="200" xfId="4" applyFont="1" applyFill="1" applyBorder="1" applyAlignment="1" applyProtection="1">
      <alignment horizontal="center" vertical="center" shrinkToFit="1"/>
    </xf>
    <xf numFmtId="6" fontId="34" fillId="0" borderId="274" xfId="13" applyFont="1" applyBorder="1" applyAlignment="1" applyProtection="1">
      <alignment horizontal="right" vertical="center" shrinkToFit="1"/>
      <protection locked="0"/>
    </xf>
    <xf numFmtId="0" fontId="34" fillId="8" borderId="280" xfId="4" applyFont="1" applyFill="1" applyBorder="1" applyAlignment="1" applyProtection="1">
      <alignment horizontal="center" vertical="center" shrinkToFit="1"/>
    </xf>
    <xf numFmtId="0" fontId="34" fillId="8" borderId="270" xfId="4" applyFont="1" applyFill="1" applyBorder="1" applyAlignment="1" applyProtection="1">
      <alignment horizontal="center" vertical="center" shrinkToFit="1"/>
    </xf>
    <xf numFmtId="0" fontId="34" fillId="8" borderId="271" xfId="4" applyFont="1" applyFill="1" applyBorder="1" applyAlignment="1" applyProtection="1">
      <alignment horizontal="center" vertical="center" shrinkToFit="1"/>
    </xf>
    <xf numFmtId="0" fontId="29" fillId="0" borderId="105" xfId="4" applyFont="1" applyFill="1" applyBorder="1" applyAlignment="1" applyProtection="1">
      <alignment horizontal="center" vertical="center" shrinkToFit="1"/>
      <protection locked="0"/>
    </xf>
    <xf numFmtId="0" fontId="29" fillId="0" borderId="73" xfId="4" applyFont="1" applyFill="1" applyBorder="1" applyAlignment="1" applyProtection="1">
      <alignment horizontal="center" vertical="center" shrinkToFit="1"/>
      <protection locked="0"/>
    </xf>
    <xf numFmtId="0" fontId="29" fillId="0" borderId="74" xfId="4" applyFont="1" applyFill="1" applyBorder="1" applyAlignment="1" applyProtection="1">
      <alignment horizontal="center" vertical="center" shrinkToFit="1"/>
      <protection locked="0"/>
    </xf>
    <xf numFmtId="0" fontId="42" fillId="2" borderId="4" xfId="4" applyFont="1" applyFill="1" applyBorder="1" applyAlignment="1" applyProtection="1">
      <alignment horizontal="center" vertical="center" shrinkToFit="1"/>
    </xf>
    <xf numFmtId="0" fontId="42" fillId="2" borderId="200" xfId="4" applyFont="1" applyFill="1" applyBorder="1" applyAlignment="1" applyProtection="1">
      <alignment horizontal="center" vertical="center" shrinkToFit="1"/>
    </xf>
    <xf numFmtId="0" fontId="42" fillId="2" borderId="2" xfId="4" applyFont="1" applyFill="1" applyBorder="1" applyAlignment="1" applyProtection="1">
      <alignment horizontal="center" vertical="center" shrinkToFit="1"/>
    </xf>
    <xf numFmtId="0" fontId="59" fillId="0" borderId="328" xfId="4" applyFont="1" applyFill="1" applyBorder="1" applyAlignment="1" applyProtection="1">
      <alignment horizontal="center" vertical="center" shrinkToFit="1"/>
      <protection locked="0"/>
    </xf>
    <xf numFmtId="0" fontId="59" fillId="0" borderId="314" xfId="4" applyFont="1" applyFill="1" applyBorder="1" applyAlignment="1" applyProtection="1">
      <alignment horizontal="center" vertical="center" shrinkToFit="1"/>
      <protection locked="0"/>
    </xf>
    <xf numFmtId="0" fontId="59" fillId="0" borderId="315" xfId="4" applyFont="1" applyFill="1" applyBorder="1" applyAlignment="1" applyProtection="1">
      <alignment horizontal="center" vertical="center" shrinkToFit="1"/>
      <protection locked="0"/>
    </xf>
    <xf numFmtId="6" fontId="34" fillId="0" borderId="75" xfId="13" applyFont="1" applyFill="1" applyBorder="1" applyAlignment="1" applyProtection="1">
      <alignment horizontal="right" vertical="center" shrinkToFit="1"/>
      <protection locked="0"/>
    </xf>
    <xf numFmtId="6" fontId="34" fillId="0" borderId="73" xfId="13" applyFont="1" applyFill="1" applyBorder="1" applyAlignment="1" applyProtection="1">
      <alignment horizontal="right" vertical="center" shrinkToFit="1"/>
      <protection locked="0"/>
    </xf>
    <xf numFmtId="6" fontId="34" fillId="0" borderId="74" xfId="13" applyFont="1" applyFill="1" applyBorder="1" applyAlignment="1" applyProtection="1">
      <alignment horizontal="right" vertical="center" shrinkToFit="1"/>
      <protection locked="0"/>
    </xf>
    <xf numFmtId="6" fontId="34" fillId="0" borderId="75" xfId="13" applyFont="1" applyBorder="1" applyAlignment="1" applyProtection="1">
      <alignment horizontal="right" vertical="center" shrinkToFit="1"/>
      <protection locked="0"/>
    </xf>
    <xf numFmtId="6" fontId="34" fillId="0" borderId="73" xfId="13" applyFont="1" applyBorder="1" applyAlignment="1" applyProtection="1">
      <alignment horizontal="right" vertical="center" shrinkToFit="1"/>
      <protection locked="0"/>
    </xf>
    <xf numFmtId="6" fontId="34" fillId="0" borderId="74" xfId="13" applyFont="1" applyBorder="1" applyAlignment="1" applyProtection="1">
      <alignment horizontal="right" vertical="center" shrinkToFit="1"/>
      <protection locked="0"/>
    </xf>
    <xf numFmtId="10" fontId="52" fillId="0" borderId="314" xfId="6" applyNumberFormat="1" applyFont="1" applyFill="1" applyBorder="1" applyAlignment="1" applyProtection="1">
      <alignment horizontal="center" vertical="center" shrinkToFit="1"/>
    </xf>
    <xf numFmtId="10" fontId="52" fillId="0" borderId="331" xfId="6" applyNumberFormat="1" applyFont="1" applyFill="1" applyBorder="1" applyAlignment="1" applyProtection="1">
      <alignment horizontal="center" vertical="center" shrinkToFit="1"/>
    </xf>
    <xf numFmtId="6" fontId="30" fillId="19" borderId="211" xfId="5" applyFont="1" applyFill="1" applyBorder="1" applyAlignment="1" applyProtection="1">
      <alignment horizontal="center" vertical="center" shrinkToFit="1"/>
    </xf>
    <xf numFmtId="6" fontId="30" fillId="19" borderId="23" xfId="5" applyFont="1" applyFill="1" applyBorder="1" applyAlignment="1" applyProtection="1">
      <alignment horizontal="center" vertical="center" shrinkToFit="1"/>
    </xf>
    <xf numFmtId="6" fontId="30" fillId="19" borderId="134" xfId="5" applyFont="1" applyFill="1" applyBorder="1" applyAlignment="1" applyProtection="1">
      <alignment horizontal="center" vertical="center" shrinkToFit="1"/>
    </xf>
    <xf numFmtId="6" fontId="30" fillId="19" borderId="5" xfId="5" applyFont="1" applyFill="1" applyBorder="1" applyAlignment="1" applyProtection="1">
      <alignment horizontal="center" vertical="center" shrinkToFit="1"/>
    </xf>
    <xf numFmtId="6" fontId="30" fillId="19" borderId="36" xfId="5" applyFont="1" applyFill="1" applyBorder="1" applyAlignment="1" applyProtection="1">
      <alignment horizontal="center" vertical="center" shrinkToFit="1"/>
    </xf>
    <xf numFmtId="6" fontId="30" fillId="19" borderId="80" xfId="5" applyFont="1" applyFill="1" applyBorder="1" applyAlignment="1" applyProtection="1">
      <alignment horizontal="center" vertical="center" shrinkToFit="1"/>
    </xf>
    <xf numFmtId="10" fontId="34" fillId="0" borderId="109" xfId="5" applyNumberFormat="1" applyFont="1" applyBorder="1" applyAlignment="1" applyProtection="1">
      <alignment horizontal="right" vertical="center" shrinkToFit="1"/>
      <protection locked="0"/>
    </xf>
    <xf numFmtId="6" fontId="34" fillId="0" borderId="109" xfId="13" applyFont="1" applyBorder="1" applyAlignment="1" applyProtection="1">
      <alignment horizontal="right" vertical="center" shrinkToFit="1"/>
      <protection locked="0"/>
    </xf>
    <xf numFmtId="6" fontId="29" fillId="0" borderId="269" xfId="5" applyFont="1" applyBorder="1" applyAlignment="1" applyProtection="1">
      <alignment horizontal="right" vertical="center"/>
    </xf>
    <xf numFmtId="6" fontId="29" fillId="0" borderId="270" xfId="5" applyFont="1" applyBorder="1" applyAlignment="1" applyProtection="1">
      <alignment horizontal="right" vertical="center"/>
    </xf>
    <xf numFmtId="0" fontId="29" fillId="0" borderId="270" xfId="5" applyNumberFormat="1" applyFont="1" applyBorder="1" applyAlignment="1" applyProtection="1">
      <alignment horizontal="left" vertical="center" shrinkToFit="1"/>
      <protection locked="0"/>
    </xf>
    <xf numFmtId="6" fontId="29" fillId="0" borderId="269" xfId="5" applyFont="1" applyBorder="1" applyAlignment="1" applyProtection="1">
      <alignment horizontal="right" vertical="center" shrinkToFit="1"/>
    </xf>
    <xf numFmtId="6" fontId="29" fillId="0" borderId="270" xfId="5" applyFont="1" applyBorder="1" applyAlignment="1" applyProtection="1">
      <alignment horizontal="right" vertical="center" shrinkToFit="1"/>
    </xf>
    <xf numFmtId="0" fontId="29" fillId="0" borderId="269" xfId="5" applyNumberFormat="1" applyFont="1" applyBorder="1" applyAlignment="1" applyProtection="1">
      <alignment horizontal="right" vertical="center" shrinkToFit="1"/>
    </xf>
    <xf numFmtId="0" fontId="29" fillId="0" borderId="270" xfId="5" applyNumberFormat="1" applyFont="1" applyBorder="1" applyAlignment="1" applyProtection="1">
      <alignment horizontal="right" vertical="center" shrinkToFit="1"/>
    </xf>
    <xf numFmtId="0" fontId="29" fillId="0" borderId="270" xfId="5" applyNumberFormat="1" applyFont="1" applyBorder="1" applyAlignment="1" applyProtection="1">
      <alignment horizontal="left" vertical="center"/>
    </xf>
    <xf numFmtId="0" fontId="29" fillId="0" borderId="9" xfId="4" applyFont="1" applyFill="1" applyBorder="1" applyAlignment="1" applyProtection="1">
      <alignment vertical="center"/>
    </xf>
    <xf numFmtId="0" fontId="29" fillId="0" borderId="286" xfId="4" applyFont="1" applyFill="1" applyBorder="1" applyAlignment="1" applyProtection="1">
      <alignment horizontal="center" vertical="center" shrinkToFit="1"/>
    </xf>
    <xf numFmtId="0" fontId="29" fillId="0" borderId="270" xfId="4" applyFont="1" applyFill="1" applyBorder="1" applyAlignment="1" applyProtection="1">
      <alignment horizontal="center" vertical="center" shrinkToFit="1"/>
    </xf>
    <xf numFmtId="0" fontId="29" fillId="0" borderId="271" xfId="4" applyFont="1" applyFill="1" applyBorder="1" applyAlignment="1" applyProtection="1">
      <alignment horizontal="center" vertical="center" shrinkToFit="1"/>
    </xf>
    <xf numFmtId="0" fontId="29" fillId="0" borderId="274" xfId="4" applyFont="1" applyFill="1" applyBorder="1" applyAlignment="1" applyProtection="1">
      <alignment vertical="center"/>
    </xf>
    <xf numFmtId="6" fontId="34" fillId="0" borderId="274" xfId="13" applyFont="1" applyFill="1" applyBorder="1" applyAlignment="1" applyProtection="1">
      <alignment horizontal="right" vertical="center" shrinkToFit="1"/>
      <protection locked="0"/>
    </xf>
    <xf numFmtId="6" fontId="34" fillId="0" borderId="254" xfId="13" applyFont="1" applyFill="1" applyBorder="1" applyAlignment="1" applyProtection="1">
      <alignment horizontal="right" vertical="center" shrinkToFit="1"/>
      <protection locked="0"/>
    </xf>
    <xf numFmtId="6" fontId="34" fillId="0" borderId="254" xfId="13" applyFont="1" applyBorder="1" applyAlignment="1" applyProtection="1">
      <alignment horizontal="right" vertical="center" shrinkToFit="1"/>
      <protection locked="0"/>
    </xf>
    <xf numFmtId="10" fontId="34" fillId="0" borderId="254" xfId="5" applyNumberFormat="1" applyFont="1" applyBorder="1" applyAlignment="1" applyProtection="1">
      <alignment horizontal="right" vertical="center" shrinkToFit="1"/>
      <protection locked="0"/>
    </xf>
    <xf numFmtId="0" fontId="29" fillId="8" borderId="20" xfId="6" applyNumberFormat="1" applyFont="1" applyFill="1" applyBorder="1" applyAlignment="1" applyProtection="1">
      <alignment horizontal="right" vertical="center" shrinkToFit="1"/>
    </xf>
    <xf numFmtId="0" fontId="29" fillId="8" borderId="20" xfId="6" applyNumberFormat="1" applyFont="1" applyFill="1" applyBorder="1" applyAlignment="1" applyProtection="1">
      <alignment horizontal="left" vertical="center" shrinkToFit="1"/>
      <protection locked="0"/>
    </xf>
    <xf numFmtId="0" fontId="29" fillId="8" borderId="116" xfId="6" applyNumberFormat="1" applyFont="1" applyFill="1" applyBorder="1" applyAlignment="1" applyProtection="1">
      <alignment horizontal="left" vertical="center" shrinkToFit="1"/>
      <protection locked="0"/>
    </xf>
    <xf numFmtId="6" fontId="34" fillId="0" borderId="269" xfId="13" applyFont="1" applyBorder="1" applyAlignment="1" applyProtection="1">
      <alignment horizontal="right" vertical="center" shrinkToFit="1"/>
      <protection locked="0"/>
    </xf>
    <xf numFmtId="6" fontId="34" fillId="0" borderId="270" xfId="13" applyFont="1" applyBorder="1" applyAlignment="1" applyProtection="1">
      <alignment horizontal="right" vertical="center" shrinkToFit="1"/>
      <protection locked="0"/>
    </xf>
    <xf numFmtId="6" fontId="34" fillId="0" borderId="271" xfId="13" applyFont="1" applyBorder="1" applyAlignment="1" applyProtection="1">
      <alignment horizontal="right" vertical="center" shrinkToFit="1"/>
      <protection locked="0"/>
    </xf>
    <xf numFmtId="0" fontId="52" fillId="0" borderId="270" xfId="4" applyFont="1" applyBorder="1" applyAlignment="1" applyProtection="1">
      <alignment horizontal="center" vertical="center" shrinkToFit="1"/>
    </xf>
    <xf numFmtId="0" fontId="52" fillId="0" borderId="270" xfId="0" applyFont="1" applyBorder="1" applyAlignment="1" applyProtection="1">
      <alignment horizontal="left" vertical="center" shrinkToFit="1"/>
    </xf>
    <xf numFmtId="0" fontId="52" fillId="0" borderId="228" xfId="0" applyFont="1" applyBorder="1" applyAlignment="1" applyProtection="1">
      <alignment horizontal="left" vertical="center" shrinkToFit="1"/>
    </xf>
    <xf numFmtId="0" fontId="34" fillId="2" borderId="280" xfId="4" applyFont="1" applyFill="1" applyBorder="1" applyAlignment="1" applyProtection="1">
      <alignment horizontal="center" vertical="center" shrinkToFit="1"/>
    </xf>
    <xf numFmtId="0" fontId="34" fillId="2" borderId="270" xfId="4" applyFont="1" applyFill="1" applyBorder="1" applyAlignment="1" applyProtection="1">
      <alignment horizontal="center" vertical="center" shrinkToFit="1"/>
    </xf>
    <xf numFmtId="0" fontId="34" fillId="2" borderId="271" xfId="4" applyFont="1" applyFill="1" applyBorder="1" applyAlignment="1" applyProtection="1">
      <alignment horizontal="center" vertical="center" shrinkToFit="1"/>
    </xf>
    <xf numFmtId="0" fontId="29" fillId="0" borderId="286" xfId="4" applyFont="1" applyFill="1" applyBorder="1" applyAlignment="1" applyProtection="1">
      <alignment horizontal="center" vertical="center" shrinkToFit="1"/>
      <protection locked="0"/>
    </xf>
    <xf numFmtId="0" fontId="29" fillId="0" borderId="270" xfId="4" applyFont="1" applyFill="1" applyBorder="1" applyAlignment="1" applyProtection="1">
      <alignment horizontal="center" vertical="center" shrinkToFit="1"/>
      <protection locked="0"/>
    </xf>
    <xf numFmtId="0" fontId="29" fillId="0" borderId="271" xfId="4" applyFont="1" applyFill="1" applyBorder="1" applyAlignment="1" applyProtection="1">
      <alignment horizontal="center" vertical="center" shrinkToFit="1"/>
      <protection locked="0"/>
    </xf>
    <xf numFmtId="0" fontId="29" fillId="0" borderId="269" xfId="4" applyFont="1" applyFill="1" applyBorder="1" applyAlignment="1" applyProtection="1">
      <alignment vertical="center"/>
    </xf>
    <xf numFmtId="0" fontId="29" fillId="0" borderId="271" xfId="4" applyFont="1" applyFill="1" applyBorder="1" applyAlignment="1" applyProtection="1">
      <alignment vertical="center"/>
    </xf>
    <xf numFmtId="6" fontId="34" fillId="0" borderId="269" xfId="13" applyFont="1" applyFill="1" applyBorder="1" applyAlignment="1" applyProtection="1">
      <alignment horizontal="right" vertical="center" shrinkToFit="1"/>
      <protection locked="0"/>
    </xf>
    <xf numFmtId="6" fontId="34" fillId="0" borderId="270" xfId="13" applyFont="1" applyFill="1" applyBorder="1" applyAlignment="1" applyProtection="1">
      <alignment horizontal="right" vertical="center" shrinkToFit="1"/>
      <protection locked="0"/>
    </xf>
    <xf numFmtId="6" fontId="34" fillId="0" borderId="271" xfId="13" applyFont="1" applyFill="1" applyBorder="1" applyAlignment="1" applyProtection="1">
      <alignment horizontal="right" vertical="center" shrinkToFit="1"/>
      <protection locked="0"/>
    </xf>
    <xf numFmtId="6" fontId="29" fillId="0" borderId="269" xfId="5" applyFont="1" applyBorder="1" applyAlignment="1" applyProtection="1">
      <alignment horizontal="center" vertical="center" shrinkToFit="1"/>
    </xf>
    <xf numFmtId="6" fontId="29" fillId="0" borderId="270" xfId="5" applyFont="1" applyBorder="1" applyAlignment="1" applyProtection="1">
      <alignment horizontal="center" vertical="center" shrinkToFit="1"/>
    </xf>
    <xf numFmtId="0" fontId="29" fillId="0" borderId="284" xfId="5" applyNumberFormat="1" applyFont="1" applyBorder="1" applyAlignment="1" applyProtection="1">
      <alignment horizontal="left" vertical="center" shrinkToFit="1"/>
      <protection locked="0"/>
    </xf>
    <xf numFmtId="0" fontId="59" fillId="0" borderId="286" xfId="4" applyFont="1" applyFill="1" applyBorder="1" applyAlignment="1" applyProtection="1">
      <alignment horizontal="center" vertical="center" shrinkToFit="1"/>
    </xf>
    <xf numFmtId="0" fontId="59" fillId="0" borderId="270" xfId="4" applyFont="1" applyFill="1" applyBorder="1" applyAlignment="1" applyProtection="1">
      <alignment horizontal="center" vertical="center" shrinkToFit="1"/>
    </xf>
    <xf numFmtId="0" fontId="29" fillId="0" borderId="270" xfId="4" applyFont="1" applyFill="1" applyBorder="1" applyAlignment="1" applyProtection="1">
      <alignment horizontal="center" vertical="center"/>
    </xf>
    <xf numFmtId="10" fontId="34" fillId="0" borderId="269" xfId="5" applyNumberFormat="1" applyFont="1" applyBorder="1" applyAlignment="1" applyProtection="1">
      <alignment horizontal="right" vertical="center" shrinkToFit="1"/>
      <protection locked="0"/>
    </xf>
    <xf numFmtId="10" fontId="34" fillId="0" borderId="270" xfId="5" applyNumberFormat="1" applyFont="1" applyBorder="1" applyAlignment="1" applyProtection="1">
      <alignment horizontal="right" vertical="center" shrinkToFit="1"/>
      <protection locked="0"/>
    </xf>
    <xf numFmtId="10" fontId="34" fillId="0" borderId="271" xfId="5" applyNumberFormat="1" applyFont="1" applyBorder="1" applyAlignment="1" applyProtection="1">
      <alignment horizontal="right" vertical="center" shrinkToFit="1"/>
      <protection locked="0"/>
    </xf>
    <xf numFmtId="0" fontId="59" fillId="0" borderId="286" xfId="4" applyFont="1" applyFill="1" applyBorder="1" applyAlignment="1" applyProtection="1">
      <alignment horizontal="center" vertical="center" shrinkToFit="1"/>
      <protection locked="0"/>
    </xf>
    <xf numFmtId="0" fontId="59" fillId="0" borderId="270" xfId="4" applyFont="1" applyFill="1" applyBorder="1" applyAlignment="1" applyProtection="1">
      <alignment horizontal="center" vertical="center" shrinkToFit="1"/>
      <protection locked="0"/>
    </xf>
    <xf numFmtId="0" fontId="59" fillId="0" borderId="271" xfId="4" applyFont="1" applyFill="1" applyBorder="1" applyAlignment="1" applyProtection="1">
      <alignment horizontal="center" vertical="center" shrinkToFit="1"/>
      <protection locked="0"/>
    </xf>
    <xf numFmtId="6" fontId="5" fillId="0" borderId="6" xfId="13" applyFont="1" applyFill="1" applyBorder="1" applyAlignment="1" applyProtection="1">
      <alignment vertical="center" shrinkToFit="1"/>
      <protection hidden="1"/>
    </xf>
    <xf numFmtId="184" fontId="42" fillId="2" borderId="4" xfId="4" applyNumberFormat="1" applyFont="1" applyFill="1" applyBorder="1" applyAlignment="1" applyProtection="1">
      <alignment horizontal="right" vertical="center" shrinkToFit="1"/>
    </xf>
    <xf numFmtId="184" fontId="42" fillId="2" borderId="200" xfId="4" applyNumberFormat="1" applyFont="1" applyFill="1" applyBorder="1" applyAlignment="1" applyProtection="1">
      <alignment horizontal="right" vertical="center" shrinkToFit="1"/>
    </xf>
    <xf numFmtId="184" fontId="42" fillId="2" borderId="200" xfId="4" applyNumberFormat="1" applyFont="1" applyFill="1" applyBorder="1" applyAlignment="1" applyProtection="1">
      <alignment horizontal="right" vertical="center" shrinkToFit="1"/>
      <protection locked="0"/>
    </xf>
    <xf numFmtId="184" fontId="42" fillId="2" borderId="2" xfId="4" applyNumberFormat="1" applyFont="1" applyFill="1" applyBorder="1" applyAlignment="1" applyProtection="1">
      <alignment horizontal="right" vertical="center" shrinkToFit="1"/>
      <protection locked="0"/>
    </xf>
    <xf numFmtId="184" fontId="42" fillId="2" borderId="35" xfId="4" applyNumberFormat="1" applyFont="1" applyFill="1" applyBorder="1" applyAlignment="1" applyProtection="1">
      <alignment horizontal="right" vertical="center" shrinkToFit="1"/>
    </xf>
    <xf numFmtId="184" fontId="42" fillId="2" borderId="36" xfId="4" applyNumberFormat="1" applyFont="1" applyFill="1" applyBorder="1" applyAlignment="1" applyProtection="1">
      <alignment horizontal="right" vertical="center" shrinkToFit="1"/>
    </xf>
    <xf numFmtId="184" fontId="42" fillId="2" borderId="54" xfId="4" applyNumberFormat="1" applyFont="1" applyFill="1" applyBorder="1" applyAlignment="1" applyProtection="1">
      <alignment horizontal="right" vertical="center" shrinkToFit="1"/>
    </xf>
    <xf numFmtId="0" fontId="59" fillId="0" borderId="79" xfId="4" applyFont="1" applyFill="1" applyBorder="1" applyAlignment="1" applyProtection="1">
      <alignment horizontal="center" vertical="center" shrinkToFit="1"/>
      <protection locked="0"/>
    </xf>
    <xf numFmtId="0" fontId="59" fillId="0" borderId="194" xfId="4" applyFont="1" applyFill="1" applyBorder="1" applyAlignment="1" applyProtection="1">
      <alignment horizontal="center" vertical="center" shrinkToFit="1"/>
      <protection locked="0"/>
    </xf>
    <xf numFmtId="0" fontId="59" fillId="0" borderId="195" xfId="4" applyFont="1" applyFill="1" applyBorder="1" applyAlignment="1" applyProtection="1">
      <alignment horizontal="center" vertical="center" shrinkToFit="1"/>
      <protection locked="0"/>
    </xf>
    <xf numFmtId="0" fontId="59" fillId="0" borderId="212" xfId="4" applyFont="1" applyFill="1" applyBorder="1" applyAlignment="1" applyProtection="1">
      <alignment horizontal="center" vertical="center" shrinkToFit="1"/>
      <protection locked="0"/>
    </xf>
    <xf numFmtId="0" fontId="59" fillId="0" borderId="0" xfId="4" applyFont="1" applyFill="1" applyBorder="1" applyAlignment="1" applyProtection="1">
      <alignment horizontal="center" vertical="center" shrinkToFit="1"/>
      <protection locked="0"/>
    </xf>
    <xf numFmtId="0" fontId="59" fillId="0" borderId="38" xfId="4" applyFont="1" applyFill="1" applyBorder="1" applyAlignment="1" applyProtection="1">
      <alignment horizontal="center" vertical="center" shrinkToFit="1"/>
      <protection locked="0"/>
    </xf>
    <xf numFmtId="0" fontId="59" fillId="0" borderId="78" xfId="4" applyFont="1" applyFill="1" applyBorder="1" applyAlignment="1" applyProtection="1">
      <alignment horizontal="center" vertical="center" shrinkToFit="1"/>
      <protection locked="0"/>
    </xf>
    <xf numFmtId="0" fontId="59" fillId="0" borderId="36" xfId="4" applyFont="1" applyFill="1" applyBorder="1" applyAlignment="1" applyProtection="1">
      <alignment horizontal="center" vertical="center" shrinkToFit="1"/>
      <protection locked="0"/>
    </xf>
    <xf numFmtId="0" fontId="59" fillId="0" borderId="54" xfId="4" applyFont="1" applyFill="1" applyBorder="1" applyAlignment="1" applyProtection="1">
      <alignment horizontal="center" vertical="center" shrinkToFit="1"/>
      <protection locked="0"/>
    </xf>
    <xf numFmtId="0" fontId="29" fillId="0" borderId="193" xfId="4" applyFont="1" applyFill="1" applyBorder="1" applyAlignment="1" applyProtection="1">
      <alignment horizontal="center" vertical="center"/>
    </xf>
    <xf numFmtId="0" fontId="29" fillId="0" borderId="195" xfId="4" applyFont="1" applyFill="1" applyBorder="1" applyAlignment="1" applyProtection="1">
      <alignment horizontal="center" vertical="center"/>
    </xf>
    <xf numFmtId="0" fontId="29" fillId="0" borderId="8" xfId="4" applyFont="1" applyFill="1" applyBorder="1" applyAlignment="1" applyProtection="1">
      <alignment horizontal="center" vertical="center"/>
    </xf>
    <xf numFmtId="0" fontId="29" fillId="0" borderId="38" xfId="4" applyFont="1" applyFill="1" applyBorder="1" applyAlignment="1" applyProtection="1">
      <alignment horizontal="center" vertical="center"/>
    </xf>
    <xf numFmtId="0" fontId="29" fillId="0" borderId="5" xfId="4" applyFont="1" applyFill="1" applyBorder="1" applyAlignment="1" applyProtection="1">
      <alignment horizontal="center" vertical="center"/>
    </xf>
    <xf numFmtId="0" fontId="29" fillId="0" borderId="54" xfId="4" applyFont="1" applyFill="1" applyBorder="1" applyAlignment="1" applyProtection="1">
      <alignment horizontal="center" vertical="center"/>
    </xf>
    <xf numFmtId="6" fontId="34" fillId="0" borderId="193" xfId="13" applyFont="1" applyFill="1" applyBorder="1" applyAlignment="1" applyProtection="1">
      <alignment horizontal="right" vertical="center" shrinkToFit="1"/>
      <protection locked="0"/>
    </xf>
    <xf numFmtId="6" fontId="34" fillId="0" borderId="194" xfId="13" applyFont="1" applyFill="1" applyBorder="1" applyAlignment="1" applyProtection="1">
      <alignment horizontal="right" vertical="center" shrinkToFit="1"/>
      <protection locked="0"/>
    </xf>
    <xf numFmtId="6" fontId="34" fillId="0" borderId="195" xfId="13" applyFont="1" applyFill="1" applyBorder="1" applyAlignment="1" applyProtection="1">
      <alignment horizontal="right" vertical="center" shrinkToFit="1"/>
      <protection locked="0"/>
    </xf>
    <xf numFmtId="6" fontId="34" fillId="0" borderId="8" xfId="13" applyFont="1" applyFill="1" applyBorder="1" applyAlignment="1" applyProtection="1">
      <alignment horizontal="right" vertical="center" shrinkToFit="1"/>
      <protection locked="0"/>
    </xf>
    <xf numFmtId="6" fontId="34" fillId="0" borderId="0" xfId="13" applyFont="1" applyFill="1" applyBorder="1" applyAlignment="1" applyProtection="1">
      <alignment horizontal="right" vertical="center" shrinkToFit="1"/>
      <protection locked="0"/>
    </xf>
    <xf numFmtId="6" fontId="34" fillId="0" borderId="38" xfId="13" applyFont="1" applyFill="1" applyBorder="1" applyAlignment="1" applyProtection="1">
      <alignment horizontal="right" vertical="center" shrinkToFit="1"/>
      <protection locked="0"/>
    </xf>
    <xf numFmtId="6" fontId="34" fillId="0" borderId="5" xfId="13" applyFont="1" applyFill="1" applyBorder="1" applyAlignment="1" applyProtection="1">
      <alignment horizontal="right" vertical="center" shrinkToFit="1"/>
      <protection locked="0"/>
    </xf>
    <xf numFmtId="6" fontId="34" fillId="0" borderId="36" xfId="13" applyFont="1" applyFill="1" applyBorder="1" applyAlignment="1" applyProtection="1">
      <alignment horizontal="right" vertical="center" shrinkToFit="1"/>
      <protection locked="0"/>
    </xf>
    <xf numFmtId="6" fontId="34" fillId="0" borderId="54" xfId="13" applyFont="1" applyFill="1" applyBorder="1" applyAlignment="1" applyProtection="1">
      <alignment horizontal="right" vertical="center" shrinkToFit="1"/>
      <protection locked="0"/>
    </xf>
    <xf numFmtId="6" fontId="34" fillId="0" borderId="193" xfId="13" applyFont="1" applyBorder="1" applyAlignment="1" applyProtection="1">
      <alignment horizontal="right" vertical="center" shrinkToFit="1"/>
      <protection locked="0"/>
    </xf>
    <xf numFmtId="6" fontId="34" fillId="0" borderId="194" xfId="13" applyFont="1" applyBorder="1" applyAlignment="1" applyProtection="1">
      <alignment horizontal="right" vertical="center" shrinkToFit="1"/>
      <protection locked="0"/>
    </xf>
    <xf numFmtId="6" fontId="34" fillId="0" borderId="195" xfId="13" applyFont="1" applyBorder="1" applyAlignment="1" applyProtection="1">
      <alignment horizontal="right" vertical="center" shrinkToFit="1"/>
      <protection locked="0"/>
    </xf>
    <xf numFmtId="6" fontId="34" fillId="0" borderId="8" xfId="13" applyFont="1" applyBorder="1" applyAlignment="1" applyProtection="1">
      <alignment horizontal="right" vertical="center" shrinkToFit="1"/>
      <protection locked="0"/>
    </xf>
    <xf numFmtId="6" fontId="34" fillId="0" borderId="0" xfId="13" applyFont="1" applyBorder="1" applyAlignment="1" applyProtection="1">
      <alignment horizontal="right" vertical="center" shrinkToFit="1"/>
      <protection locked="0"/>
    </xf>
    <xf numFmtId="6" fontId="34" fillId="0" borderId="38" xfId="13" applyFont="1" applyBorder="1" applyAlignment="1" applyProtection="1">
      <alignment horizontal="right" vertical="center" shrinkToFit="1"/>
      <protection locked="0"/>
    </xf>
    <xf numFmtId="6" fontId="34" fillId="0" borderId="5" xfId="13" applyFont="1" applyBorder="1" applyAlignment="1" applyProtection="1">
      <alignment horizontal="right" vertical="center" shrinkToFit="1"/>
      <protection locked="0"/>
    </xf>
    <xf numFmtId="6" fontId="34" fillId="0" borderId="36" xfId="13" applyFont="1" applyBorder="1" applyAlignment="1" applyProtection="1">
      <alignment horizontal="right" vertical="center" shrinkToFit="1"/>
      <protection locked="0"/>
    </xf>
    <xf numFmtId="6" fontId="34" fillId="0" borderId="54" xfId="13" applyFont="1" applyBorder="1" applyAlignment="1" applyProtection="1">
      <alignment horizontal="right" vertical="center" shrinkToFit="1"/>
      <protection locked="0"/>
    </xf>
    <xf numFmtId="184" fontId="42" fillId="2" borderId="2" xfId="4" applyNumberFormat="1" applyFont="1" applyFill="1" applyBorder="1" applyAlignment="1" applyProtection="1">
      <alignment horizontal="right" vertical="center" shrinkToFit="1"/>
    </xf>
    <xf numFmtId="0" fontId="34" fillId="2" borderId="282" xfId="4" applyFont="1" applyFill="1" applyBorder="1" applyAlignment="1" applyProtection="1">
      <alignment horizontal="center" vertical="center" shrinkToFit="1"/>
    </xf>
    <xf numFmtId="0" fontId="34" fillId="2" borderId="273" xfId="4" applyFont="1" applyFill="1" applyBorder="1" applyAlignment="1" applyProtection="1">
      <alignment horizontal="center" vertical="center" shrinkToFit="1"/>
    </xf>
    <xf numFmtId="0" fontId="34" fillId="2" borderId="275" xfId="4" applyFont="1" applyFill="1" applyBorder="1" applyAlignment="1" applyProtection="1">
      <alignment horizontal="center" vertical="center" shrinkToFit="1"/>
    </xf>
    <xf numFmtId="0" fontId="34" fillId="2" borderId="39" xfId="4" applyFont="1" applyFill="1" applyBorder="1" applyAlignment="1" applyProtection="1">
      <alignment horizontal="center" vertical="center" shrinkToFit="1"/>
    </xf>
    <xf numFmtId="0" fontId="34" fillId="2" borderId="40" xfId="4" applyFont="1" applyFill="1" applyBorder="1" applyAlignment="1" applyProtection="1">
      <alignment horizontal="center" vertical="center" shrinkToFit="1"/>
    </xf>
    <xf numFmtId="0" fontId="34" fillId="2" borderId="41" xfId="4" applyFont="1" applyFill="1" applyBorder="1" applyAlignment="1" applyProtection="1">
      <alignment horizontal="center" vertical="center" shrinkToFit="1"/>
    </xf>
    <xf numFmtId="0" fontId="29" fillId="0" borderId="19" xfId="4" applyFont="1" applyFill="1" applyBorder="1" applyAlignment="1" applyProtection="1">
      <alignment horizontal="center" vertical="center" shrinkToFit="1"/>
      <protection locked="0"/>
    </xf>
    <xf numFmtId="0" fontId="29" fillId="0" borderId="20" xfId="4" applyFont="1" applyFill="1" applyBorder="1" applyAlignment="1" applyProtection="1">
      <alignment horizontal="center" vertical="center" shrinkToFit="1"/>
      <protection locked="0"/>
    </xf>
    <xf numFmtId="0" fontId="29" fillId="0" borderId="21" xfId="4" applyFont="1" applyFill="1" applyBorder="1" applyAlignment="1" applyProtection="1">
      <alignment horizontal="center" vertical="center" shrinkToFit="1"/>
      <protection locked="0"/>
    </xf>
    <xf numFmtId="0" fontId="42" fillId="2" borderId="33" xfId="4" applyFont="1" applyFill="1" applyBorder="1" applyAlignment="1" applyProtection="1">
      <alignment horizontal="center" vertical="center" shrinkToFit="1"/>
    </xf>
    <xf numFmtId="0" fontId="42" fillId="2" borderId="0" xfId="4" applyFont="1" applyFill="1" applyBorder="1" applyAlignment="1" applyProtection="1">
      <alignment horizontal="center" vertical="center" shrinkToFit="1"/>
    </xf>
    <xf numFmtId="0" fontId="42" fillId="2" borderId="38" xfId="4" applyFont="1" applyFill="1" applyBorder="1" applyAlignment="1" applyProtection="1">
      <alignment horizontal="center" vertical="center" shrinkToFit="1"/>
    </xf>
    <xf numFmtId="0" fontId="30" fillId="0" borderId="269" xfId="4" applyNumberFormat="1" applyFont="1" applyFill="1" applyBorder="1" applyAlignment="1" applyProtection="1">
      <alignment horizontal="center" vertical="center" shrinkToFit="1"/>
    </xf>
    <xf numFmtId="0" fontId="30" fillId="0" borderId="270" xfId="4" applyNumberFormat="1" applyFont="1" applyFill="1" applyBorder="1" applyAlignment="1" applyProtection="1">
      <alignment horizontal="center" vertical="center" shrinkToFit="1"/>
    </xf>
    <xf numFmtId="0" fontId="30" fillId="0" borderId="271" xfId="4" applyNumberFormat="1" applyFont="1" applyFill="1" applyBorder="1" applyAlignment="1" applyProtection="1">
      <alignment horizontal="center" vertical="center" shrinkToFit="1"/>
    </xf>
    <xf numFmtId="0" fontId="30" fillId="0" borderId="273" xfId="4" applyFont="1" applyFill="1" applyBorder="1" applyAlignment="1" applyProtection="1">
      <alignment horizontal="left" vertical="center"/>
    </xf>
    <xf numFmtId="6" fontId="30" fillId="0" borderId="273" xfId="5" applyFont="1" applyBorder="1" applyAlignment="1" applyProtection="1">
      <alignment horizontal="left" vertical="center" shrinkToFit="1"/>
    </xf>
    <xf numFmtId="6" fontId="30" fillId="0" borderId="275" xfId="5" applyFont="1" applyBorder="1" applyAlignment="1" applyProtection="1">
      <alignment horizontal="left" vertical="center" shrinkToFit="1"/>
    </xf>
    <xf numFmtId="0" fontId="29" fillId="8" borderId="264" xfId="4" applyFont="1" applyFill="1" applyBorder="1" applyAlignment="1" applyProtection="1">
      <alignment vertical="center" shrinkToFit="1"/>
    </xf>
    <xf numFmtId="0" fontId="132" fillId="8" borderId="264" xfId="0" applyFont="1" applyFill="1" applyBorder="1" applyAlignment="1" applyProtection="1">
      <alignment vertical="center" shrinkToFit="1"/>
    </xf>
    <xf numFmtId="0" fontId="132" fillId="8" borderId="294" xfId="0" applyFont="1" applyFill="1" applyBorder="1" applyAlignment="1" applyProtection="1">
      <alignment vertical="center" shrinkToFit="1"/>
    </xf>
    <xf numFmtId="0" fontId="29" fillId="0" borderId="247" xfId="4" applyFont="1" applyFill="1" applyBorder="1" applyAlignment="1" applyProtection="1">
      <alignment horizontal="center" vertical="center" shrinkToFit="1"/>
      <protection locked="0"/>
    </xf>
    <xf numFmtId="0" fontId="52" fillId="0" borderId="20" xfId="0" applyFont="1" applyBorder="1" applyAlignment="1" applyProtection="1">
      <alignment horizontal="center" vertical="center"/>
    </xf>
    <xf numFmtId="0" fontId="52" fillId="0" borderId="262" xfId="0" applyFont="1" applyBorder="1" applyAlignment="1" applyProtection="1">
      <alignment horizontal="center" vertical="center"/>
    </xf>
    <xf numFmtId="0" fontId="30" fillId="0" borderId="5" xfId="4" applyNumberFormat="1" applyFont="1" applyFill="1" applyBorder="1" applyAlignment="1" applyProtection="1">
      <alignment horizontal="center" vertical="center" shrinkToFit="1"/>
    </xf>
    <xf numFmtId="0" fontId="30" fillId="0" borderId="36" xfId="4" applyNumberFormat="1" applyFont="1" applyFill="1" applyBorder="1" applyAlignment="1" applyProtection="1">
      <alignment horizontal="center" vertical="center" shrinkToFit="1"/>
    </xf>
    <xf numFmtId="0" fontId="30" fillId="0" borderId="54" xfId="4" applyNumberFormat="1" applyFont="1" applyFill="1" applyBorder="1" applyAlignment="1" applyProtection="1">
      <alignment horizontal="center" vertical="center" shrinkToFit="1"/>
    </xf>
    <xf numFmtId="0" fontId="30" fillId="0" borderId="152" xfId="4" applyNumberFormat="1" applyFont="1" applyFill="1" applyBorder="1" applyAlignment="1" applyProtection="1">
      <alignment horizontal="center" vertical="center"/>
    </xf>
    <xf numFmtId="0" fontId="30" fillId="0" borderId="153" xfId="4" applyNumberFormat="1" applyFont="1" applyFill="1" applyBorder="1" applyAlignment="1" applyProtection="1">
      <alignment horizontal="center" vertical="center"/>
    </xf>
    <xf numFmtId="0" fontId="30" fillId="0" borderId="248" xfId="13" applyNumberFormat="1" applyFont="1" applyFill="1" applyBorder="1" applyAlignment="1" applyProtection="1">
      <alignment horizontal="left" vertical="center" indent="1" shrinkToFit="1"/>
      <protection locked="0"/>
    </xf>
    <xf numFmtId="0" fontId="30" fillId="0" borderId="153" xfId="13" applyNumberFormat="1" applyFont="1" applyFill="1" applyBorder="1" applyAlignment="1" applyProtection="1">
      <alignment horizontal="left" vertical="center" indent="1" shrinkToFit="1"/>
      <protection locked="0"/>
    </xf>
    <xf numFmtId="0" fontId="30" fillId="0" borderId="154" xfId="13" applyNumberFormat="1" applyFont="1" applyFill="1" applyBorder="1" applyAlignment="1" applyProtection="1">
      <alignment horizontal="left" vertical="center" indent="1" shrinkToFit="1"/>
      <protection locked="0"/>
    </xf>
    <xf numFmtId="0" fontId="30" fillId="0" borderId="153" xfId="13" applyNumberFormat="1" applyFont="1" applyFill="1" applyBorder="1" applyAlignment="1" applyProtection="1">
      <alignment horizontal="center" vertical="center"/>
    </xf>
    <xf numFmtId="0" fontId="30" fillId="0" borderId="248" xfId="6" applyNumberFormat="1" applyFont="1" applyFill="1" applyBorder="1" applyAlignment="1" applyProtection="1">
      <alignment horizontal="left" vertical="center" shrinkToFit="1"/>
      <protection locked="0"/>
    </xf>
    <xf numFmtId="0" fontId="30" fillId="0" borderId="153" xfId="6" applyNumberFormat="1" applyFont="1" applyFill="1" applyBorder="1" applyAlignment="1" applyProtection="1">
      <alignment horizontal="left" vertical="center" shrinkToFit="1"/>
      <protection locked="0"/>
    </xf>
    <xf numFmtId="0" fontId="42" fillId="2" borderId="201" xfId="4" applyFont="1" applyFill="1" applyBorder="1" applyAlignment="1" applyProtection="1">
      <alignment horizontal="center" vertical="center" shrinkToFit="1"/>
    </xf>
    <xf numFmtId="0" fontId="42" fillId="2" borderId="194" xfId="4" applyFont="1" applyFill="1" applyBorder="1" applyAlignment="1" applyProtection="1">
      <alignment horizontal="center" vertical="center" shrinkToFit="1"/>
    </xf>
    <xf numFmtId="0" fontId="42" fillId="2" borderId="195" xfId="4" applyFont="1" applyFill="1" applyBorder="1" applyAlignment="1" applyProtection="1">
      <alignment horizontal="center" vertical="center" shrinkToFit="1"/>
    </xf>
    <xf numFmtId="6" fontId="34" fillId="0" borderId="257" xfId="13" applyFont="1" applyFill="1" applyBorder="1" applyAlignment="1" applyProtection="1">
      <alignment horizontal="right" vertical="center" shrinkToFit="1"/>
      <protection locked="0"/>
    </xf>
    <xf numFmtId="6" fontId="34" fillId="0" borderId="245" xfId="13" applyFont="1" applyFill="1" applyBorder="1" applyAlignment="1" applyProtection="1">
      <alignment horizontal="right" vertical="center" shrinkToFit="1"/>
      <protection locked="0"/>
    </xf>
    <xf numFmtId="6" fontId="34" fillId="0" borderId="256" xfId="13" applyFont="1" applyFill="1" applyBorder="1" applyAlignment="1" applyProtection="1">
      <alignment horizontal="right" vertical="center" shrinkToFit="1"/>
      <protection locked="0"/>
    </xf>
    <xf numFmtId="10" fontId="34" fillId="0" borderId="257" xfId="6" applyNumberFormat="1" applyFont="1" applyFill="1" applyBorder="1" applyAlignment="1" applyProtection="1">
      <alignment horizontal="right" vertical="center" shrinkToFit="1"/>
      <protection locked="0"/>
    </xf>
    <xf numFmtId="10" fontId="34" fillId="0" borderId="245" xfId="6" applyNumberFormat="1" applyFont="1" applyFill="1" applyBorder="1" applyAlignment="1" applyProtection="1">
      <alignment horizontal="right" vertical="center" shrinkToFit="1"/>
      <protection locked="0"/>
    </xf>
    <xf numFmtId="10" fontId="34" fillId="0" borderId="256" xfId="6" applyNumberFormat="1" applyFont="1" applyFill="1" applyBorder="1" applyAlignment="1" applyProtection="1">
      <alignment horizontal="right" vertical="center" shrinkToFit="1"/>
      <protection locked="0"/>
    </xf>
    <xf numFmtId="0" fontId="42" fillId="64" borderId="282" xfId="4" applyFont="1" applyFill="1" applyBorder="1" applyAlignment="1" applyProtection="1">
      <alignment horizontal="center" vertical="center" shrinkToFit="1"/>
    </xf>
    <xf numFmtId="0" fontId="42" fillId="64" borderId="273" xfId="4" applyFont="1" applyFill="1" applyBorder="1" applyAlignment="1" applyProtection="1">
      <alignment horizontal="center" vertical="center" shrinkToFit="1"/>
    </xf>
    <xf numFmtId="0" fontId="42" fillId="64" borderId="275" xfId="4" applyFont="1" applyFill="1" applyBorder="1" applyAlignment="1" applyProtection="1">
      <alignment horizontal="center" vertical="center" shrinkToFit="1"/>
    </xf>
    <xf numFmtId="0" fontId="42" fillId="64" borderId="35" xfId="4" applyFont="1" applyFill="1" applyBorder="1" applyAlignment="1" applyProtection="1">
      <alignment horizontal="center" vertical="center" shrinkToFit="1"/>
    </xf>
    <xf numFmtId="0" fontId="42" fillId="64" borderId="36" xfId="4" applyFont="1" applyFill="1" applyBorder="1" applyAlignment="1" applyProtection="1">
      <alignment horizontal="center" vertical="center" shrinkToFit="1"/>
    </xf>
    <xf numFmtId="0" fontId="42" fillId="64" borderId="54" xfId="4" applyFont="1" applyFill="1" applyBorder="1" applyAlignment="1" applyProtection="1">
      <alignment horizontal="center" vertical="center" shrinkToFit="1"/>
    </xf>
    <xf numFmtId="0" fontId="29" fillId="8" borderId="263" xfId="4" applyFont="1" applyFill="1" applyBorder="1" applyAlignment="1" applyProtection="1">
      <alignment horizontal="center" vertical="center" shrinkToFit="1"/>
      <protection locked="0"/>
    </xf>
    <xf numFmtId="0" fontId="29" fillId="8" borderId="245" xfId="4" applyFont="1" applyFill="1" applyBorder="1" applyAlignment="1" applyProtection="1">
      <alignment horizontal="center" vertical="center" shrinkToFit="1"/>
      <protection locked="0"/>
    </xf>
    <xf numFmtId="0" fontId="29" fillId="8" borderId="256" xfId="4" applyFont="1" applyFill="1" applyBorder="1" applyAlignment="1" applyProtection="1">
      <alignment horizontal="center" vertical="center" shrinkToFit="1"/>
      <protection locked="0"/>
    </xf>
    <xf numFmtId="0" fontId="29" fillId="8" borderId="264" xfId="4" applyFont="1" applyFill="1" applyBorder="1" applyAlignment="1" applyProtection="1">
      <alignment vertical="center"/>
    </xf>
    <xf numFmtId="6" fontId="34" fillId="8" borderId="257" xfId="13" applyFont="1" applyFill="1" applyBorder="1" applyAlignment="1" applyProtection="1">
      <alignment horizontal="right" vertical="center" shrinkToFit="1"/>
      <protection locked="0"/>
    </xf>
    <xf numFmtId="6" fontId="34" fillId="8" borderId="245" xfId="13" applyFont="1" applyFill="1" applyBorder="1" applyAlignment="1" applyProtection="1">
      <alignment horizontal="right" vertical="center" shrinkToFit="1"/>
      <protection locked="0"/>
    </xf>
    <xf numFmtId="6" fontId="34" fillId="8" borderId="256" xfId="13" applyFont="1" applyFill="1" applyBorder="1" applyAlignment="1" applyProtection="1">
      <alignment horizontal="right" vertical="center" shrinkToFit="1"/>
      <protection locked="0"/>
    </xf>
    <xf numFmtId="10" fontId="34" fillId="8" borderId="264" xfId="6" applyNumberFormat="1" applyFont="1" applyFill="1" applyBorder="1" applyAlignment="1" applyProtection="1">
      <alignment horizontal="right" vertical="center" shrinkToFit="1"/>
      <protection locked="0" hidden="1"/>
    </xf>
    <xf numFmtId="10" fontId="34" fillId="8" borderId="257" xfId="6" applyNumberFormat="1" applyFont="1" applyFill="1" applyBorder="1" applyAlignment="1" applyProtection="1">
      <alignment horizontal="right" vertical="center" shrinkToFit="1"/>
      <protection locked="0"/>
    </xf>
    <xf numFmtId="10" fontId="34" fillId="8" borderId="245" xfId="6" applyNumberFormat="1" applyFont="1" applyFill="1" applyBorder="1" applyAlignment="1" applyProtection="1">
      <alignment horizontal="right" vertical="center" shrinkToFit="1"/>
      <protection locked="0"/>
    </xf>
    <xf numFmtId="10" fontId="34" fillId="8" borderId="256" xfId="6" applyNumberFormat="1" applyFont="1" applyFill="1" applyBorder="1" applyAlignment="1" applyProtection="1">
      <alignment horizontal="right" vertical="center" shrinkToFit="1"/>
      <protection locked="0"/>
    </xf>
    <xf numFmtId="0" fontId="30" fillId="0" borderId="269" xfId="4" applyFont="1" applyBorder="1" applyAlignment="1" applyProtection="1">
      <alignment horizontal="center" vertical="center"/>
    </xf>
    <xf numFmtId="0" fontId="30" fillId="0" borderId="0" xfId="4" applyFont="1" applyBorder="1" applyAlignment="1" applyProtection="1">
      <alignment horizontal="center" vertical="center"/>
    </xf>
    <xf numFmtId="0" fontId="30" fillId="0" borderId="38" xfId="4" applyFont="1" applyBorder="1" applyAlignment="1" applyProtection="1">
      <alignment horizontal="center" vertical="center"/>
    </xf>
    <xf numFmtId="0" fontId="30" fillId="0" borderId="0" xfId="4" applyFont="1" applyBorder="1" applyAlignment="1" applyProtection="1">
      <alignment horizontal="left" vertical="center" indent="1"/>
      <protection locked="0"/>
    </xf>
    <xf numFmtId="0" fontId="30" fillId="0" borderId="8" xfId="4" applyFont="1" applyBorder="1" applyAlignment="1" applyProtection="1">
      <alignment horizontal="center" vertical="center"/>
    </xf>
    <xf numFmtId="0" fontId="30" fillId="0" borderId="88" xfId="4" applyFont="1" applyBorder="1" applyAlignment="1" applyProtection="1">
      <alignment horizontal="center" vertical="center"/>
    </xf>
    <xf numFmtId="0" fontId="30" fillId="0" borderId="89" xfId="4" applyFont="1" applyBorder="1" applyAlignment="1" applyProtection="1">
      <alignment horizontal="left" vertical="center"/>
      <protection locked="0"/>
    </xf>
    <xf numFmtId="0" fontId="30" fillId="0" borderId="0" xfId="4" applyFont="1" applyBorder="1" applyAlignment="1" applyProtection="1">
      <alignment horizontal="left" vertical="center"/>
      <protection locked="0"/>
    </xf>
    <xf numFmtId="0" fontId="30" fillId="0" borderId="38" xfId="4" applyFont="1" applyBorder="1" applyAlignment="1" applyProtection="1">
      <alignment horizontal="left" vertical="center"/>
      <protection locked="0"/>
    </xf>
    <xf numFmtId="0" fontId="52" fillId="0" borderId="36" xfId="4" applyFont="1" applyBorder="1" applyAlignment="1" applyProtection="1">
      <alignment horizontal="right" vertical="center"/>
      <protection hidden="1"/>
    </xf>
    <xf numFmtId="0" fontId="29" fillId="0" borderId="263" xfId="4" applyFont="1" applyFill="1" applyBorder="1" applyAlignment="1" applyProtection="1">
      <alignment horizontal="center" vertical="center" shrinkToFit="1"/>
    </xf>
    <xf numFmtId="0" fontId="29" fillId="0" borderId="245" xfId="4" applyFont="1" applyFill="1" applyBorder="1" applyAlignment="1" applyProtection="1">
      <alignment horizontal="center" vertical="center" shrinkToFit="1"/>
    </xf>
    <xf numFmtId="0" fontId="29" fillId="0" borderId="256" xfId="4" applyFont="1" applyFill="1" applyBorder="1" applyAlignment="1" applyProtection="1">
      <alignment horizontal="center" vertical="center" shrinkToFit="1"/>
    </xf>
    <xf numFmtId="10" fontId="34" fillId="0" borderId="264" xfId="6" applyNumberFormat="1" applyFont="1" applyFill="1" applyBorder="1" applyAlignment="1" applyProtection="1">
      <alignment horizontal="right" vertical="center" shrinkToFit="1"/>
      <protection hidden="1"/>
    </xf>
    <xf numFmtId="0" fontId="29" fillId="0" borderId="257" xfId="4" applyFont="1" applyBorder="1" applyAlignment="1" applyProtection="1">
      <alignment horizontal="right" vertical="center" shrinkToFit="1"/>
    </xf>
    <xf numFmtId="0" fontId="29" fillId="0" borderId="245" xfId="4" applyFont="1" applyBorder="1" applyAlignment="1" applyProtection="1">
      <alignment horizontal="right" vertical="center" shrinkToFit="1"/>
    </xf>
    <xf numFmtId="0" fontId="29" fillId="0" borderId="245" xfId="0" applyFont="1" applyBorder="1" applyAlignment="1" applyProtection="1">
      <alignment vertical="center" shrinkToFit="1"/>
      <protection locked="0"/>
    </xf>
    <xf numFmtId="0" fontId="29" fillId="0" borderId="265" xfId="0" applyFont="1" applyBorder="1" applyAlignment="1" applyProtection="1">
      <alignment vertical="center" shrinkToFit="1"/>
      <protection locked="0"/>
    </xf>
    <xf numFmtId="0" fontId="30" fillId="0" borderId="8" xfId="4" applyFont="1" applyFill="1" applyBorder="1" applyAlignment="1" applyProtection="1">
      <alignment horizontal="center" vertical="center" shrinkToFit="1"/>
    </xf>
    <xf numFmtId="0" fontId="30" fillId="0" borderId="0" xfId="4" applyFont="1" applyFill="1" applyBorder="1" applyAlignment="1" applyProtection="1">
      <alignment horizontal="center" vertical="center" shrinkToFit="1"/>
    </xf>
    <xf numFmtId="0" fontId="30" fillId="0" borderId="38" xfId="4" applyFont="1" applyFill="1" applyBorder="1" applyAlignment="1" applyProtection="1">
      <alignment horizontal="center" vertical="center" shrinkToFit="1"/>
    </xf>
    <xf numFmtId="0" fontId="30" fillId="0" borderId="257" xfId="4" applyFont="1" applyFill="1" applyBorder="1" applyAlignment="1" applyProtection="1">
      <alignment horizontal="left" vertical="center" indent="1"/>
      <protection locked="0"/>
    </xf>
    <xf numFmtId="0" fontId="30" fillId="0" borderId="245" xfId="4" applyFont="1" applyFill="1" applyBorder="1" applyAlignment="1" applyProtection="1">
      <alignment horizontal="left" vertical="center" indent="1"/>
      <protection locked="0"/>
    </xf>
    <xf numFmtId="0" fontId="30" fillId="0" borderId="256" xfId="4" applyFont="1" applyFill="1" applyBorder="1" applyAlignment="1" applyProtection="1">
      <alignment horizontal="left" vertical="center" indent="1"/>
      <protection locked="0"/>
    </xf>
    <xf numFmtId="10" fontId="30" fillId="0" borderId="260" xfId="6" applyNumberFormat="1" applyFont="1" applyFill="1" applyBorder="1" applyAlignment="1" applyProtection="1">
      <alignment horizontal="center" vertical="center" shrinkToFit="1"/>
    </xf>
    <xf numFmtId="10" fontId="30" fillId="0" borderId="157" xfId="6" applyNumberFormat="1" applyFont="1" applyFill="1" applyBorder="1" applyAlignment="1" applyProtection="1">
      <alignment horizontal="center" vertical="center" shrinkToFit="1"/>
    </xf>
    <xf numFmtId="10" fontId="30" fillId="0" borderId="259" xfId="6" applyNumberFormat="1" applyFont="1" applyFill="1" applyBorder="1" applyAlignment="1" applyProtection="1">
      <alignment horizontal="center" vertical="center" shrinkToFit="1"/>
    </xf>
    <xf numFmtId="6" fontId="30" fillId="0" borderId="157" xfId="13" applyFont="1" applyFill="1" applyBorder="1" applyAlignment="1" applyProtection="1">
      <alignment horizontal="center" vertical="center" shrinkToFit="1"/>
    </xf>
    <xf numFmtId="6" fontId="30" fillId="0" borderId="259" xfId="13" applyFont="1" applyFill="1" applyBorder="1" applyAlignment="1" applyProtection="1">
      <alignment horizontal="center" vertical="center" shrinkToFit="1"/>
    </xf>
    <xf numFmtId="10" fontId="34" fillId="0" borderId="193" xfId="6" applyNumberFormat="1" applyFont="1" applyFill="1" applyBorder="1" applyAlignment="1" applyProtection="1">
      <alignment horizontal="right" vertical="center" shrinkToFit="1"/>
      <protection locked="0"/>
    </xf>
    <xf numFmtId="10" fontId="34" fillId="0" borderId="194" xfId="6" applyNumberFormat="1" applyFont="1" applyFill="1" applyBorder="1" applyAlignment="1" applyProtection="1">
      <alignment horizontal="right" vertical="center" shrinkToFit="1"/>
      <protection locked="0"/>
    </xf>
    <xf numFmtId="10" fontId="34" fillId="0" borderId="195" xfId="6" applyNumberFormat="1" applyFont="1" applyFill="1" applyBorder="1" applyAlignment="1" applyProtection="1">
      <alignment horizontal="right" vertical="center" shrinkToFit="1"/>
      <protection locked="0"/>
    </xf>
    <xf numFmtId="0" fontId="41" fillId="0" borderId="193" xfId="4" applyFont="1" applyBorder="1" applyAlignment="1" applyProtection="1">
      <alignment vertical="center" shrinkToFit="1"/>
    </xf>
    <xf numFmtId="0" fontId="41" fillId="0" borderId="194" xfId="4" applyFont="1" applyBorder="1" applyAlignment="1" applyProtection="1">
      <alignment vertical="center" shrinkToFit="1"/>
    </xf>
    <xf numFmtId="0" fontId="41" fillId="0" borderId="131" xfId="4" applyFont="1" applyBorder="1" applyAlignment="1" applyProtection="1">
      <alignment vertical="center" shrinkToFit="1"/>
    </xf>
    <xf numFmtId="0" fontId="29" fillId="0" borderId="117" xfId="4" applyFont="1" applyFill="1" applyBorder="1" applyAlignment="1" applyProtection="1">
      <alignment horizontal="center" vertical="center" shrinkToFit="1"/>
      <protection locked="0"/>
    </xf>
    <xf numFmtId="0" fontId="29" fillId="0" borderId="23" xfId="4" applyFont="1" applyFill="1" applyBorder="1" applyAlignment="1" applyProtection="1">
      <alignment horizontal="center" vertical="center" shrinkToFit="1"/>
      <protection locked="0"/>
    </xf>
    <xf numFmtId="0" fontId="29" fillId="0" borderId="151" xfId="4" applyFont="1" applyFill="1" applyBorder="1" applyAlignment="1" applyProtection="1">
      <alignment horizontal="center" vertical="center" shrinkToFit="1"/>
      <protection locked="0"/>
    </xf>
    <xf numFmtId="0" fontId="29" fillId="0" borderId="302" xfId="4" applyFont="1" applyFill="1" applyBorder="1" applyAlignment="1" applyProtection="1">
      <alignment vertical="center"/>
    </xf>
    <xf numFmtId="6" fontId="34" fillId="0" borderId="211" xfId="13" applyFont="1" applyFill="1" applyBorder="1" applyAlignment="1" applyProtection="1">
      <alignment horizontal="right" vertical="center" shrinkToFit="1"/>
      <protection locked="0"/>
    </xf>
    <xf numFmtId="6" fontId="34" fillId="0" borderId="23" xfId="13" applyFont="1" applyFill="1" applyBorder="1" applyAlignment="1" applyProtection="1">
      <alignment horizontal="right" vertical="center" shrinkToFit="1"/>
      <protection locked="0"/>
    </xf>
    <xf numFmtId="6" fontId="34" fillId="0" borderId="151" xfId="13" applyFont="1" applyFill="1" applyBorder="1" applyAlignment="1" applyProtection="1">
      <alignment horizontal="right" vertical="center" shrinkToFit="1"/>
      <protection locked="0"/>
    </xf>
    <xf numFmtId="10" fontId="34" fillId="0" borderId="211" xfId="6" applyNumberFormat="1" applyFont="1" applyFill="1" applyBorder="1" applyAlignment="1" applyProtection="1">
      <alignment horizontal="right" vertical="center" shrinkToFit="1"/>
      <protection locked="0"/>
    </xf>
    <xf numFmtId="10" fontId="34" fillId="0" borderId="23" xfId="6" applyNumberFormat="1" applyFont="1" applyFill="1" applyBorder="1" applyAlignment="1" applyProtection="1">
      <alignment horizontal="right" vertical="center" shrinkToFit="1"/>
      <protection locked="0"/>
    </xf>
    <xf numFmtId="10" fontId="34" fillId="0" borderId="151" xfId="6" applyNumberFormat="1" applyFont="1" applyFill="1" applyBorder="1" applyAlignment="1" applyProtection="1">
      <alignment horizontal="right" vertical="center" shrinkToFit="1"/>
      <protection locked="0"/>
    </xf>
    <xf numFmtId="0" fontId="29" fillId="0" borderId="194" xfId="4" applyFont="1" applyFill="1" applyBorder="1" applyAlignment="1" applyProtection="1">
      <alignment horizontal="center" vertical="center" shrinkToFit="1"/>
      <protection locked="0"/>
    </xf>
    <xf numFmtId="0" fontId="29" fillId="0" borderId="195" xfId="4" applyFont="1" applyFill="1" applyBorder="1" applyAlignment="1" applyProtection="1">
      <alignment horizontal="center" vertical="center" shrinkToFit="1"/>
      <protection locked="0"/>
    </xf>
    <xf numFmtId="0" fontId="41" fillId="0" borderId="211" xfId="4" applyFont="1" applyBorder="1" applyAlignment="1" applyProtection="1">
      <alignment vertical="center" shrinkToFit="1"/>
    </xf>
    <xf numFmtId="0" fontId="41" fillId="0" borderId="23" xfId="4" applyFont="1" applyBorder="1" applyAlignment="1" applyProtection="1">
      <alignment vertical="center" shrinkToFit="1"/>
    </xf>
    <xf numFmtId="0" fontId="41" fillId="0" borderId="134" xfId="4" applyFont="1" applyBorder="1" applyAlignment="1" applyProtection="1">
      <alignment vertical="center" shrinkToFit="1"/>
    </xf>
    <xf numFmtId="0" fontId="29" fillId="0" borderId="264" xfId="4" applyFont="1" applyBorder="1" applyAlignment="1" applyProtection="1">
      <alignment vertical="center" shrinkToFit="1"/>
    </xf>
    <xf numFmtId="0" fontId="132" fillId="0" borderId="264" xfId="0" applyFont="1" applyBorder="1" applyAlignment="1" applyProtection="1">
      <alignment vertical="center" shrinkToFit="1"/>
    </xf>
    <xf numFmtId="0" fontId="132" fillId="0" borderId="294" xfId="0" applyFont="1" applyBorder="1" applyAlignment="1" applyProtection="1">
      <alignment vertical="center" shrinkToFit="1"/>
    </xf>
    <xf numFmtId="0" fontId="30" fillId="0" borderId="36" xfId="4" applyFont="1" applyBorder="1" applyAlignment="1" applyProtection="1">
      <alignment horizontal="center" vertical="center"/>
    </xf>
    <xf numFmtId="0" fontId="30" fillId="0" borderId="54" xfId="4" applyFont="1" applyBorder="1" applyAlignment="1" applyProtection="1">
      <alignment horizontal="center" vertical="center"/>
    </xf>
    <xf numFmtId="0" fontId="30" fillId="0" borderId="8" xfId="4" applyFont="1" applyBorder="1" applyAlignment="1" applyProtection="1">
      <alignment horizontal="left" vertical="center" indent="1"/>
      <protection locked="0"/>
    </xf>
    <xf numFmtId="0" fontId="30" fillId="0" borderId="38" xfId="4" applyFont="1" applyBorder="1" applyAlignment="1" applyProtection="1">
      <alignment horizontal="left" vertical="center" indent="1"/>
      <protection locked="0"/>
    </xf>
    <xf numFmtId="0" fontId="30" fillId="0" borderId="89" xfId="4" applyFont="1" applyBorder="1" applyAlignment="1" applyProtection="1">
      <alignment horizontal="left" vertical="center" shrinkToFit="1"/>
      <protection locked="0"/>
    </xf>
    <xf numFmtId="0" fontId="30" fillId="0" borderId="0" xfId="4" applyFont="1" applyBorder="1" applyAlignment="1" applyProtection="1">
      <alignment horizontal="left" vertical="center" shrinkToFit="1"/>
      <protection locked="0"/>
    </xf>
    <xf numFmtId="0" fontId="30" fillId="0" borderId="38" xfId="4" applyFont="1" applyBorder="1" applyAlignment="1" applyProtection="1">
      <alignment horizontal="left" vertical="center" shrinkToFit="1"/>
      <protection locked="0"/>
    </xf>
    <xf numFmtId="0" fontId="34" fillId="0" borderId="282" xfId="4" applyFont="1" applyFill="1" applyBorder="1" applyAlignment="1" applyProtection="1">
      <alignment horizontal="center" vertical="center" shrinkToFit="1"/>
    </xf>
    <xf numFmtId="0" fontId="34" fillId="0" borderId="273" xfId="4" applyFont="1" applyFill="1" applyBorder="1" applyAlignment="1" applyProtection="1">
      <alignment horizontal="center" vertical="center" shrinkToFit="1"/>
    </xf>
    <xf numFmtId="0" fontId="34" fillId="0" borderId="275" xfId="4" applyFont="1" applyFill="1" applyBorder="1" applyAlignment="1" applyProtection="1">
      <alignment horizontal="center" vertical="center" shrinkToFit="1"/>
    </xf>
    <xf numFmtId="0" fontId="34" fillId="0" borderId="33" xfId="4" applyFont="1" applyFill="1" applyBorder="1" applyAlignment="1" applyProtection="1">
      <alignment horizontal="center" vertical="center" shrinkToFit="1"/>
    </xf>
    <xf numFmtId="0" fontId="34" fillId="0" borderId="0" xfId="4" applyFont="1" applyFill="1" applyBorder="1" applyAlignment="1" applyProtection="1">
      <alignment horizontal="center" vertical="center" shrinkToFit="1"/>
    </xf>
    <xf numFmtId="0" fontId="34" fillId="0" borderId="38" xfId="4" applyFont="1" applyFill="1" applyBorder="1" applyAlignment="1" applyProtection="1">
      <alignment horizontal="center" vertical="center" shrinkToFit="1"/>
    </xf>
    <xf numFmtId="0" fontId="29" fillId="0" borderId="245" xfId="0" applyFont="1" applyFill="1" applyBorder="1" applyAlignment="1" applyProtection="1">
      <alignment horizontal="right" vertical="center" shrinkToFit="1"/>
    </xf>
    <xf numFmtId="0" fontId="29" fillId="0" borderId="245" xfId="0" applyFont="1" applyFill="1" applyBorder="1" applyAlignment="1" applyProtection="1">
      <alignment horizontal="left" vertical="center" shrinkToFit="1"/>
      <protection locked="0"/>
    </xf>
    <xf numFmtId="0" fontId="29" fillId="0" borderId="265" xfId="0" applyFont="1" applyFill="1" applyBorder="1" applyAlignment="1" applyProtection="1">
      <alignment horizontal="left" vertical="center" shrinkToFit="1"/>
      <protection locked="0"/>
    </xf>
    <xf numFmtId="0" fontId="30" fillId="0" borderId="272" xfId="4" applyFont="1" applyFill="1" applyBorder="1" applyAlignment="1" applyProtection="1">
      <alignment horizontal="center" vertical="center" shrinkToFit="1"/>
    </xf>
    <xf numFmtId="0" fontId="30" fillId="0" borderId="273" xfId="4" applyFont="1" applyFill="1" applyBorder="1" applyAlignment="1" applyProtection="1">
      <alignment horizontal="center" vertical="center" shrinkToFit="1"/>
    </xf>
    <xf numFmtId="0" fontId="43" fillId="0" borderId="291" xfId="4" applyFont="1" applyFill="1" applyBorder="1" applyAlignment="1" applyProtection="1">
      <alignment horizontal="left" vertical="center" shrinkToFit="1"/>
      <protection locked="0"/>
    </xf>
    <xf numFmtId="0" fontId="43" fillId="0" borderId="231" xfId="4" applyFont="1" applyFill="1" applyBorder="1" applyAlignment="1" applyProtection="1">
      <alignment horizontal="left" vertical="center" shrinkToFit="1"/>
      <protection locked="0"/>
    </xf>
    <xf numFmtId="0" fontId="43" fillId="0" borderId="291" xfId="4" applyFont="1" applyFill="1" applyBorder="1" applyAlignment="1" applyProtection="1">
      <alignment horizontal="center" vertical="center" shrinkToFit="1"/>
    </xf>
    <xf numFmtId="0" fontId="43" fillId="0" borderId="231" xfId="4" applyFont="1" applyFill="1" applyBorder="1" applyAlignment="1" applyProtection="1">
      <alignment horizontal="center" vertical="center" shrinkToFit="1"/>
    </xf>
    <xf numFmtId="0" fontId="43" fillId="0" borderId="333" xfId="4" applyFont="1" applyFill="1" applyBorder="1" applyAlignment="1" applyProtection="1">
      <alignment horizontal="center" vertical="center" shrinkToFit="1"/>
    </xf>
    <xf numFmtId="0" fontId="43" fillId="0" borderId="334" xfId="4" applyFont="1" applyFill="1" applyBorder="1" applyAlignment="1" applyProtection="1">
      <alignment horizontal="left" vertical="center" wrapText="1"/>
      <protection locked="0"/>
    </xf>
    <xf numFmtId="0" fontId="43" fillId="0" borderId="231" xfId="4" applyFont="1" applyFill="1" applyBorder="1" applyAlignment="1" applyProtection="1">
      <alignment horizontal="left" vertical="center" wrapText="1"/>
      <protection locked="0"/>
    </xf>
    <xf numFmtId="0" fontId="43" fillId="0" borderId="335" xfId="4" applyFont="1" applyFill="1" applyBorder="1" applyAlignment="1" applyProtection="1">
      <alignment horizontal="left" vertical="center" wrapText="1"/>
      <protection locked="0"/>
    </xf>
    <xf numFmtId="0" fontId="43" fillId="0" borderId="211" xfId="4" applyFont="1" applyFill="1" applyBorder="1" applyAlignment="1" applyProtection="1">
      <alignment horizontal="center" vertical="center"/>
    </xf>
    <xf numFmtId="0" fontId="43" fillId="0" borderId="23" xfId="4" applyFont="1" applyFill="1" applyBorder="1" applyAlignment="1" applyProtection="1">
      <alignment horizontal="center" vertical="center"/>
    </xf>
    <xf numFmtId="0" fontId="43" fillId="0" borderId="332" xfId="4" applyFont="1" applyFill="1" applyBorder="1" applyAlignment="1" applyProtection="1">
      <alignment horizontal="center" vertical="center"/>
    </xf>
    <xf numFmtId="0" fontId="43" fillId="0" borderId="246" xfId="4" applyFont="1" applyFill="1" applyBorder="1" applyAlignment="1" applyProtection="1">
      <alignment horizontal="center" vertical="center"/>
    </xf>
    <xf numFmtId="0" fontId="34" fillId="0" borderId="35" xfId="4" applyFont="1" applyFill="1" applyBorder="1" applyAlignment="1" applyProtection="1">
      <alignment horizontal="center" vertical="center" shrinkToFit="1"/>
    </xf>
    <xf numFmtId="0" fontId="34" fillId="0" borderId="36" xfId="4" applyFont="1" applyFill="1" applyBorder="1" applyAlignment="1" applyProtection="1">
      <alignment horizontal="center" vertical="center" shrinkToFit="1"/>
    </xf>
    <xf numFmtId="0" fontId="34" fillId="0" borderId="54" xfId="4" applyFont="1" applyFill="1" applyBorder="1" applyAlignment="1" applyProtection="1">
      <alignment horizontal="center" vertical="center" shrinkToFit="1"/>
    </xf>
    <xf numFmtId="0" fontId="30" fillId="0" borderId="269" xfId="4" applyFont="1" applyFill="1" applyBorder="1" applyAlignment="1" applyProtection="1">
      <alignment horizontal="center" vertical="center"/>
    </xf>
    <xf numFmtId="0" fontId="30" fillId="0" borderId="270" xfId="4" applyFont="1" applyFill="1" applyBorder="1" applyAlignment="1" applyProtection="1">
      <alignment horizontal="center" vertical="center"/>
    </xf>
    <xf numFmtId="0" fontId="30" fillId="0" borderId="273" xfId="4" applyFont="1" applyFill="1" applyBorder="1" applyAlignment="1" applyProtection="1">
      <alignment horizontal="center" vertical="center"/>
    </xf>
    <xf numFmtId="0" fontId="30" fillId="0" borderId="275" xfId="4" applyFont="1" applyFill="1" applyBorder="1" applyAlignment="1" applyProtection="1">
      <alignment horizontal="center" vertical="center"/>
    </xf>
    <xf numFmtId="0" fontId="34" fillId="7" borderId="37" xfId="4" applyFont="1" applyFill="1" applyBorder="1" applyAlignment="1" applyProtection="1">
      <alignment horizontal="center" vertical="center"/>
    </xf>
    <xf numFmtId="0" fontId="34" fillId="7" borderId="282" xfId="4" applyFont="1" applyFill="1" applyBorder="1" applyAlignment="1" applyProtection="1">
      <alignment horizontal="center" vertical="center"/>
    </xf>
    <xf numFmtId="0" fontId="34" fillId="7" borderId="273" xfId="4" applyFont="1" applyFill="1" applyBorder="1" applyAlignment="1" applyProtection="1">
      <alignment horizontal="center" vertical="center"/>
    </xf>
    <xf numFmtId="0" fontId="34" fillId="7" borderId="275" xfId="4" applyFont="1" applyFill="1" applyBorder="1" applyAlignment="1" applyProtection="1">
      <alignment horizontal="center" vertical="center"/>
    </xf>
    <xf numFmtId="0" fontId="34" fillId="7" borderId="39" xfId="4" applyFont="1" applyFill="1" applyBorder="1" applyAlignment="1" applyProtection="1">
      <alignment horizontal="center" vertical="center"/>
    </xf>
    <xf numFmtId="0" fontId="34" fillId="7" borderId="40" xfId="4" applyFont="1" applyFill="1" applyBorder="1" applyAlignment="1" applyProtection="1">
      <alignment horizontal="center" vertical="center"/>
    </xf>
    <xf numFmtId="0" fontId="34" fillId="7" borderId="41" xfId="4" applyFont="1" applyFill="1" applyBorder="1" applyAlignment="1" applyProtection="1">
      <alignment horizontal="center" vertical="center"/>
    </xf>
    <xf numFmtId="0" fontId="30" fillId="0" borderId="5" xfId="4" applyFont="1" applyFill="1" applyBorder="1" applyAlignment="1" applyProtection="1">
      <alignment horizontal="left" vertical="center" shrinkToFit="1"/>
    </xf>
    <xf numFmtId="0" fontId="30" fillId="0" borderId="36" xfId="4" applyFont="1" applyFill="1" applyBorder="1" applyAlignment="1" applyProtection="1">
      <alignment horizontal="left" vertical="center" shrinkToFit="1"/>
    </xf>
    <xf numFmtId="0" fontId="30" fillId="0" borderId="54" xfId="4" applyFont="1" applyFill="1" applyBorder="1" applyAlignment="1" applyProtection="1">
      <alignment horizontal="left" vertical="center" shrinkToFit="1"/>
    </xf>
    <xf numFmtId="0" fontId="30" fillId="0" borderId="36" xfId="5" applyNumberFormat="1" applyFont="1" applyBorder="1" applyAlignment="1" applyProtection="1">
      <alignment horizontal="left" vertical="center"/>
    </xf>
    <xf numFmtId="6" fontId="30" fillId="0" borderId="36" xfId="5" applyFont="1" applyBorder="1" applyAlignment="1" applyProtection="1">
      <alignment horizontal="left" vertical="center"/>
    </xf>
    <xf numFmtId="6" fontId="30" fillId="0" borderId="54" xfId="5" applyFont="1" applyBorder="1" applyAlignment="1" applyProtection="1">
      <alignment horizontal="left" vertical="center"/>
    </xf>
    <xf numFmtId="0" fontId="30" fillId="0" borderId="269" xfId="4" applyFont="1" applyBorder="1" applyAlignment="1" applyProtection="1">
      <alignment horizontal="left" vertical="center" wrapText="1"/>
    </xf>
    <xf numFmtId="0" fontId="30" fillId="0" borderId="270" xfId="4" applyFont="1" applyBorder="1" applyAlignment="1" applyProtection="1">
      <alignment horizontal="left" vertical="center"/>
    </xf>
    <xf numFmtId="0" fontId="30" fillId="0" borderId="269" xfId="4" applyFont="1" applyBorder="1" applyAlignment="1" applyProtection="1">
      <alignment horizontal="left" vertical="center"/>
    </xf>
    <xf numFmtId="6" fontId="5" fillId="4" borderId="6" xfId="4" applyNumberFormat="1" applyFont="1" applyFill="1" applyBorder="1" applyAlignment="1" applyProtection="1">
      <alignment horizontal="center" vertical="center"/>
      <protection hidden="1"/>
    </xf>
    <xf numFmtId="6" fontId="30" fillId="19" borderId="6" xfId="5" applyFont="1" applyFill="1" applyBorder="1" applyAlignment="1" applyProtection="1">
      <alignment horizontal="center" vertical="center" shrinkToFit="1"/>
    </xf>
    <xf numFmtId="0" fontId="30" fillId="19" borderId="6" xfId="5" applyNumberFormat="1" applyFont="1" applyFill="1" applyBorder="1" applyAlignment="1" applyProtection="1">
      <alignment horizontal="center" vertical="center" shrinkToFit="1"/>
    </xf>
    <xf numFmtId="0" fontId="30" fillId="19" borderId="6" xfId="4" applyFont="1" applyFill="1" applyBorder="1" applyAlignment="1" applyProtection="1">
      <alignment horizontal="center" vertical="center" shrinkToFit="1"/>
    </xf>
    <xf numFmtId="0" fontId="30" fillId="19" borderId="3" xfId="4" applyFont="1" applyFill="1" applyBorder="1" applyAlignment="1" applyProtection="1">
      <alignment horizontal="center" vertical="center" shrinkToFit="1"/>
    </xf>
    <xf numFmtId="0" fontId="34" fillId="2" borderId="267" xfId="4" applyFont="1" applyFill="1" applyBorder="1" applyAlignment="1" applyProtection="1">
      <alignment horizontal="center" vertical="center" shrinkToFit="1"/>
    </xf>
    <xf numFmtId="0" fontId="34" fillId="2" borderId="11" xfId="4" applyFont="1" applyFill="1" applyBorder="1" applyAlignment="1" applyProtection="1">
      <alignment horizontal="center" vertical="center" shrinkToFit="1"/>
    </xf>
    <xf numFmtId="0" fontId="34" fillId="2" borderId="230" xfId="4" applyFont="1" applyFill="1" applyBorder="1" applyAlignment="1" applyProtection="1">
      <alignment horizontal="center" vertical="center" shrinkToFit="1"/>
    </xf>
    <xf numFmtId="0" fontId="34" fillId="2" borderId="148" xfId="4" applyFont="1" applyFill="1" applyBorder="1" applyAlignment="1" applyProtection="1">
      <alignment horizontal="center" vertical="center" shrinkToFit="1"/>
    </xf>
    <xf numFmtId="0" fontId="30" fillId="0" borderId="11" xfId="4" applyFont="1" applyBorder="1" applyAlignment="1" applyProtection="1">
      <alignment horizontal="center" vertical="center"/>
    </xf>
    <xf numFmtId="0" fontId="30" fillId="0" borderId="148" xfId="4" applyFont="1" applyBorder="1" applyAlignment="1" applyProtection="1">
      <alignment horizontal="center" vertical="center"/>
    </xf>
    <xf numFmtId="0" fontId="30" fillId="0" borderId="11" xfId="4" applyFont="1" applyBorder="1" applyAlignment="1" applyProtection="1">
      <alignment horizontal="center" vertical="center" wrapText="1"/>
    </xf>
    <xf numFmtId="0" fontId="30" fillId="0" borderId="85" xfId="4" applyFont="1" applyBorder="1" applyAlignment="1" applyProtection="1">
      <alignment horizontal="center" vertical="center" wrapText="1"/>
    </xf>
    <xf numFmtId="0" fontId="30" fillId="0" borderId="148" xfId="4" applyFont="1" applyBorder="1" applyAlignment="1" applyProtection="1">
      <alignment horizontal="center" vertical="center" wrapText="1"/>
    </xf>
    <xf numFmtId="0" fontId="30" fillId="0" borderId="207" xfId="4" applyFont="1" applyBorder="1" applyAlignment="1" applyProtection="1">
      <alignment horizontal="center" vertical="center" wrapText="1"/>
    </xf>
    <xf numFmtId="0" fontId="34" fillId="0" borderId="30" xfId="4" applyFont="1" applyFill="1" applyBorder="1" applyAlignment="1" applyProtection="1">
      <alignment horizontal="center" vertical="center" shrinkToFit="1"/>
    </xf>
    <xf numFmtId="0" fontId="34" fillId="0" borderId="31" xfId="4" applyFont="1" applyFill="1" applyBorder="1" applyAlignment="1" applyProtection="1">
      <alignment horizontal="center" vertical="center" shrinkToFit="1"/>
    </xf>
    <xf numFmtId="0" fontId="34" fillId="0" borderId="62" xfId="4" applyFont="1" applyFill="1" applyBorder="1" applyAlignment="1" applyProtection="1">
      <alignment horizontal="center" vertical="center" shrinkToFit="1"/>
    </xf>
    <xf numFmtId="0" fontId="34" fillId="19" borderId="82" xfId="4" applyFont="1" applyFill="1" applyBorder="1" applyAlignment="1" applyProtection="1">
      <alignment horizontal="center" vertical="center" shrinkToFit="1"/>
    </xf>
    <xf numFmtId="0" fontId="34" fillId="19" borderId="6" xfId="4" applyFont="1" applyFill="1" applyBorder="1" applyAlignment="1" applyProtection="1">
      <alignment horizontal="center" vertical="center" shrinkToFit="1"/>
    </xf>
    <xf numFmtId="6" fontId="30" fillId="19" borderId="117" xfId="5" applyFont="1" applyFill="1" applyBorder="1" applyAlignment="1" applyProtection="1">
      <alignment horizontal="center" vertical="center" wrapText="1" shrinkToFit="1"/>
    </xf>
    <xf numFmtId="6" fontId="30" fillId="19" borderId="23" xfId="5" applyFont="1" applyFill="1" applyBorder="1" applyAlignment="1" applyProtection="1">
      <alignment horizontal="center" vertical="center" wrapText="1" shrinkToFit="1"/>
    </xf>
    <xf numFmtId="6" fontId="30" fillId="19" borderId="151" xfId="5" applyFont="1" applyFill="1" applyBorder="1" applyAlignment="1" applyProtection="1">
      <alignment horizontal="center" vertical="center" wrapText="1" shrinkToFit="1"/>
    </xf>
    <xf numFmtId="6" fontId="30" fillId="19" borderId="78" xfId="5" applyFont="1" applyFill="1" applyBorder="1" applyAlignment="1" applyProtection="1">
      <alignment horizontal="center" vertical="center" wrapText="1" shrinkToFit="1"/>
    </xf>
    <xf numFmtId="6" fontId="30" fillId="19" borderId="36" xfId="5" applyFont="1" applyFill="1" applyBorder="1" applyAlignment="1" applyProtection="1">
      <alignment horizontal="center" vertical="center" wrapText="1" shrinkToFit="1"/>
    </xf>
    <xf numFmtId="6" fontId="30" fillId="19" borderId="54" xfId="5" applyFont="1" applyFill="1" applyBorder="1" applyAlignment="1" applyProtection="1">
      <alignment horizontal="center" vertical="center" wrapText="1" shrinkToFit="1"/>
    </xf>
    <xf numFmtId="0" fontId="30" fillId="19" borderId="141" xfId="4" applyFont="1" applyFill="1" applyBorder="1" applyAlignment="1" applyProtection="1">
      <alignment horizontal="center" vertical="center" shrinkToFit="1"/>
    </xf>
    <xf numFmtId="0" fontId="30" fillId="19" borderId="141" xfId="5" applyNumberFormat="1" applyFont="1" applyFill="1" applyBorder="1" applyAlignment="1" applyProtection="1">
      <alignment horizontal="center" vertical="center" shrinkToFit="1"/>
    </xf>
    <xf numFmtId="0" fontId="30" fillId="19" borderId="152" xfId="5" applyNumberFormat="1" applyFont="1" applyFill="1" applyBorder="1" applyAlignment="1" applyProtection="1">
      <alignment horizontal="center" vertical="center" shrinkToFit="1"/>
    </xf>
    <xf numFmtId="0" fontId="34" fillId="19" borderId="159" xfId="4" applyFont="1" applyFill="1" applyBorder="1" applyAlignment="1" applyProtection="1">
      <alignment horizontal="center" vertical="center" shrinkToFit="1"/>
    </xf>
    <xf numFmtId="0" fontId="34" fillId="19" borderId="23" xfId="4" applyFont="1" applyFill="1" applyBorder="1" applyAlignment="1" applyProtection="1">
      <alignment horizontal="center" vertical="center" shrinkToFit="1"/>
    </xf>
    <xf numFmtId="0" fontId="34" fillId="19" borderId="134" xfId="4" applyFont="1" applyFill="1" applyBorder="1" applyAlignment="1" applyProtection="1">
      <alignment horizontal="center" vertical="center" shrinkToFit="1"/>
    </xf>
    <xf numFmtId="0" fontId="34" fillId="19" borderId="160" xfId="4" applyFont="1" applyFill="1" applyBorder="1" applyAlignment="1" applyProtection="1">
      <alignment horizontal="center" vertical="center" shrinkToFit="1"/>
    </xf>
    <xf numFmtId="0" fontId="34" fillId="19" borderId="0" xfId="4" applyFont="1" applyFill="1" applyBorder="1" applyAlignment="1" applyProtection="1">
      <alignment horizontal="center" vertical="center" shrinkToFit="1"/>
    </xf>
    <xf numFmtId="0" fontId="34" fillId="19" borderId="156" xfId="4" applyFont="1" applyFill="1" applyBorder="1" applyAlignment="1" applyProtection="1">
      <alignment horizontal="center" vertical="center" shrinkToFit="1"/>
    </xf>
    <xf numFmtId="6" fontId="5" fillId="4" borderId="9" xfId="4" applyNumberFormat="1" applyFont="1" applyFill="1" applyBorder="1" applyAlignment="1" applyProtection="1">
      <alignment horizontal="center" vertical="center"/>
      <protection hidden="1"/>
    </xf>
    <xf numFmtId="6" fontId="5" fillId="4" borderId="10" xfId="4" applyNumberFormat="1" applyFont="1" applyFill="1" applyBorder="1" applyAlignment="1" applyProtection="1">
      <alignment horizontal="center" vertical="center"/>
      <protection hidden="1"/>
    </xf>
    <xf numFmtId="6" fontId="5" fillId="4" borderId="11" xfId="4" applyNumberFormat="1" applyFont="1" applyFill="1" applyBorder="1" applyAlignment="1" applyProtection="1">
      <alignment horizontal="center" vertical="center"/>
      <protection hidden="1"/>
    </xf>
    <xf numFmtId="184" fontId="34" fillId="6" borderId="19" xfId="5" applyNumberFormat="1" applyFont="1" applyFill="1" applyBorder="1" applyAlignment="1" applyProtection="1">
      <alignment horizontal="right" vertical="center"/>
      <protection locked="0"/>
    </xf>
    <xf numFmtId="184" fontId="34" fillId="6" borderId="20" xfId="5" applyNumberFormat="1" applyFont="1" applyFill="1" applyBorder="1" applyAlignment="1" applyProtection="1">
      <alignment horizontal="right" vertical="center"/>
      <protection locked="0"/>
    </xf>
    <xf numFmtId="184" fontId="34" fillId="6" borderId="143" xfId="5" applyNumberFormat="1" applyFont="1" applyFill="1" applyBorder="1" applyAlignment="1" applyProtection="1">
      <alignment horizontal="right" vertical="center" shrinkToFit="1"/>
      <protection locked="0"/>
    </xf>
    <xf numFmtId="184" fontId="34" fillId="6" borderId="143" xfId="5" applyNumberFormat="1" applyFont="1" applyFill="1" applyBorder="1" applyAlignment="1" applyProtection="1">
      <alignment horizontal="right" vertical="center" shrinkToFit="1"/>
    </xf>
    <xf numFmtId="184" fontId="34" fillId="6" borderId="22" xfId="5" applyNumberFormat="1" applyFont="1" applyFill="1" applyBorder="1" applyAlignment="1" applyProtection="1">
      <alignment horizontal="right" vertical="center" shrinkToFit="1"/>
      <protection locked="0"/>
    </xf>
    <xf numFmtId="184" fontId="34" fillId="6" borderId="20" xfId="5" applyNumberFormat="1" applyFont="1" applyFill="1" applyBorder="1" applyAlignment="1" applyProtection="1">
      <alignment horizontal="right" vertical="center" shrinkToFit="1"/>
      <protection locked="0"/>
    </xf>
    <xf numFmtId="184" fontId="34" fillId="6" borderId="76" xfId="5" applyNumberFormat="1" applyFont="1" applyFill="1" applyBorder="1" applyAlignment="1" applyProtection="1">
      <alignment horizontal="right" vertical="center"/>
      <protection locked="0"/>
    </xf>
    <xf numFmtId="184" fontId="34" fillId="6" borderId="1" xfId="5" applyNumberFormat="1" applyFont="1" applyFill="1" applyBorder="1" applyAlignment="1" applyProtection="1">
      <alignment horizontal="right" vertical="center"/>
      <protection locked="0"/>
    </xf>
    <xf numFmtId="184" fontId="34" fillId="6" borderId="6" xfId="5" applyNumberFormat="1" applyFont="1" applyFill="1" applyBorder="1" applyAlignment="1" applyProtection="1">
      <alignment horizontal="right" vertical="center" shrinkToFit="1"/>
      <protection locked="0"/>
    </xf>
    <xf numFmtId="184" fontId="34" fillId="6" borderId="6" xfId="5" applyNumberFormat="1" applyFont="1" applyFill="1" applyBorder="1" applyAlignment="1" applyProtection="1">
      <alignment horizontal="right" vertical="center" shrinkToFit="1"/>
    </xf>
    <xf numFmtId="184" fontId="34" fillId="6" borderId="3" xfId="5" applyNumberFormat="1" applyFont="1" applyFill="1" applyBorder="1" applyAlignment="1" applyProtection="1">
      <alignment horizontal="right" vertical="center" shrinkToFit="1"/>
      <protection locked="0"/>
    </xf>
    <xf numFmtId="184" fontId="34" fillId="6" borderId="1" xfId="5" applyNumberFormat="1" applyFont="1" applyFill="1" applyBorder="1" applyAlignment="1" applyProtection="1">
      <alignment horizontal="right" vertical="center" shrinkToFit="1"/>
      <protection locked="0"/>
    </xf>
    <xf numFmtId="184" fontId="34" fillId="6" borderId="22" xfId="13" applyNumberFormat="1" applyFont="1" applyFill="1" applyBorder="1" applyAlignment="1" applyProtection="1">
      <alignment horizontal="right" vertical="center" shrinkToFit="1"/>
      <protection locked="0"/>
    </xf>
    <xf numFmtId="184" fontId="34" fillId="6" borderId="20" xfId="13" applyNumberFormat="1" applyFont="1" applyFill="1" applyBorder="1" applyAlignment="1" applyProtection="1">
      <alignment horizontal="right" vertical="center" shrinkToFit="1"/>
      <protection locked="0"/>
    </xf>
    <xf numFmtId="0" fontId="34" fillId="19" borderId="65" xfId="4" applyFont="1" applyFill="1" applyBorder="1" applyAlignment="1" applyProtection="1">
      <alignment horizontal="center" vertical="center" wrapText="1" shrinkToFit="1"/>
    </xf>
    <xf numFmtId="0" fontId="34" fillId="19" borderId="147" xfId="4" applyFont="1" applyFill="1" applyBorder="1" applyAlignment="1" applyProtection="1">
      <alignment horizontal="center" vertical="center" wrapText="1" shrinkToFit="1"/>
    </xf>
    <xf numFmtId="0" fontId="34" fillId="19" borderId="33" xfId="4" applyFont="1" applyFill="1" applyBorder="1" applyAlignment="1" applyProtection="1">
      <alignment horizontal="center" vertical="center" wrapText="1" shrinkToFit="1"/>
    </xf>
    <xf numFmtId="0" fontId="34" fillId="19" borderId="0" xfId="4" applyFont="1" applyFill="1" applyBorder="1" applyAlignment="1" applyProtection="1">
      <alignment horizontal="center" vertical="center" wrapText="1" shrinkToFit="1"/>
    </xf>
    <xf numFmtId="0" fontId="34" fillId="19" borderId="39" xfId="4" applyFont="1" applyFill="1" applyBorder="1" applyAlignment="1" applyProtection="1">
      <alignment horizontal="center" vertical="center" wrapText="1" shrinkToFit="1"/>
    </xf>
    <xf numFmtId="0" fontId="34" fillId="19" borderId="40" xfId="4" applyFont="1" applyFill="1" applyBorder="1" applyAlignment="1" applyProtection="1">
      <alignment horizontal="center" vertical="center" wrapText="1" shrinkToFit="1"/>
    </xf>
    <xf numFmtId="0" fontId="34" fillId="19" borderId="1" xfId="4" applyFont="1" applyFill="1" applyBorder="1" applyAlignment="1" applyProtection="1">
      <alignment horizontal="center" vertical="center" wrapText="1" shrinkToFit="1"/>
    </xf>
    <xf numFmtId="0" fontId="34" fillId="19" borderId="2" xfId="4" applyFont="1" applyFill="1" applyBorder="1" applyAlignment="1" applyProtection="1">
      <alignment horizontal="center" vertical="center" wrapText="1" shrinkToFit="1"/>
    </xf>
    <xf numFmtId="0" fontId="64" fillId="19" borderId="152" xfId="4" applyFont="1" applyFill="1" applyBorder="1" applyAlignment="1" applyProtection="1">
      <alignment horizontal="center" vertical="center" shrinkToFit="1"/>
    </xf>
    <xf numFmtId="0" fontId="64" fillId="19" borderId="153" xfId="4" applyFont="1" applyFill="1" applyBorder="1" applyAlignment="1" applyProtection="1">
      <alignment horizontal="center" vertical="center" shrinkToFit="1"/>
    </xf>
    <xf numFmtId="0" fontId="64" fillId="19" borderId="154" xfId="4" applyFont="1" applyFill="1" applyBorder="1" applyAlignment="1" applyProtection="1">
      <alignment horizontal="center" vertical="center" shrinkToFit="1"/>
    </xf>
    <xf numFmtId="6" fontId="34" fillId="19" borderId="154" xfId="13" applyFont="1" applyFill="1" applyBorder="1" applyAlignment="1" applyProtection="1">
      <alignment horizontal="center" vertical="center" shrinkToFit="1"/>
    </xf>
    <xf numFmtId="49" fontId="29" fillId="6" borderId="148" xfId="13" applyNumberFormat="1" applyFont="1" applyFill="1" applyBorder="1" applyAlignment="1" applyProtection="1">
      <alignment horizontal="center" vertical="center" wrapText="1" shrinkToFit="1"/>
      <protection locked="0"/>
    </xf>
    <xf numFmtId="0" fontId="29" fillId="6" borderId="148" xfId="13" applyNumberFormat="1" applyFont="1" applyFill="1" applyBorder="1" applyAlignment="1" applyProtection="1">
      <alignment horizontal="center" vertical="center" shrinkToFit="1"/>
      <protection locked="0"/>
    </xf>
    <xf numFmtId="0" fontId="29" fillId="6" borderId="66" xfId="13" applyNumberFormat="1" applyFont="1" applyFill="1" applyBorder="1" applyAlignment="1" applyProtection="1">
      <alignment horizontal="center" vertical="center" shrinkToFit="1"/>
      <protection locked="0"/>
    </xf>
    <xf numFmtId="49" fontId="34" fillId="6" borderId="7" xfId="13" applyNumberFormat="1" applyFont="1" applyFill="1" applyBorder="1" applyAlignment="1" applyProtection="1">
      <alignment horizontal="center" vertical="center" shrinkToFit="1"/>
      <protection locked="0"/>
    </xf>
    <xf numFmtId="49" fontId="34" fillId="6" borderId="96" xfId="13" applyNumberFormat="1" applyFont="1" applyFill="1" applyBorder="1" applyAlignment="1" applyProtection="1">
      <alignment horizontal="center" vertical="center" shrinkToFit="1"/>
      <protection locked="0"/>
    </xf>
    <xf numFmtId="49" fontId="34" fillId="6" borderId="42" xfId="13" applyNumberFormat="1" applyFont="1" applyFill="1" applyBorder="1" applyAlignment="1" applyProtection="1">
      <alignment horizontal="center" vertical="center" shrinkToFit="1"/>
      <protection locked="0"/>
    </xf>
    <xf numFmtId="49" fontId="34" fillId="6" borderId="155" xfId="13" applyNumberFormat="1" applyFont="1" applyFill="1" applyBorder="1" applyAlignment="1" applyProtection="1">
      <alignment horizontal="center" vertical="center" shrinkToFit="1"/>
      <protection locked="0"/>
    </xf>
    <xf numFmtId="49" fontId="29" fillId="6" borderId="97" xfId="13" applyNumberFormat="1" applyFont="1" applyFill="1" applyBorder="1" applyAlignment="1" applyProtection="1">
      <alignment horizontal="left" vertical="center" wrapText="1" shrinkToFit="1"/>
      <protection locked="0"/>
    </xf>
    <xf numFmtId="49" fontId="29" fillId="6" borderId="147" xfId="13" applyNumberFormat="1" applyFont="1" applyFill="1" applyBorder="1" applyAlignment="1" applyProtection="1">
      <alignment horizontal="left" vertical="center" wrapText="1" shrinkToFit="1"/>
      <protection locked="0"/>
    </xf>
    <xf numFmtId="49" fontId="29" fillId="6" borderId="150" xfId="13" applyNumberFormat="1" applyFont="1" applyFill="1" applyBorder="1" applyAlignment="1" applyProtection="1">
      <alignment horizontal="left" vertical="center" wrapText="1" shrinkToFit="1"/>
      <protection locked="0"/>
    </xf>
    <xf numFmtId="49" fontId="29" fillId="6" borderId="167" xfId="13" applyNumberFormat="1" applyFont="1" applyFill="1" applyBorder="1" applyAlignment="1" applyProtection="1">
      <alignment horizontal="left" vertical="center" wrapText="1" shrinkToFit="1"/>
      <protection locked="0"/>
    </xf>
    <xf numFmtId="49" fontId="29" fillId="6" borderId="40" xfId="13" applyNumberFormat="1" applyFont="1" applyFill="1" applyBorder="1" applyAlignment="1" applyProtection="1">
      <alignment horizontal="left" vertical="center" wrapText="1" shrinkToFit="1"/>
      <protection locked="0"/>
    </xf>
    <xf numFmtId="49" fontId="29" fillId="6" borderId="43" xfId="13" applyNumberFormat="1" applyFont="1" applyFill="1" applyBorder="1" applyAlignment="1" applyProtection="1">
      <alignment horizontal="left" vertical="center" wrapText="1" shrinkToFit="1"/>
      <protection locked="0"/>
    </xf>
    <xf numFmtId="0" fontId="29" fillId="19" borderId="66" xfId="4" applyFont="1" applyFill="1" applyBorder="1" applyAlignment="1" applyProtection="1">
      <alignment horizontal="center" vertical="center" wrapText="1" shrinkToFit="1"/>
    </xf>
    <xf numFmtId="0" fontId="29" fillId="19" borderId="67" xfId="4" applyFont="1" applyFill="1" applyBorder="1" applyAlignment="1" applyProtection="1">
      <alignment horizontal="center" vertical="center" wrapText="1" shrinkToFit="1"/>
    </xf>
    <xf numFmtId="0" fontId="29" fillId="19" borderId="68" xfId="4" applyFont="1" applyFill="1" applyBorder="1" applyAlignment="1" applyProtection="1">
      <alignment horizontal="center" vertical="center" wrapText="1" shrinkToFit="1"/>
    </xf>
    <xf numFmtId="6" fontId="34" fillId="0" borderId="204" xfId="5" applyNumberFormat="1" applyFont="1" applyBorder="1" applyAlignment="1" applyProtection="1">
      <alignment horizontal="right" vertical="center" shrinkToFit="1"/>
      <protection locked="0"/>
    </xf>
    <xf numFmtId="6" fontId="34" fillId="0" borderId="143" xfId="5" applyNumberFormat="1" applyFont="1" applyBorder="1" applyAlignment="1" applyProtection="1">
      <alignment horizontal="right" vertical="center" shrinkToFit="1"/>
      <protection locked="0"/>
    </xf>
    <xf numFmtId="6" fontId="34" fillId="0" borderId="205" xfId="5" applyNumberFormat="1" applyFont="1" applyBorder="1" applyAlignment="1" applyProtection="1">
      <alignment horizontal="right" vertical="center" shrinkToFit="1"/>
      <protection locked="0"/>
    </xf>
    <xf numFmtId="0" fontId="34" fillId="23" borderId="30" xfId="4" applyFont="1" applyFill="1" applyBorder="1" applyAlignment="1" applyProtection="1">
      <alignment horizontal="center" vertical="center" shrinkToFit="1"/>
    </xf>
    <xf numFmtId="0" fontId="34" fillId="23" borderId="31" xfId="4" applyFont="1" applyFill="1" applyBorder="1" applyAlignment="1" applyProtection="1">
      <alignment horizontal="center" vertical="center" shrinkToFit="1"/>
    </xf>
    <xf numFmtId="0" fontId="34" fillId="23" borderId="62" xfId="4" applyFont="1" applyFill="1" applyBorder="1" applyAlignment="1" applyProtection="1">
      <alignment horizontal="center" vertical="center" shrinkToFit="1"/>
    </xf>
    <xf numFmtId="0" fontId="34" fillId="23" borderId="33" xfId="4" applyFont="1" applyFill="1" applyBorder="1" applyAlignment="1" applyProtection="1">
      <alignment horizontal="center" vertical="center" shrinkToFit="1"/>
    </xf>
    <xf numFmtId="0" fontId="34" fillId="23" borderId="0" xfId="4" applyFont="1" applyFill="1" applyBorder="1" applyAlignment="1" applyProtection="1">
      <alignment horizontal="center" vertical="center" shrinkToFit="1"/>
    </xf>
    <xf numFmtId="0" fontId="34" fillId="23" borderId="38" xfId="4" applyFont="1" applyFill="1" applyBorder="1" applyAlignment="1" applyProtection="1">
      <alignment horizontal="center" vertical="center" shrinkToFit="1"/>
    </xf>
    <xf numFmtId="0" fontId="34" fillId="23" borderId="39" xfId="4" applyFont="1" applyFill="1" applyBorder="1" applyAlignment="1" applyProtection="1">
      <alignment horizontal="center" vertical="center" shrinkToFit="1"/>
    </xf>
    <xf numFmtId="0" fontId="34" fillId="23" borderId="40" xfId="4" applyFont="1" applyFill="1" applyBorder="1" applyAlignment="1" applyProtection="1">
      <alignment horizontal="center" vertical="center" shrinkToFit="1"/>
    </xf>
    <xf numFmtId="0" fontId="34" fillId="23" borderId="41" xfId="4" applyFont="1" applyFill="1" applyBorder="1" applyAlignment="1" applyProtection="1">
      <alignment horizontal="center" vertical="center" shrinkToFit="1"/>
    </xf>
    <xf numFmtId="0" fontId="30" fillId="2" borderId="63" xfId="4" applyFont="1" applyFill="1" applyBorder="1" applyAlignment="1" applyProtection="1">
      <alignment horizontal="left" vertical="top" wrapText="1" shrinkToFit="1"/>
    </xf>
    <xf numFmtId="0" fontId="30" fillId="2" borderId="31" xfId="4" applyFont="1" applyFill="1" applyBorder="1" applyAlignment="1" applyProtection="1">
      <alignment horizontal="left" vertical="top" wrapText="1" shrinkToFit="1"/>
    </xf>
    <xf numFmtId="0" fontId="30" fillId="2" borderId="32" xfId="4" applyFont="1" applyFill="1" applyBorder="1" applyAlignment="1" applyProtection="1">
      <alignment horizontal="left" vertical="top" wrapText="1" shrinkToFit="1"/>
    </xf>
    <xf numFmtId="0" fontId="30" fillId="2" borderId="8" xfId="4" applyFont="1" applyFill="1" applyBorder="1" applyAlignment="1" applyProtection="1">
      <alignment horizontal="left" vertical="top" wrapText="1" shrinkToFit="1"/>
    </xf>
    <xf numFmtId="0" fontId="30" fillId="2" borderId="0" xfId="4" applyFont="1" applyFill="1" applyBorder="1" applyAlignment="1" applyProtection="1">
      <alignment horizontal="left" vertical="top" wrapText="1" shrinkToFit="1"/>
    </xf>
    <xf numFmtId="0" fontId="30" fillId="2" borderId="34" xfId="4" applyFont="1" applyFill="1" applyBorder="1" applyAlignment="1" applyProtection="1">
      <alignment horizontal="left" vertical="top" wrapText="1" shrinkToFit="1"/>
    </xf>
    <xf numFmtId="0" fontId="30" fillId="2" borderId="42" xfId="4" applyFont="1" applyFill="1" applyBorder="1" applyAlignment="1" applyProtection="1">
      <alignment horizontal="left" vertical="top" wrapText="1" shrinkToFit="1"/>
    </xf>
    <xf numFmtId="0" fontId="30" fillId="2" borderId="40" xfId="4" applyFont="1" applyFill="1" applyBorder="1" applyAlignment="1" applyProtection="1">
      <alignment horizontal="left" vertical="top" wrapText="1" shrinkToFit="1"/>
    </xf>
    <xf numFmtId="0" fontId="30" fillId="2" borderId="43" xfId="4" applyFont="1" applyFill="1" applyBorder="1" applyAlignment="1" applyProtection="1">
      <alignment horizontal="left" vertical="top" wrapText="1" shrinkToFit="1"/>
    </xf>
    <xf numFmtId="0" fontId="34" fillId="19" borderId="98" xfId="4" applyFont="1" applyFill="1" applyBorder="1" applyAlignment="1" applyProtection="1">
      <alignment horizontal="center" vertical="center" shrinkToFit="1"/>
    </xf>
    <xf numFmtId="0" fontId="34" fillId="19" borderId="99" xfId="4" applyFont="1" applyFill="1" applyBorder="1" applyAlignment="1" applyProtection="1">
      <alignment horizontal="center" vertical="center" shrinkToFit="1"/>
    </xf>
    <xf numFmtId="0" fontId="34" fillId="19" borderId="229" xfId="4" applyFont="1" applyFill="1" applyBorder="1" applyAlignment="1" applyProtection="1">
      <alignment horizontal="center" vertical="center" shrinkToFit="1"/>
    </xf>
    <xf numFmtId="0" fontId="30" fillId="7" borderId="140" xfId="4" applyFont="1" applyFill="1" applyBorder="1" applyAlignment="1" applyProtection="1">
      <alignment horizontal="center" vertical="center" shrinkToFit="1"/>
    </xf>
    <xf numFmtId="0" fontId="30" fillId="7" borderId="141" xfId="4" applyFont="1" applyFill="1" applyBorder="1" applyAlignment="1" applyProtection="1">
      <alignment horizontal="center" vertical="center" shrinkToFit="1"/>
    </xf>
    <xf numFmtId="0" fontId="30" fillId="7" borderId="142" xfId="4" applyFont="1" applyFill="1" applyBorder="1" applyAlignment="1" applyProtection="1">
      <alignment horizontal="center" vertical="center" shrinkToFit="1"/>
    </xf>
    <xf numFmtId="0" fontId="34" fillId="2" borderId="35" xfId="4" applyFont="1" applyFill="1" applyBorder="1" applyAlignment="1" applyProtection="1">
      <alignment horizontal="left" vertical="center" shrinkToFit="1"/>
    </xf>
    <xf numFmtId="0" fontId="34" fillId="2" borderId="36" xfId="4" applyFont="1" applyFill="1" applyBorder="1" applyAlignment="1" applyProtection="1">
      <alignment horizontal="left" vertical="center" shrinkToFit="1"/>
    </xf>
    <xf numFmtId="0" fontId="34" fillId="2" borderId="54" xfId="4" applyFont="1" applyFill="1" applyBorder="1" applyAlignment="1" applyProtection="1">
      <alignment horizontal="left" vertical="center" shrinkToFit="1"/>
    </xf>
    <xf numFmtId="0" fontId="34" fillId="0" borderId="36" xfId="4" applyFont="1" applyFill="1" applyBorder="1" applyAlignment="1" applyProtection="1">
      <alignment horizontal="center" vertical="center"/>
      <protection locked="0"/>
    </xf>
    <xf numFmtId="6" fontId="34" fillId="0" borderId="250" xfId="5" applyNumberFormat="1" applyFont="1" applyBorder="1" applyAlignment="1" applyProtection="1">
      <alignment horizontal="right" vertical="center" shrinkToFit="1"/>
    </xf>
    <xf numFmtId="6" fontId="34" fillId="0" borderId="249" xfId="5" applyNumberFormat="1" applyFont="1" applyBorder="1" applyAlignment="1" applyProtection="1">
      <alignment horizontal="right" vertical="center" shrinkToFit="1"/>
    </xf>
    <xf numFmtId="6" fontId="34" fillId="0" borderId="6" xfId="5" applyNumberFormat="1" applyFont="1" applyBorder="1" applyAlignment="1" applyProtection="1">
      <alignment horizontal="right" vertical="center" shrinkToFit="1"/>
      <protection locked="0"/>
    </xf>
    <xf numFmtId="6" fontId="34" fillId="0" borderId="106" xfId="5" applyNumberFormat="1" applyFont="1" applyBorder="1" applyAlignment="1" applyProtection="1">
      <alignment horizontal="right" vertical="center" shrinkToFit="1"/>
      <protection locked="0"/>
    </xf>
    <xf numFmtId="0" fontId="34" fillId="0" borderId="274" xfId="4" applyFont="1" applyFill="1" applyBorder="1" applyAlignment="1" applyProtection="1">
      <alignment horizontal="center" vertical="center" shrinkToFit="1"/>
    </xf>
    <xf numFmtId="6" fontId="34" fillId="0" borderId="325" xfId="13" applyFont="1" applyFill="1" applyBorder="1" applyAlignment="1" applyProtection="1">
      <alignment horizontal="right" vertical="center" shrinkToFit="1"/>
      <protection locked="0"/>
    </xf>
    <xf numFmtId="6" fontId="34" fillId="0" borderId="276" xfId="13" applyFont="1" applyFill="1" applyBorder="1" applyAlignment="1" applyProtection="1">
      <alignment horizontal="right" vertical="center" shrinkToFit="1"/>
      <protection locked="0"/>
    </xf>
    <xf numFmtId="6" fontId="34" fillId="0" borderId="326" xfId="13" applyFont="1" applyFill="1" applyBorder="1" applyAlignment="1" applyProtection="1">
      <alignment horizontal="right" vertical="center" shrinkToFit="1"/>
      <protection locked="0"/>
    </xf>
    <xf numFmtId="0" fontId="34" fillId="0" borderId="274" xfId="4" applyFont="1" applyBorder="1" applyAlignment="1" applyProtection="1">
      <alignment horizontal="left" vertical="center" indent="1"/>
    </xf>
    <xf numFmtId="0" fontId="34" fillId="0" borderId="269" xfId="4" applyFont="1" applyBorder="1" applyAlignment="1" applyProtection="1">
      <alignment horizontal="left" vertical="center" indent="1"/>
    </xf>
    <xf numFmtId="6" fontId="34" fillId="0" borderId="286" xfId="13" applyFont="1" applyFill="1" applyBorder="1" applyAlignment="1" applyProtection="1">
      <alignment horizontal="right" vertical="center"/>
      <protection locked="0"/>
    </xf>
    <xf numFmtId="6" fontId="34" fillId="0" borderId="270" xfId="13" applyFont="1" applyFill="1" applyBorder="1" applyAlignment="1" applyProtection="1">
      <alignment horizontal="right" vertical="center"/>
      <protection locked="0"/>
    </xf>
    <xf numFmtId="6" fontId="34" fillId="0" borderId="286" xfId="13" applyFont="1" applyBorder="1" applyAlignment="1" applyProtection="1">
      <alignment horizontal="right" vertical="center"/>
      <protection locked="0"/>
    </xf>
    <xf numFmtId="6" fontId="34" fillId="0" borderId="270" xfId="13" applyFont="1" applyBorder="1" applyAlignment="1" applyProtection="1">
      <alignment horizontal="right" vertical="center"/>
      <protection locked="0"/>
    </xf>
    <xf numFmtId="0" fontId="34" fillId="0" borderId="274" xfId="4" applyFont="1" applyFill="1" applyBorder="1" applyAlignment="1" applyProtection="1">
      <alignment horizontal="left" vertical="center" indent="1"/>
    </xf>
    <xf numFmtId="0" fontId="34" fillId="0" borderId="269" xfId="4" applyFont="1" applyFill="1" applyBorder="1" applyAlignment="1" applyProtection="1">
      <alignment horizontal="left" vertical="center" indent="1"/>
    </xf>
    <xf numFmtId="0" fontId="30" fillId="0" borderId="284" xfId="4" applyFont="1" applyBorder="1" applyAlignment="1" applyProtection="1">
      <alignment horizontal="left" vertical="center"/>
    </xf>
    <xf numFmtId="184" fontId="30" fillId="0" borderId="270" xfId="5" applyNumberFormat="1" applyFont="1" applyFill="1" applyBorder="1" applyAlignment="1" applyProtection="1">
      <alignment horizontal="left" vertical="center" shrinkToFit="1"/>
    </xf>
    <xf numFmtId="184" fontId="30" fillId="0" borderId="284" xfId="5" applyNumberFormat="1" applyFont="1" applyFill="1" applyBorder="1" applyAlignment="1" applyProtection="1">
      <alignment horizontal="left" vertical="center" shrinkToFit="1"/>
    </xf>
    <xf numFmtId="0" fontId="30" fillId="0" borderId="270" xfId="4" applyFont="1" applyFill="1" applyBorder="1" applyAlignment="1" applyProtection="1">
      <alignment horizontal="left" vertical="center"/>
    </xf>
    <xf numFmtId="0" fontId="30" fillId="0" borderId="284" xfId="4" applyFont="1" applyFill="1" applyBorder="1" applyAlignment="1" applyProtection="1">
      <alignment horizontal="left" vertical="center"/>
    </xf>
    <xf numFmtId="184" fontId="30" fillId="0" borderId="285" xfId="5" applyNumberFormat="1" applyFont="1" applyFill="1" applyBorder="1" applyAlignment="1" applyProtection="1">
      <alignment horizontal="left" vertical="center"/>
    </xf>
    <xf numFmtId="184" fontId="30" fillId="0" borderId="268" xfId="5" applyNumberFormat="1" applyFont="1" applyFill="1" applyBorder="1" applyAlignment="1" applyProtection="1">
      <alignment horizontal="left" vertical="center"/>
    </xf>
    <xf numFmtId="0" fontId="30" fillId="7" borderId="117" xfId="4" applyFont="1" applyFill="1" applyBorder="1" applyAlignment="1" applyProtection="1">
      <alignment horizontal="center" vertical="center" shrinkToFit="1"/>
    </xf>
    <xf numFmtId="0" fontId="30" fillId="7" borderId="23" xfId="4" applyFont="1" applyFill="1" applyBorder="1" applyAlignment="1" applyProtection="1">
      <alignment horizontal="center" vertical="center" shrinkToFit="1"/>
    </xf>
    <xf numFmtId="0" fontId="30" fillId="7" borderId="134" xfId="4" applyFont="1" applyFill="1" applyBorder="1" applyAlignment="1" applyProtection="1">
      <alignment horizontal="center" vertical="center" shrinkToFit="1"/>
    </xf>
    <xf numFmtId="0" fontId="34" fillId="0" borderId="2" xfId="4" applyFont="1" applyFill="1" applyBorder="1" applyAlignment="1" applyProtection="1">
      <alignment horizontal="left" vertical="center" indent="1" shrinkToFit="1"/>
    </xf>
    <xf numFmtId="0" fontId="34" fillId="0" borderId="6" xfId="4" applyFont="1" applyFill="1" applyBorder="1" applyAlignment="1" applyProtection="1">
      <alignment horizontal="left" vertical="center" indent="1" shrinkToFit="1"/>
    </xf>
    <xf numFmtId="0" fontId="34" fillId="0" borderId="269" xfId="4" applyFont="1" applyFill="1" applyBorder="1" applyAlignment="1" applyProtection="1">
      <alignment horizontal="left" vertical="center" indent="1" shrinkToFit="1"/>
    </xf>
    <xf numFmtId="0" fontId="34" fillId="0" borderId="270" xfId="6" applyNumberFormat="1" applyFont="1" applyBorder="1" applyAlignment="1" applyProtection="1">
      <alignment horizontal="right" vertical="center" shrinkToFit="1"/>
      <protection locked="0"/>
    </xf>
    <xf numFmtId="0" fontId="34" fillId="0" borderId="1" xfId="6" applyNumberFormat="1" applyFont="1" applyBorder="1" applyAlignment="1" applyProtection="1">
      <alignment horizontal="right" vertical="center" shrinkToFit="1"/>
      <protection locked="0"/>
    </xf>
    <xf numFmtId="0" fontId="34" fillId="19" borderId="113" xfId="4" applyFont="1" applyFill="1" applyBorder="1" applyAlignment="1" applyProtection="1">
      <alignment horizontal="center" vertical="center"/>
    </xf>
    <xf numFmtId="0" fontId="34" fillId="19" borderId="82" xfId="4" applyFont="1" applyFill="1" applyBorder="1" applyAlignment="1" applyProtection="1">
      <alignment horizontal="center" vertical="center"/>
    </xf>
    <xf numFmtId="0" fontId="34" fillId="19" borderId="100" xfId="4" applyFont="1" applyFill="1" applyBorder="1" applyAlignment="1" applyProtection="1">
      <alignment horizontal="center" vertical="center"/>
    </xf>
    <xf numFmtId="0" fontId="34" fillId="19" borderId="81" xfId="4" applyFont="1" applyFill="1" applyBorder="1" applyAlignment="1" applyProtection="1">
      <alignment horizontal="center" vertical="center"/>
    </xf>
    <xf numFmtId="0" fontId="34" fillId="19" borderId="6" xfId="4" applyFont="1" applyFill="1" applyBorder="1" applyAlignment="1" applyProtection="1">
      <alignment horizontal="center" vertical="center"/>
    </xf>
    <xf numFmtId="0" fontId="34" fillId="19" borderId="192" xfId="4" applyFont="1" applyFill="1" applyBorder="1" applyAlignment="1" applyProtection="1">
      <alignment horizontal="center" vertical="center"/>
    </xf>
    <xf numFmtId="0" fontId="34" fillId="62" borderId="117" xfId="4" applyFont="1" applyFill="1" applyBorder="1" applyAlignment="1" applyProtection="1">
      <alignment horizontal="center" vertical="center" wrapText="1"/>
    </xf>
    <xf numFmtId="0" fontId="34" fillId="62" borderId="23" xfId="4" applyFont="1" applyFill="1" applyBorder="1" applyAlignment="1" applyProtection="1">
      <alignment horizontal="center" vertical="center" wrapText="1"/>
    </xf>
    <xf numFmtId="0" fontId="34" fillId="62" borderId="134" xfId="4" applyFont="1" applyFill="1" applyBorder="1" applyAlignment="1" applyProtection="1">
      <alignment horizontal="center" vertical="center" wrapText="1"/>
    </xf>
    <xf numFmtId="0" fontId="34" fillId="62" borderId="78" xfId="4" applyFont="1" applyFill="1" applyBorder="1" applyAlignment="1" applyProtection="1">
      <alignment horizontal="center" vertical="center" wrapText="1"/>
    </xf>
    <xf numFmtId="0" fontId="34" fillId="62" borderId="80" xfId="4" applyFont="1" applyFill="1" applyBorder="1" applyAlignment="1" applyProtection="1">
      <alignment horizontal="center" vertical="center" wrapText="1"/>
    </xf>
    <xf numFmtId="0" fontId="34" fillId="61" borderId="133" xfId="4" applyFont="1" applyFill="1" applyBorder="1" applyAlignment="1" applyProtection="1">
      <alignment horizontal="center" vertical="center" wrapText="1"/>
    </xf>
    <xf numFmtId="0" fontId="34" fillId="61" borderId="132" xfId="4" applyFont="1" applyFill="1" applyBorder="1" applyAlignment="1" applyProtection="1">
      <alignment horizontal="center" vertical="center" wrapText="1"/>
    </xf>
    <xf numFmtId="0" fontId="34" fillId="61" borderId="270" xfId="4" applyFont="1" applyFill="1" applyBorder="1" applyAlignment="1" applyProtection="1">
      <alignment horizontal="center" vertical="center" wrapText="1"/>
    </xf>
    <xf numFmtId="0" fontId="34" fillId="61" borderId="1" xfId="4" applyFont="1" applyFill="1" applyBorder="1" applyAlignment="1" applyProtection="1">
      <alignment horizontal="center" vertical="center" wrapText="1"/>
    </xf>
    <xf numFmtId="0" fontId="34" fillId="61" borderId="77" xfId="4" applyFont="1" applyFill="1" applyBorder="1" applyAlignment="1" applyProtection="1">
      <alignment horizontal="center" vertical="center" wrapText="1"/>
    </xf>
    <xf numFmtId="0" fontId="34" fillId="2" borderId="201" xfId="4" applyFont="1" applyFill="1" applyBorder="1" applyAlignment="1" applyProtection="1">
      <alignment horizontal="center" vertical="center" shrinkToFit="1"/>
    </xf>
    <xf numFmtId="0" fontId="34" fillId="2" borderId="194" xfId="4" applyFont="1" applyFill="1" applyBorder="1" applyAlignment="1" applyProtection="1">
      <alignment horizontal="center" vertical="center" shrinkToFit="1"/>
    </xf>
    <xf numFmtId="0" fontId="34" fillId="2" borderId="195" xfId="4" applyFont="1" applyFill="1" applyBorder="1" applyAlignment="1" applyProtection="1">
      <alignment horizontal="center" vertical="center" shrinkToFit="1"/>
    </xf>
    <xf numFmtId="0" fontId="34" fillId="2" borderId="33" xfId="4" applyFont="1" applyFill="1" applyBorder="1" applyAlignment="1" applyProtection="1">
      <alignment horizontal="center" vertical="center" shrinkToFit="1"/>
    </xf>
    <xf numFmtId="0" fontId="34" fillId="2" borderId="0" xfId="4" applyFont="1" applyFill="1" applyBorder="1" applyAlignment="1" applyProtection="1">
      <alignment horizontal="center" vertical="center" shrinkToFit="1"/>
    </xf>
    <xf numFmtId="0" fontId="34" fillId="2" borderId="38" xfId="4" applyFont="1" applyFill="1" applyBorder="1" applyAlignment="1" applyProtection="1">
      <alignment horizontal="center" vertical="center" shrinkToFit="1"/>
    </xf>
    <xf numFmtId="0" fontId="34" fillId="0" borderId="200" xfId="6" applyNumberFormat="1" applyFont="1" applyBorder="1" applyAlignment="1" applyProtection="1">
      <alignment horizontal="right" vertical="center" shrinkToFit="1"/>
      <protection locked="0"/>
    </xf>
    <xf numFmtId="0" fontId="34" fillId="0" borderId="2" xfId="4" applyFont="1" applyFill="1" applyBorder="1" applyAlignment="1" applyProtection="1">
      <alignment horizontal="left" vertical="center" wrapText="1" indent="1"/>
    </xf>
    <xf numFmtId="0" fontId="34" fillId="0" borderId="6" xfId="4" applyFont="1" applyFill="1" applyBorder="1" applyAlignment="1" applyProtection="1">
      <alignment horizontal="left" vertical="center" wrapText="1" indent="1"/>
    </xf>
    <xf numFmtId="0" fontId="34" fillId="0" borderId="106" xfId="4" applyFont="1" applyFill="1" applyBorder="1" applyAlignment="1" applyProtection="1">
      <alignment horizontal="left" vertical="center" wrapText="1" indent="1"/>
    </xf>
    <xf numFmtId="179" fontId="34" fillId="0" borderId="76" xfId="5" applyNumberFormat="1" applyFont="1" applyBorder="1" applyAlignment="1" applyProtection="1">
      <alignment horizontal="right" vertical="center" shrinkToFit="1"/>
    </xf>
    <xf numFmtId="179" fontId="34" fillId="0" borderId="1" xfId="5" applyNumberFormat="1" applyFont="1" applyBorder="1" applyAlignment="1" applyProtection="1">
      <alignment horizontal="right" vertical="center" shrinkToFit="1"/>
    </xf>
    <xf numFmtId="0" fontId="34" fillId="0" borderId="76" xfId="6" applyNumberFormat="1" applyFont="1" applyBorder="1" applyAlignment="1" applyProtection="1">
      <alignment horizontal="right" vertical="center" shrinkToFit="1"/>
    </xf>
    <xf numFmtId="0" fontId="34" fillId="0" borderId="200" xfId="6" applyNumberFormat="1" applyFont="1" applyBorder="1" applyAlignment="1" applyProtection="1">
      <alignment horizontal="right" vertical="center" shrinkToFit="1"/>
    </xf>
    <xf numFmtId="0" fontId="34" fillId="0" borderId="192" xfId="4" applyFont="1" applyFill="1" applyBorder="1" applyAlignment="1" applyProtection="1">
      <alignment horizontal="left" vertical="center" indent="1"/>
    </xf>
    <xf numFmtId="0" fontId="34" fillId="0" borderId="200" xfId="4" applyFont="1" applyFill="1" applyBorder="1" applyAlignment="1" applyProtection="1">
      <alignment horizontal="left" vertical="center" indent="1"/>
    </xf>
    <xf numFmtId="0" fontId="34" fillId="0" borderId="77" xfId="4" applyFont="1" applyFill="1" applyBorder="1" applyAlignment="1" applyProtection="1">
      <alignment horizontal="left" vertical="center" indent="1"/>
    </xf>
    <xf numFmtId="186" fontId="34" fillId="0" borderId="76" xfId="5" applyNumberFormat="1" applyFont="1" applyBorder="1" applyAlignment="1" applyProtection="1">
      <alignment horizontal="right" vertical="center" shrinkToFit="1"/>
    </xf>
    <xf numFmtId="186" fontId="34" fillId="0" borderId="1" xfId="5" applyNumberFormat="1" applyFont="1" applyBorder="1" applyAlignment="1" applyProtection="1">
      <alignment horizontal="right" vertical="center" shrinkToFit="1"/>
    </xf>
    <xf numFmtId="0" fontId="34" fillId="0" borderId="76" xfId="6" applyNumberFormat="1" applyFont="1" applyBorder="1" applyAlignment="1" applyProtection="1">
      <alignment horizontal="right" vertical="center" shrinkToFit="1"/>
      <protection locked="0"/>
    </xf>
    <xf numFmtId="6" fontId="34" fillId="0" borderId="1" xfId="6" applyNumberFormat="1" applyFont="1" applyBorder="1" applyAlignment="1" applyProtection="1">
      <alignment horizontal="right" vertical="center" shrinkToFit="1"/>
    </xf>
    <xf numFmtId="6" fontId="34" fillId="0" borderId="2" xfId="6" applyNumberFormat="1" applyFont="1" applyBorder="1" applyAlignment="1" applyProtection="1">
      <alignment horizontal="right" vertical="center" shrinkToFit="1"/>
    </xf>
    <xf numFmtId="0" fontId="34" fillId="0" borderId="192" xfId="4" applyNumberFormat="1" applyFont="1" applyFill="1" applyBorder="1" applyAlignment="1" applyProtection="1">
      <alignment horizontal="left" vertical="center" shrinkToFit="1"/>
      <protection locked="0"/>
    </xf>
    <xf numFmtId="0" fontId="34" fillId="0" borderId="200" xfId="4" applyNumberFormat="1" applyFont="1" applyFill="1" applyBorder="1" applyAlignment="1" applyProtection="1">
      <alignment horizontal="left" vertical="center" shrinkToFit="1"/>
      <protection locked="0"/>
    </xf>
    <xf numFmtId="0" fontId="34" fillId="0" borderId="77" xfId="4" applyNumberFormat="1" applyFont="1" applyFill="1" applyBorder="1" applyAlignment="1" applyProtection="1">
      <alignment horizontal="left" vertical="center" shrinkToFit="1"/>
      <protection locked="0"/>
    </xf>
    <xf numFmtId="0" fontId="34" fillId="0" borderId="3" xfId="4" applyNumberFormat="1" applyFont="1" applyFill="1" applyBorder="1" applyAlignment="1" applyProtection="1">
      <alignment horizontal="left" vertical="center" shrinkToFit="1"/>
      <protection locked="0"/>
    </xf>
    <xf numFmtId="0" fontId="34" fillId="0" borderId="1" xfId="4" applyNumberFormat="1" applyFont="1" applyFill="1" applyBorder="1" applyAlignment="1" applyProtection="1">
      <alignment horizontal="left" vertical="center" shrinkToFit="1"/>
      <protection locked="0"/>
    </xf>
    <xf numFmtId="181" fontId="34" fillId="0" borderId="79" xfId="5" applyNumberFormat="1" applyFont="1" applyBorder="1" applyAlignment="1" applyProtection="1">
      <alignment horizontal="right" vertical="center" shrinkToFit="1"/>
    </xf>
    <xf numFmtId="181" fontId="34" fillId="0" borderId="12" xfId="5" applyNumberFormat="1" applyFont="1" applyBorder="1" applyAlignment="1" applyProtection="1">
      <alignment horizontal="right" vertical="center" shrinkToFit="1"/>
    </xf>
    <xf numFmtId="0" fontId="34" fillId="0" borderId="1" xfId="4" applyFont="1" applyFill="1" applyBorder="1" applyAlignment="1" applyProtection="1">
      <alignment horizontal="left" vertical="center" wrapText="1" indent="1"/>
    </xf>
    <xf numFmtId="0" fontId="34" fillId="0" borderId="77" xfId="4" applyFont="1" applyFill="1" applyBorder="1" applyAlignment="1" applyProtection="1">
      <alignment horizontal="left" vertical="center" wrapText="1" indent="1"/>
    </xf>
    <xf numFmtId="0" fontId="34" fillId="0" borderId="1" xfId="6" applyNumberFormat="1" applyFont="1" applyBorder="1" applyAlignment="1" applyProtection="1">
      <alignment horizontal="right" vertical="center" shrinkToFit="1"/>
    </xf>
    <xf numFmtId="6" fontId="34" fillId="0" borderId="12" xfId="6" applyNumberFormat="1" applyFont="1" applyBorder="1" applyAlignment="1" applyProtection="1">
      <alignment horizontal="right" vertical="center" shrinkToFit="1"/>
    </xf>
    <xf numFmtId="6" fontId="34" fillId="0" borderId="13" xfId="6" applyNumberFormat="1" applyFont="1" applyBorder="1" applyAlignment="1" applyProtection="1">
      <alignment horizontal="right" vertical="center" shrinkToFit="1"/>
    </xf>
    <xf numFmtId="187" fontId="34" fillId="0" borderId="76" xfId="5" applyNumberFormat="1" applyFont="1" applyBorder="1" applyAlignment="1" applyProtection="1">
      <alignment horizontal="right" vertical="center" shrinkToFit="1"/>
    </xf>
    <xf numFmtId="187" fontId="34" fillId="0" borderId="1" xfId="5" applyNumberFormat="1" applyFont="1" applyBorder="1" applyAlignment="1" applyProtection="1">
      <alignment horizontal="right" vertical="center" shrinkToFit="1"/>
    </xf>
    <xf numFmtId="0" fontId="34" fillId="0" borderId="82" xfId="4" applyFont="1" applyFill="1" applyBorder="1" applyAlignment="1" applyProtection="1">
      <alignment horizontal="left" vertical="center"/>
    </xf>
    <xf numFmtId="0" fontId="34" fillId="0" borderId="308" xfId="4" applyFont="1" applyFill="1" applyBorder="1" applyAlignment="1" applyProtection="1">
      <alignment horizontal="left" vertical="center"/>
    </xf>
    <xf numFmtId="0" fontId="34" fillId="0" borderId="194" xfId="4" applyFont="1" applyFill="1" applyBorder="1" applyAlignment="1" applyProtection="1">
      <alignment horizontal="center" vertical="center" wrapText="1"/>
    </xf>
    <xf numFmtId="0" fontId="34" fillId="0" borderId="0" xfId="4" applyFont="1" applyFill="1" applyBorder="1" applyAlignment="1" applyProtection="1">
      <alignment horizontal="center" vertical="center" wrapText="1"/>
    </xf>
    <xf numFmtId="0" fontId="34" fillId="0" borderId="36" xfId="4" applyFont="1" applyFill="1" applyBorder="1" applyAlignment="1" applyProtection="1">
      <alignment horizontal="center" vertical="center" wrapText="1"/>
    </xf>
    <xf numFmtId="0" fontId="34" fillId="0" borderId="192" xfId="4" applyFont="1" applyFill="1" applyBorder="1" applyAlignment="1" applyProtection="1">
      <alignment horizontal="left" vertical="center" indent="1"/>
      <protection locked="0"/>
    </xf>
    <xf numFmtId="0" fontId="34" fillId="0" borderId="200" xfId="4" applyFont="1" applyFill="1" applyBorder="1" applyAlignment="1" applyProtection="1">
      <alignment horizontal="left" vertical="center" indent="1"/>
      <protection locked="0"/>
    </xf>
    <xf numFmtId="0" fontId="34" fillId="0" borderId="77" xfId="4" applyFont="1" applyFill="1" applyBorder="1" applyAlignment="1" applyProtection="1">
      <alignment horizontal="left" vertical="center" indent="1"/>
      <protection locked="0"/>
    </xf>
    <xf numFmtId="5" fontId="34" fillId="0" borderId="76" xfId="5" applyNumberFormat="1" applyFont="1" applyBorder="1" applyAlignment="1" applyProtection="1">
      <alignment horizontal="right" vertical="center" shrinkToFit="1"/>
      <protection locked="0"/>
    </xf>
    <xf numFmtId="5" fontId="34" fillId="0" borderId="1" xfId="5" applyNumberFormat="1" applyFont="1" applyBorder="1" applyAlignment="1" applyProtection="1">
      <alignment horizontal="right" vertical="center" shrinkToFit="1"/>
      <protection locked="0"/>
    </xf>
    <xf numFmtId="6" fontId="34" fillId="0" borderId="1" xfId="6" applyNumberFormat="1" applyFont="1" applyBorder="1" applyAlignment="1" applyProtection="1">
      <alignment horizontal="right" vertical="center" shrinkToFit="1"/>
      <protection locked="0"/>
    </xf>
    <xf numFmtId="6" fontId="34" fillId="0" borderId="2" xfId="6" applyNumberFormat="1" applyFont="1" applyBorder="1" applyAlignment="1" applyProtection="1">
      <alignment horizontal="right" vertical="center" shrinkToFit="1"/>
      <protection locked="0"/>
    </xf>
    <xf numFmtId="0" fontId="34" fillId="19" borderId="33" xfId="4" applyFont="1" applyFill="1" applyBorder="1" applyAlignment="1" applyProtection="1">
      <alignment horizontal="center" vertical="center" shrinkToFit="1"/>
    </xf>
    <xf numFmtId="0" fontId="34" fillId="19" borderId="38" xfId="4" applyFont="1" applyFill="1" applyBorder="1" applyAlignment="1" applyProtection="1">
      <alignment horizontal="center" vertical="center" shrinkToFit="1"/>
    </xf>
    <xf numFmtId="0" fontId="34" fillId="19" borderId="201" xfId="4" applyFont="1" applyFill="1" applyBorder="1" applyAlignment="1" applyProtection="1">
      <alignment horizontal="center" vertical="center"/>
    </xf>
    <xf numFmtId="0" fontId="34" fillId="19" borderId="194" xfId="4" applyFont="1" applyFill="1" applyBorder="1" applyAlignment="1" applyProtection="1">
      <alignment horizontal="center" vertical="center"/>
    </xf>
    <xf numFmtId="0" fontId="34" fillId="19" borderId="39" xfId="4" applyFont="1" applyFill="1" applyBorder="1" applyAlignment="1" applyProtection="1">
      <alignment horizontal="center" vertical="center"/>
    </xf>
    <xf numFmtId="0" fontId="34" fillId="19" borderId="40" xfId="4" applyFont="1" applyFill="1" applyBorder="1" applyAlignment="1" applyProtection="1">
      <alignment horizontal="center" vertical="center"/>
    </xf>
    <xf numFmtId="0" fontId="34" fillId="19" borderId="193" xfId="4" applyFont="1" applyFill="1" applyBorder="1" applyAlignment="1" applyProtection="1">
      <alignment horizontal="center" vertical="center" shrinkToFit="1"/>
    </xf>
    <xf numFmtId="0" fontId="34" fillId="19" borderId="96" xfId="4" applyFont="1" applyFill="1" applyBorder="1" applyAlignment="1" applyProtection="1">
      <alignment horizontal="center" vertical="center" shrinkToFit="1"/>
    </xf>
    <xf numFmtId="0" fontId="34" fillId="19" borderId="42" xfId="4" applyFont="1" applyFill="1" applyBorder="1" applyAlignment="1" applyProtection="1">
      <alignment horizontal="center" vertical="center" shrinkToFit="1"/>
    </xf>
    <xf numFmtId="0" fontId="34" fillId="19" borderId="155" xfId="4" applyFont="1" applyFill="1" applyBorder="1" applyAlignment="1" applyProtection="1">
      <alignment horizontal="center" vertical="center" shrinkToFit="1"/>
    </xf>
    <xf numFmtId="0" fontId="34" fillId="0" borderId="194" xfId="4" applyFont="1" applyFill="1" applyBorder="1" applyAlignment="1" applyProtection="1">
      <alignment horizontal="left" vertical="center" shrinkToFit="1"/>
      <protection locked="0"/>
    </xf>
    <xf numFmtId="0" fontId="34" fillId="0" borderId="40" xfId="4" applyFont="1" applyFill="1" applyBorder="1" applyAlignment="1" applyProtection="1">
      <alignment horizontal="left" vertical="center" shrinkToFit="1"/>
      <protection locked="0"/>
    </xf>
    <xf numFmtId="10" fontId="34" fillId="19" borderId="193" xfId="6" applyNumberFormat="1" applyFont="1" applyFill="1" applyBorder="1" applyAlignment="1" applyProtection="1">
      <alignment horizontal="center" vertical="center" shrinkToFit="1"/>
    </xf>
    <xf numFmtId="10" fontId="34" fillId="19" borderId="96" xfId="6" applyNumberFormat="1" applyFont="1" applyFill="1" applyBorder="1" applyAlignment="1" applyProtection="1">
      <alignment horizontal="center" vertical="center" shrinkToFit="1"/>
    </xf>
    <xf numFmtId="10" fontId="34" fillId="19" borderId="42" xfId="6" applyNumberFormat="1" applyFont="1" applyFill="1" applyBorder="1" applyAlignment="1" applyProtection="1">
      <alignment horizontal="center" vertical="center" shrinkToFit="1"/>
    </xf>
    <xf numFmtId="10" fontId="34" fillId="19" borderId="155" xfId="6" applyNumberFormat="1" applyFont="1" applyFill="1" applyBorder="1" applyAlignment="1" applyProtection="1">
      <alignment horizontal="center" vertical="center" shrinkToFit="1"/>
    </xf>
    <xf numFmtId="49" fontId="30" fillId="0" borderId="56" xfId="6" applyNumberFormat="1" applyFont="1" applyBorder="1" applyAlignment="1" applyProtection="1">
      <alignment horizontal="center" vertical="center" shrinkToFit="1"/>
      <protection locked="0"/>
    </xf>
    <xf numFmtId="6" fontId="34" fillId="19" borderId="60" xfId="5" applyFont="1" applyFill="1" applyBorder="1" applyAlignment="1" applyProtection="1">
      <alignment horizontal="center" vertical="center" shrinkToFit="1"/>
    </xf>
    <xf numFmtId="6" fontId="34" fillId="19" borderId="56" xfId="5" applyFont="1" applyFill="1" applyBorder="1" applyAlignment="1" applyProtection="1">
      <alignment horizontal="center" vertical="center" shrinkToFit="1"/>
    </xf>
    <xf numFmtId="6" fontId="34" fillId="19" borderId="57" xfId="5" applyFont="1" applyFill="1" applyBorder="1" applyAlignment="1" applyProtection="1">
      <alignment horizontal="center" vertical="center" shrinkToFit="1"/>
    </xf>
    <xf numFmtId="49" fontId="30" fillId="0" borderId="64" xfId="4" applyNumberFormat="1" applyFont="1" applyFill="1" applyBorder="1" applyAlignment="1" applyProtection="1">
      <alignment horizontal="center" vertical="center" shrinkToFit="1"/>
      <protection locked="0"/>
    </xf>
    <xf numFmtId="0" fontId="30" fillId="0" borderId="40" xfId="6" applyNumberFormat="1" applyFont="1" applyBorder="1" applyAlignment="1" applyProtection="1">
      <alignment horizontal="left" vertical="center" shrinkToFit="1"/>
      <protection locked="0"/>
    </xf>
    <xf numFmtId="0" fontId="30" fillId="0" borderId="43" xfId="6" applyNumberFormat="1" applyFont="1" applyBorder="1" applyAlignment="1" applyProtection="1">
      <alignment horizontal="left" vertical="center" shrinkToFit="1"/>
      <protection locked="0"/>
    </xf>
    <xf numFmtId="0" fontId="34" fillId="0" borderId="274" xfId="4" applyFont="1" applyFill="1" applyBorder="1" applyAlignment="1" applyProtection="1">
      <alignment horizontal="left" vertical="center"/>
    </xf>
    <xf numFmtId="0" fontId="34" fillId="0" borderId="309" xfId="4" applyFont="1" applyFill="1" applyBorder="1" applyAlignment="1" applyProtection="1">
      <alignment horizontal="left" vertical="center"/>
    </xf>
    <xf numFmtId="0" fontId="34" fillId="0" borderId="310" xfId="4" applyFont="1" applyFill="1" applyBorder="1" applyAlignment="1" applyProtection="1">
      <alignment horizontal="left" vertical="center"/>
      <protection locked="0"/>
    </xf>
    <xf numFmtId="0" fontId="34" fillId="0" borderId="270" xfId="4" applyFont="1" applyFill="1" applyBorder="1" applyAlignment="1" applyProtection="1">
      <alignment horizontal="left" vertical="center"/>
      <protection locked="0"/>
    </xf>
    <xf numFmtId="6" fontId="34" fillId="0" borderId="245" xfId="13" applyFont="1" applyFill="1" applyBorder="1" applyAlignment="1" applyProtection="1">
      <alignment horizontal="left" vertical="center"/>
      <protection locked="0"/>
    </xf>
    <xf numFmtId="6" fontId="34" fillId="0" borderId="265" xfId="13" applyFont="1" applyFill="1" applyBorder="1" applyAlignment="1" applyProtection="1">
      <alignment horizontal="left" vertical="center"/>
      <protection locked="0"/>
    </xf>
    <xf numFmtId="0" fontId="34" fillId="0" borderId="285" xfId="4" applyFont="1" applyFill="1" applyBorder="1" applyAlignment="1" applyProtection="1">
      <alignment horizontal="left" vertical="center"/>
    </xf>
    <xf numFmtId="0" fontId="34" fillId="0" borderId="69" xfId="4" applyFont="1" applyFill="1" applyBorder="1" applyAlignment="1" applyProtection="1">
      <alignment horizontal="left" vertical="center"/>
    </xf>
    <xf numFmtId="0" fontId="34" fillId="0" borderId="5" xfId="4" applyFont="1" applyFill="1" applyBorder="1" applyAlignment="1" applyProtection="1">
      <alignment horizontal="left" vertical="center"/>
    </xf>
    <xf numFmtId="0" fontId="34" fillId="0" borderId="36" xfId="4" applyFont="1" applyFill="1" applyBorder="1" applyAlignment="1" applyProtection="1">
      <alignment horizontal="left" vertical="center"/>
    </xf>
    <xf numFmtId="0" fontId="34" fillId="0" borderId="92" xfId="4" applyFont="1" applyFill="1" applyBorder="1" applyAlignment="1" applyProtection="1">
      <alignment horizontal="left" vertical="center"/>
    </xf>
    <xf numFmtId="0" fontId="34" fillId="0" borderId="66" xfId="4" applyFont="1" applyFill="1" applyBorder="1" applyAlignment="1" applyProtection="1">
      <alignment horizontal="center" vertical="center"/>
    </xf>
    <xf numFmtId="0" fontId="34" fillId="0" borderId="285" xfId="4" applyFont="1" applyFill="1" applyBorder="1" applyAlignment="1" applyProtection="1">
      <alignment horizontal="center" vertical="center"/>
    </xf>
    <xf numFmtId="0" fontId="34" fillId="0" borderId="306" xfId="4" applyFont="1" applyFill="1" applyBorder="1" applyAlignment="1" applyProtection="1">
      <alignment horizontal="center" vertical="center"/>
    </xf>
    <xf numFmtId="0" fontId="34" fillId="0" borderId="270" xfId="4" applyFont="1" applyFill="1" applyBorder="1" applyAlignment="1" applyProtection="1">
      <alignment horizontal="left" vertical="center"/>
    </xf>
    <xf numFmtId="0" fontId="34" fillId="0" borderId="271" xfId="4" applyFont="1" applyFill="1" applyBorder="1" applyAlignment="1" applyProtection="1">
      <alignment horizontal="left" vertical="center"/>
    </xf>
    <xf numFmtId="0" fontId="34" fillId="0" borderId="276" xfId="4" applyFont="1" applyFill="1" applyBorder="1" applyAlignment="1" applyProtection="1">
      <alignment horizontal="left" vertical="center"/>
    </xf>
    <xf numFmtId="0" fontId="34" fillId="0" borderId="197" xfId="4" applyFont="1" applyFill="1" applyBorder="1" applyAlignment="1" applyProtection="1">
      <alignment horizontal="left" vertical="center"/>
    </xf>
    <xf numFmtId="0" fontId="34" fillId="0" borderId="273" xfId="4" applyFont="1" applyFill="1" applyBorder="1" applyAlignment="1" applyProtection="1">
      <alignment horizontal="left" vertical="center"/>
    </xf>
    <xf numFmtId="0" fontId="34" fillId="7" borderId="3" xfId="4" applyFont="1" applyFill="1" applyBorder="1" applyAlignment="1" applyProtection="1">
      <alignment horizontal="center" vertical="center"/>
    </xf>
    <xf numFmtId="0" fontId="34" fillId="7" borderId="1" xfId="4" applyFont="1" applyFill="1" applyBorder="1" applyAlignment="1" applyProtection="1">
      <alignment horizontal="center" vertical="center"/>
    </xf>
    <xf numFmtId="0" fontId="34" fillId="7" borderId="2" xfId="4" applyFont="1" applyFill="1" applyBorder="1" applyAlignment="1" applyProtection="1">
      <alignment horizontal="center" vertical="center"/>
    </xf>
    <xf numFmtId="0" fontId="34" fillId="19" borderId="274" xfId="4" applyFont="1" applyFill="1" applyBorder="1" applyAlignment="1" applyProtection="1">
      <alignment horizontal="center" vertical="center"/>
    </xf>
    <xf numFmtId="0" fontId="34" fillId="19" borderId="270" xfId="4" applyFont="1" applyFill="1" applyBorder="1" applyAlignment="1" applyProtection="1">
      <alignment horizontal="center" vertical="center"/>
    </xf>
    <xf numFmtId="0" fontId="34" fillId="19" borderId="271" xfId="4" applyFont="1" applyFill="1" applyBorder="1" applyAlignment="1" applyProtection="1">
      <alignment horizontal="center" vertical="center"/>
    </xf>
    <xf numFmtId="0" fontId="131" fillId="0" borderId="40" xfId="4" applyFont="1" applyFill="1" applyBorder="1" applyAlignment="1" applyProtection="1">
      <alignment horizontal="left" vertical="center" shrinkToFit="1"/>
    </xf>
    <xf numFmtId="0" fontId="131" fillId="0" borderId="43" xfId="4" applyFont="1" applyFill="1" applyBorder="1" applyAlignment="1" applyProtection="1">
      <alignment horizontal="left" vertical="center" shrinkToFit="1"/>
    </xf>
    <xf numFmtId="49" fontId="30" fillId="0" borderId="143" xfId="4" applyNumberFormat="1" applyFont="1" applyFill="1" applyBorder="1" applyAlignment="1" applyProtection="1">
      <alignment horizontal="left" vertical="center"/>
      <protection locked="0"/>
    </xf>
    <xf numFmtId="0" fontId="34" fillId="60" borderId="117" xfId="4" applyFont="1" applyFill="1" applyBorder="1" applyAlignment="1" applyProtection="1">
      <alignment horizontal="center" vertical="center" wrapText="1" shrinkToFit="1"/>
    </xf>
    <xf numFmtId="0" fontId="34" fillId="60" borderId="23" xfId="4" applyFont="1" applyFill="1" applyBorder="1" applyAlignment="1" applyProtection="1">
      <alignment horizontal="center" vertical="center" wrapText="1" shrinkToFit="1"/>
    </xf>
    <xf numFmtId="0" fontId="34" fillId="60" borderId="151" xfId="4" applyFont="1" applyFill="1" applyBorder="1" applyAlignment="1" applyProtection="1">
      <alignment horizontal="center" vertical="center" wrapText="1" shrinkToFit="1"/>
    </xf>
    <xf numFmtId="0" fontId="34" fillId="60" borderId="212" xfId="4" applyFont="1" applyFill="1" applyBorder="1" applyAlignment="1" applyProtection="1">
      <alignment horizontal="center" vertical="center" wrapText="1" shrinkToFit="1"/>
    </xf>
    <xf numFmtId="0" fontId="34" fillId="60" borderId="0" xfId="4" applyFont="1" applyFill="1" applyBorder="1" applyAlignment="1" applyProtection="1">
      <alignment horizontal="center" vertical="center" wrapText="1" shrinkToFit="1"/>
    </xf>
    <xf numFmtId="0" fontId="34" fillId="60" borderId="38" xfId="4" applyFont="1" applyFill="1" applyBorder="1" applyAlignment="1" applyProtection="1">
      <alignment horizontal="center" vertical="center" wrapText="1" shrinkToFit="1"/>
    </xf>
    <xf numFmtId="0" fontId="34" fillId="60" borderId="258" xfId="4" applyFont="1" applyFill="1" applyBorder="1" applyAlignment="1" applyProtection="1">
      <alignment horizontal="center" vertical="center" wrapText="1" shrinkToFit="1"/>
    </xf>
    <xf numFmtId="0" fontId="34" fillId="60" borderId="157" xfId="4" applyFont="1" applyFill="1" applyBorder="1" applyAlignment="1" applyProtection="1">
      <alignment horizontal="center" vertical="center" wrapText="1" shrinkToFit="1"/>
    </xf>
    <xf numFmtId="0" fontId="34" fillId="60" borderId="259" xfId="4" applyFont="1" applyFill="1" applyBorder="1" applyAlignment="1" applyProtection="1">
      <alignment horizontal="center" vertical="center" wrapText="1" shrinkToFit="1"/>
    </xf>
    <xf numFmtId="0" fontId="34" fillId="19" borderId="152" xfId="4" applyFont="1" applyFill="1" applyBorder="1" applyAlignment="1" applyProtection="1">
      <alignment horizontal="center" vertical="center" shrinkToFit="1"/>
    </xf>
    <xf numFmtId="0" fontId="34" fillId="19" borderId="153" xfId="4" applyFont="1" applyFill="1" applyBorder="1" applyAlignment="1" applyProtection="1">
      <alignment horizontal="center" vertical="center" shrinkToFit="1"/>
    </xf>
    <xf numFmtId="0" fontId="34" fillId="19" borderId="154" xfId="4" applyFont="1" applyFill="1" applyBorder="1" applyAlignment="1" applyProtection="1">
      <alignment horizontal="center" vertical="center" shrinkToFit="1"/>
    </xf>
    <xf numFmtId="0" fontId="34" fillId="0" borderId="8" xfId="4" applyFont="1" applyFill="1" applyBorder="1" applyAlignment="1" applyProtection="1">
      <alignment horizontal="center" vertical="center" wrapText="1"/>
    </xf>
    <xf numFmtId="0" fontId="34" fillId="0" borderId="0" xfId="4" applyFont="1" applyFill="1" applyBorder="1" applyAlignment="1" applyProtection="1">
      <alignment horizontal="center" vertical="center"/>
    </xf>
    <xf numFmtId="0" fontId="34" fillId="0" borderId="38" xfId="4" applyFont="1" applyFill="1" applyBorder="1" applyAlignment="1" applyProtection="1">
      <alignment horizontal="center" vertical="center"/>
    </xf>
    <xf numFmtId="0" fontId="34" fillId="0" borderId="8" xfId="4" applyFont="1" applyFill="1" applyBorder="1" applyAlignment="1" applyProtection="1">
      <alignment horizontal="center" vertical="center"/>
    </xf>
    <xf numFmtId="0" fontId="34" fillId="0" borderId="260" xfId="4" applyFont="1" applyFill="1" applyBorder="1" applyAlignment="1" applyProtection="1">
      <alignment horizontal="center" vertical="center"/>
    </xf>
    <xf numFmtId="0" fontId="34" fillId="0" borderId="157" xfId="4" applyFont="1" applyFill="1" applyBorder="1" applyAlignment="1" applyProtection="1">
      <alignment horizontal="center" vertical="center"/>
    </xf>
    <xf numFmtId="0" fontId="34" fillId="0" borderId="259" xfId="4" applyFont="1" applyFill="1" applyBorder="1" applyAlignment="1" applyProtection="1">
      <alignment horizontal="center" vertical="center"/>
    </xf>
    <xf numFmtId="0" fontId="30" fillId="0" borderId="274" xfId="4" applyNumberFormat="1" applyFont="1" applyFill="1" applyBorder="1" applyAlignment="1" applyProtection="1">
      <alignment horizontal="left" vertical="center"/>
    </xf>
    <xf numFmtId="49" fontId="30" fillId="0" borderId="274" xfId="4" applyNumberFormat="1" applyFont="1" applyFill="1" applyBorder="1" applyAlignment="1" applyProtection="1">
      <alignment horizontal="left" vertical="center"/>
      <protection locked="0"/>
    </xf>
    <xf numFmtId="0" fontId="30" fillId="0" borderId="143" xfId="4" applyNumberFormat="1" applyFont="1" applyFill="1" applyBorder="1" applyAlignment="1" applyProtection="1">
      <alignment horizontal="left" vertical="center"/>
    </xf>
    <xf numFmtId="0" fontId="34" fillId="0" borderId="269" xfId="4" applyFont="1" applyFill="1" applyBorder="1" applyAlignment="1" applyProtection="1">
      <alignment horizontal="left" vertical="center"/>
    </xf>
    <xf numFmtId="0" fontId="34" fillId="0" borderId="307" xfId="4" applyFont="1" applyFill="1" applyBorder="1" applyAlignment="1" applyProtection="1">
      <alignment horizontal="left" vertical="center"/>
    </xf>
    <xf numFmtId="0" fontId="34" fillId="0" borderId="42" xfId="4" applyFont="1" applyFill="1" applyBorder="1" applyAlignment="1" applyProtection="1">
      <alignment horizontal="left" vertical="center"/>
    </xf>
    <xf numFmtId="0" fontId="34" fillId="0" borderId="40" xfId="4" applyFont="1" applyFill="1" applyBorder="1" applyAlignment="1" applyProtection="1">
      <alignment horizontal="left" vertical="center"/>
    </xf>
    <xf numFmtId="0" fontId="34" fillId="0" borderId="245" xfId="13" applyNumberFormat="1" applyFont="1" applyFill="1" applyBorder="1" applyAlignment="1" applyProtection="1">
      <alignment horizontal="left" vertical="center"/>
    </xf>
    <xf numFmtId="0" fontId="34" fillId="0" borderId="256" xfId="13" applyNumberFormat="1" applyFont="1" applyFill="1" applyBorder="1" applyAlignment="1" applyProtection="1">
      <alignment horizontal="left" vertical="center"/>
    </xf>
    <xf numFmtId="0" fontId="34" fillId="0" borderId="257" xfId="4" applyFont="1" applyFill="1" applyBorder="1" applyAlignment="1" applyProtection="1">
      <alignment horizontal="left" vertical="center"/>
    </xf>
    <xf numFmtId="0" fontId="34" fillId="0" borderId="245" xfId="4" applyFont="1" applyFill="1" applyBorder="1" applyAlignment="1" applyProtection="1">
      <alignment horizontal="left" vertical="center"/>
    </xf>
    <xf numFmtId="0" fontId="34" fillId="0" borderId="343" xfId="4" applyFont="1" applyFill="1" applyBorder="1" applyAlignment="1" applyProtection="1">
      <alignment horizontal="left" vertical="center"/>
    </xf>
    <xf numFmtId="0" fontId="34" fillId="0" borderId="290" xfId="4" applyFont="1" applyFill="1" applyBorder="1" applyAlignment="1" applyProtection="1">
      <alignment horizontal="left" vertical="center"/>
    </xf>
    <xf numFmtId="0" fontId="34" fillId="0" borderId="275" xfId="4" applyFont="1" applyFill="1" applyBorder="1" applyAlignment="1" applyProtection="1">
      <alignment horizontal="left" vertical="center"/>
    </xf>
    <xf numFmtId="0" fontId="36" fillId="0" borderId="3" xfId="4" applyFont="1" applyFill="1" applyBorder="1" applyAlignment="1" applyProtection="1">
      <alignment horizontal="right" vertical="center" wrapText="1"/>
    </xf>
    <xf numFmtId="0" fontId="36" fillId="0" borderId="1" xfId="4" applyFont="1" applyFill="1" applyBorder="1" applyAlignment="1" applyProtection="1">
      <alignment horizontal="right" vertical="center" wrapText="1"/>
    </xf>
    <xf numFmtId="0" fontId="36" fillId="0" borderId="270" xfId="4" applyFont="1" applyFill="1" applyBorder="1" applyAlignment="1" applyProtection="1">
      <alignment horizontal="right" vertical="center" wrapText="1"/>
    </xf>
    <xf numFmtId="0" fontId="34" fillId="0" borderId="19" xfId="5" applyNumberFormat="1" applyFont="1" applyBorder="1" applyAlignment="1" applyProtection="1">
      <alignment horizontal="right" vertical="center" shrinkToFit="1"/>
    </xf>
    <xf numFmtId="0" fontId="34" fillId="0" borderId="20" xfId="5" applyNumberFormat="1" applyFont="1" applyBorder="1" applyAlignment="1" applyProtection="1">
      <alignment horizontal="right" vertical="center" shrinkToFit="1"/>
    </xf>
    <xf numFmtId="6" fontId="36" fillId="0" borderId="20" xfId="6" applyNumberFormat="1" applyFont="1" applyBorder="1" applyAlignment="1" applyProtection="1">
      <alignment horizontal="right" vertical="center" shrinkToFit="1"/>
    </xf>
    <xf numFmtId="6" fontId="36" fillId="0" borderId="21" xfId="6" applyNumberFormat="1" applyFont="1" applyBorder="1" applyAlignment="1" applyProtection="1">
      <alignment horizontal="right" vertical="center" shrinkToFit="1"/>
    </xf>
    <xf numFmtId="0" fontId="138" fillId="0" borderId="19" xfId="4" applyNumberFormat="1" applyFont="1" applyFill="1" applyBorder="1" applyAlignment="1" applyProtection="1">
      <alignment horizontal="center" vertical="center" shrinkToFit="1"/>
    </xf>
    <xf numFmtId="0" fontId="138" fillId="0" borderId="20" xfId="4" applyNumberFormat="1" applyFont="1" applyFill="1" applyBorder="1" applyAlignment="1" applyProtection="1">
      <alignment horizontal="center" vertical="center" shrinkToFit="1"/>
    </xf>
    <xf numFmtId="0" fontId="139" fillId="0" borderId="20" xfId="4" applyNumberFormat="1" applyFont="1" applyFill="1" applyBorder="1" applyAlignment="1" applyProtection="1">
      <alignment horizontal="center" vertical="center" shrinkToFit="1"/>
    </xf>
    <xf numFmtId="0" fontId="34" fillId="0" borderId="89" xfId="4" applyFont="1" applyFill="1" applyBorder="1" applyAlignment="1" applyProtection="1">
      <alignment horizontal="center" vertical="center" wrapText="1"/>
    </xf>
    <xf numFmtId="0" fontId="34" fillId="0" borderId="34" xfId="4" applyFont="1" applyFill="1" applyBorder="1" applyAlignment="1" applyProtection="1">
      <alignment horizontal="center" vertical="center" wrapText="1"/>
    </xf>
    <xf numFmtId="0" fontId="34" fillId="0" borderId="93" xfId="4" applyFont="1" applyFill="1" applyBorder="1" applyAlignment="1" applyProtection="1">
      <alignment horizontal="center" vertical="center" wrapText="1"/>
    </xf>
    <xf numFmtId="0" fontId="34" fillId="0" borderId="37" xfId="4" applyFont="1" applyFill="1" applyBorder="1" applyAlignment="1" applyProtection="1">
      <alignment horizontal="center" vertical="center" wrapText="1"/>
    </xf>
    <xf numFmtId="0" fontId="34" fillId="23" borderId="194" xfId="4" applyFont="1" applyFill="1" applyBorder="1" applyAlignment="1" applyProtection="1">
      <alignment horizontal="center" vertical="center" wrapText="1" shrinkToFit="1"/>
    </xf>
    <xf numFmtId="0" fontId="34" fillId="23" borderId="195" xfId="4" applyFont="1" applyFill="1" applyBorder="1" applyAlignment="1" applyProtection="1">
      <alignment horizontal="center" vertical="center" wrapText="1" shrinkToFit="1"/>
    </xf>
    <xf numFmtId="0" fontId="34" fillId="23" borderId="33" xfId="4" applyFont="1" applyFill="1" applyBorder="1" applyAlignment="1" applyProtection="1">
      <alignment horizontal="center" vertical="center" wrapText="1" shrinkToFit="1"/>
    </xf>
    <xf numFmtId="0" fontId="34" fillId="23" borderId="0" xfId="4" applyFont="1" applyFill="1" applyBorder="1" applyAlignment="1" applyProtection="1">
      <alignment horizontal="center" vertical="center" wrapText="1" shrinkToFit="1"/>
    </xf>
    <xf numFmtId="0" fontId="34" fillId="23" borderId="38" xfId="4" applyFont="1" applyFill="1" applyBorder="1" applyAlignment="1" applyProtection="1">
      <alignment horizontal="center" vertical="center" wrapText="1" shrinkToFit="1"/>
    </xf>
    <xf numFmtId="0" fontId="34" fillId="23" borderId="35" xfId="4" applyFont="1" applyFill="1" applyBorder="1" applyAlignment="1" applyProtection="1">
      <alignment horizontal="center" vertical="center" wrapText="1" shrinkToFit="1"/>
    </xf>
    <xf numFmtId="0" fontId="34" fillId="23" borderId="36" xfId="4" applyFont="1" applyFill="1" applyBorder="1" applyAlignment="1" applyProtection="1">
      <alignment horizontal="center" vertical="center" wrapText="1" shrinkToFit="1"/>
    </xf>
    <xf numFmtId="0" fontId="34" fillId="23" borderId="54" xfId="4" applyFont="1" applyFill="1" applyBorder="1" applyAlignment="1" applyProtection="1">
      <alignment horizontal="center" vertical="center" wrapText="1" shrinkToFit="1"/>
    </xf>
    <xf numFmtId="0" fontId="34" fillId="63" borderId="194" xfId="4" applyFont="1" applyFill="1" applyBorder="1" applyAlignment="1" applyProtection="1">
      <alignment horizontal="center" vertical="center" wrapText="1" shrinkToFit="1"/>
    </xf>
    <xf numFmtId="0" fontId="34" fillId="63" borderId="0" xfId="4" applyFont="1" applyFill="1" applyBorder="1" applyAlignment="1" applyProtection="1">
      <alignment horizontal="center" vertical="center" wrapText="1" shrinkToFit="1"/>
    </xf>
    <xf numFmtId="0" fontId="34" fillId="63" borderId="36" xfId="4" applyFont="1" applyFill="1" applyBorder="1" applyAlignment="1" applyProtection="1">
      <alignment horizontal="center" vertical="center" wrapText="1" shrinkToFit="1"/>
    </xf>
    <xf numFmtId="0" fontId="34" fillId="0" borderId="97" xfId="4" applyFont="1" applyFill="1" applyBorder="1" applyAlignment="1" applyProtection="1">
      <alignment horizontal="center" vertical="center" wrapText="1"/>
    </xf>
    <xf numFmtId="0" fontId="34" fillId="0" borderId="195" xfId="4" applyFont="1" applyFill="1" applyBorder="1" applyAlignment="1" applyProtection="1">
      <alignment horizontal="center" vertical="center" wrapText="1"/>
    </xf>
    <xf numFmtId="0" fontId="34" fillId="0" borderId="38" xfId="4" applyFont="1" applyFill="1" applyBorder="1" applyAlignment="1" applyProtection="1">
      <alignment horizontal="center" vertical="center" wrapText="1"/>
    </xf>
    <xf numFmtId="0" fontId="34" fillId="0" borderId="54" xfId="4" applyFont="1" applyFill="1" applyBorder="1" applyAlignment="1" applyProtection="1">
      <alignment horizontal="center" vertical="center" wrapText="1"/>
    </xf>
    <xf numFmtId="10" fontId="34" fillId="0" borderId="97" xfId="6" applyNumberFormat="1" applyFont="1" applyBorder="1" applyAlignment="1" applyProtection="1">
      <alignment horizontal="center" vertical="center" wrapText="1"/>
    </xf>
    <xf numFmtId="10" fontId="34" fillId="0" borderId="194" xfId="6" applyNumberFormat="1" applyFont="1" applyBorder="1" applyAlignment="1" applyProtection="1">
      <alignment horizontal="center" vertical="center" wrapText="1"/>
    </xf>
    <xf numFmtId="10" fontId="34" fillId="0" borderId="195" xfId="6" applyNumberFormat="1" applyFont="1" applyBorder="1" applyAlignment="1" applyProtection="1">
      <alignment horizontal="center" vertical="center" wrapText="1"/>
    </xf>
    <xf numFmtId="10" fontId="34" fillId="0" borderId="89" xfId="6" applyNumberFormat="1" applyFont="1" applyBorder="1" applyAlignment="1" applyProtection="1">
      <alignment horizontal="center" vertical="center" wrapText="1"/>
    </xf>
    <xf numFmtId="10" fontId="34" fillId="0" borderId="0" xfId="6" applyNumberFormat="1" applyFont="1" applyBorder="1" applyAlignment="1" applyProtection="1">
      <alignment horizontal="center" vertical="center" wrapText="1"/>
    </xf>
    <xf numFmtId="10" fontId="34" fillId="0" borderId="38" xfId="6" applyNumberFormat="1" applyFont="1" applyBorder="1" applyAlignment="1" applyProtection="1">
      <alignment horizontal="center" vertical="center" wrapText="1"/>
    </xf>
    <xf numFmtId="10" fontId="34" fillId="0" borderId="93" xfId="6" applyNumberFormat="1" applyFont="1" applyBorder="1" applyAlignment="1" applyProtection="1">
      <alignment horizontal="center" vertical="center" wrapText="1"/>
    </xf>
    <xf numFmtId="10" fontId="34" fillId="0" borderId="36" xfId="6" applyNumberFormat="1" applyFont="1" applyBorder="1" applyAlignment="1" applyProtection="1">
      <alignment horizontal="center" vertical="center" wrapText="1"/>
    </xf>
    <xf numFmtId="10" fontId="34" fillId="0" borderId="54" xfId="6" applyNumberFormat="1" applyFont="1" applyBorder="1" applyAlignment="1" applyProtection="1">
      <alignment horizontal="center" vertical="center" wrapText="1"/>
    </xf>
    <xf numFmtId="0" fontId="34" fillId="0" borderId="202" xfId="4" applyFont="1" applyFill="1" applyBorder="1" applyAlignment="1" applyProtection="1">
      <alignment horizontal="left" vertical="center"/>
    </xf>
    <xf numFmtId="6" fontId="60" fillId="0" borderId="36" xfId="5" applyFont="1" applyBorder="1" applyAlignment="1" applyProtection="1">
      <alignment horizontal="center" vertical="center" shrinkToFit="1"/>
    </xf>
    <xf numFmtId="0" fontId="34" fillId="0" borderId="148" xfId="4" applyFont="1" applyFill="1" applyBorder="1" applyAlignment="1" applyProtection="1">
      <alignment horizontal="left" vertical="center" indent="1"/>
    </xf>
    <xf numFmtId="0" fontId="34" fillId="0" borderId="66" xfId="4" applyFont="1" applyFill="1" applyBorder="1" applyAlignment="1" applyProtection="1">
      <alignment horizontal="left" vertical="center" indent="1"/>
    </xf>
    <xf numFmtId="6" fontId="34" fillId="0" borderId="338" xfId="13" applyFont="1" applyFill="1" applyBorder="1" applyAlignment="1" applyProtection="1">
      <alignment horizontal="right" vertical="center"/>
      <protection locked="0"/>
    </xf>
    <xf numFmtId="6" fontId="34" fillId="0" borderId="285" xfId="13" applyFont="1" applyFill="1" applyBorder="1" applyAlignment="1" applyProtection="1">
      <alignment horizontal="right" vertical="center"/>
      <protection locked="0"/>
    </xf>
    <xf numFmtId="0" fontId="36" fillId="0" borderId="11" xfId="4" applyFont="1" applyFill="1" applyBorder="1" applyAlignment="1" applyProtection="1">
      <alignment horizontal="center" vertical="center" shrinkToFit="1"/>
    </xf>
    <xf numFmtId="0" fontId="36" fillId="0" borderId="5" xfId="4" applyFont="1" applyFill="1" applyBorder="1" applyAlignment="1" applyProtection="1">
      <alignment horizontal="center" vertical="center" shrinkToFit="1"/>
    </xf>
    <xf numFmtId="6" fontId="36" fillId="0" borderId="337" xfId="13" applyFont="1" applyFill="1" applyBorder="1" applyAlignment="1" applyProtection="1">
      <alignment horizontal="right" vertical="center" shrinkToFit="1"/>
    </xf>
    <xf numFmtId="6" fontId="36" fillId="0" borderId="11" xfId="13" applyFont="1" applyFill="1" applyBorder="1" applyAlignment="1" applyProtection="1">
      <alignment horizontal="right" vertical="center" shrinkToFit="1"/>
    </xf>
    <xf numFmtId="6" fontId="36" fillId="0" borderId="5" xfId="13" applyFont="1" applyFill="1" applyBorder="1" applyAlignment="1" applyProtection="1">
      <alignment horizontal="right" vertical="center" shrinkToFit="1"/>
    </xf>
    <xf numFmtId="0" fontId="30" fillId="0" borderId="66" xfId="4" applyFont="1" applyFill="1" applyBorder="1" applyAlignment="1" applyProtection="1">
      <alignment horizontal="left" vertical="center" shrinkToFit="1"/>
    </xf>
    <xf numFmtId="0" fontId="30" fillId="0" borderId="285" xfId="4" applyFont="1" applyFill="1" applyBorder="1" applyAlignment="1" applyProtection="1">
      <alignment horizontal="left" vertical="center" shrinkToFit="1"/>
    </xf>
    <xf numFmtId="0" fontId="30" fillId="0" borderId="290" xfId="4" applyFont="1" applyFill="1" applyBorder="1" applyAlignment="1" applyProtection="1">
      <alignment horizontal="left" vertical="center" shrinkToFit="1"/>
    </xf>
    <xf numFmtId="0" fontId="30" fillId="0" borderId="40" xfId="5" applyNumberFormat="1" applyFont="1" applyBorder="1" applyAlignment="1" applyProtection="1">
      <alignment horizontal="left" vertical="center" shrinkToFit="1"/>
    </xf>
    <xf numFmtId="0" fontId="30" fillId="0" borderId="285" xfId="5" applyNumberFormat="1" applyFont="1" applyBorder="1" applyAlignment="1" applyProtection="1">
      <alignment horizontal="left" vertical="center" shrinkToFit="1"/>
    </xf>
    <xf numFmtId="0" fontId="30" fillId="0" borderId="290" xfId="5" applyNumberFormat="1" applyFont="1" applyBorder="1" applyAlignment="1" applyProtection="1">
      <alignment horizontal="left" vertical="center" shrinkToFit="1"/>
    </xf>
    <xf numFmtId="6" fontId="29" fillId="8" borderId="22" xfId="5" applyFont="1" applyFill="1" applyBorder="1" applyAlignment="1" applyProtection="1">
      <alignment horizontal="right" vertical="center" shrinkToFit="1"/>
    </xf>
    <xf numFmtId="6" fontId="29" fillId="8" borderId="20" xfId="5" applyFont="1" applyFill="1" applyBorder="1" applyAlignment="1" applyProtection="1">
      <alignment horizontal="right" vertical="center" shrinkToFit="1"/>
    </xf>
    <xf numFmtId="6" fontId="29" fillId="8" borderId="20" xfId="5" applyFont="1" applyFill="1" applyBorder="1" applyAlignment="1" applyProtection="1">
      <alignment horizontal="left" vertical="center" shrinkToFit="1"/>
    </xf>
    <xf numFmtId="0" fontId="34" fillId="67" borderId="39" xfId="4" applyFont="1" applyFill="1" applyBorder="1" applyAlignment="1" applyProtection="1">
      <alignment horizontal="center" vertical="center"/>
    </xf>
    <xf numFmtId="0" fontId="34" fillId="67" borderId="40" xfId="4" applyFont="1" applyFill="1" applyBorder="1" applyAlignment="1" applyProtection="1">
      <alignment horizontal="center" vertical="center"/>
    </xf>
    <xf numFmtId="0" fontId="34" fillId="67" borderId="41" xfId="4" applyFont="1" applyFill="1" applyBorder="1" applyAlignment="1" applyProtection="1">
      <alignment horizontal="center" vertical="center"/>
    </xf>
    <xf numFmtId="0" fontId="30" fillId="68" borderId="40" xfId="4" applyFont="1" applyFill="1" applyBorder="1" applyAlignment="1" applyProtection="1">
      <alignment horizontal="left" vertical="center"/>
    </xf>
    <xf numFmtId="0" fontId="30" fillId="68" borderId="41" xfId="4" applyFont="1" applyFill="1" applyBorder="1" applyAlignment="1" applyProtection="1">
      <alignment horizontal="left" vertical="center"/>
    </xf>
    <xf numFmtId="0" fontId="30" fillId="16" borderId="42" xfId="4" applyFont="1" applyFill="1" applyBorder="1" applyAlignment="1" applyProtection="1">
      <alignment horizontal="left" vertical="center"/>
    </xf>
    <xf numFmtId="0" fontId="30" fillId="16" borderId="40" xfId="4" applyFont="1" applyFill="1" applyBorder="1" applyAlignment="1" applyProtection="1">
      <alignment horizontal="left" vertical="center"/>
    </xf>
    <xf numFmtId="0" fontId="30" fillId="16" borderId="43" xfId="4" applyFont="1" applyFill="1" applyBorder="1" applyAlignment="1" applyProtection="1">
      <alignment horizontal="left" vertical="center"/>
    </xf>
    <xf numFmtId="0" fontId="34" fillId="0" borderId="39" xfId="4" applyFont="1" applyFill="1" applyBorder="1" applyAlignment="1" applyProtection="1">
      <alignment horizontal="center" vertical="center" shrinkToFit="1"/>
    </xf>
    <xf numFmtId="0" fontId="34" fillId="0" borderId="40" xfId="4" applyFont="1" applyFill="1" applyBorder="1" applyAlignment="1" applyProtection="1">
      <alignment horizontal="center" vertical="center" shrinkToFit="1"/>
    </xf>
    <xf numFmtId="0" fontId="36" fillId="0" borderId="336" xfId="4" applyFont="1" applyFill="1" applyBorder="1" applyAlignment="1" applyProtection="1">
      <alignment horizontal="center" vertical="center" shrinkToFit="1"/>
    </xf>
    <xf numFmtId="0" fontId="36" fillId="0" borderId="42" xfId="4" applyFont="1" applyFill="1" applyBorder="1" applyAlignment="1" applyProtection="1">
      <alignment horizontal="center" vertical="center" shrinkToFit="1"/>
    </xf>
    <xf numFmtId="6" fontId="36" fillId="0" borderId="253" xfId="13" applyFont="1" applyFill="1" applyBorder="1" applyAlignment="1" applyProtection="1">
      <alignment horizontal="right" vertical="center" shrinkToFit="1"/>
    </xf>
    <xf numFmtId="6" fontId="36" fillId="0" borderId="254" xfId="13" applyFont="1" applyFill="1" applyBorder="1" applyAlignment="1" applyProtection="1">
      <alignment horizontal="right" vertical="center" shrinkToFit="1"/>
    </xf>
    <xf numFmtId="6" fontId="36" fillId="0" borderId="260" xfId="13" applyFont="1" applyFill="1" applyBorder="1" applyAlignment="1" applyProtection="1">
      <alignment horizontal="right" vertical="center" shrinkToFit="1"/>
    </xf>
    <xf numFmtId="0" fontId="34" fillId="0" borderId="0" xfId="4" applyFont="1" applyFill="1" applyBorder="1" applyAlignment="1" applyProtection="1">
      <alignment horizontal="left" vertical="center"/>
    </xf>
    <xf numFmtId="0" fontId="34" fillId="0" borderId="0" xfId="4" applyFont="1" applyFill="1" applyBorder="1" applyAlignment="1" applyProtection="1">
      <alignment horizontal="center" vertical="center"/>
      <protection locked="0"/>
    </xf>
    <xf numFmtId="0" fontId="34" fillId="2" borderId="4" xfId="4" applyFont="1" applyFill="1" applyBorder="1" applyAlignment="1" applyProtection="1">
      <alignment horizontal="left" vertical="center" wrapText="1" shrinkToFit="1"/>
    </xf>
    <xf numFmtId="0" fontId="34" fillId="2" borderId="200" xfId="4" applyFont="1" applyFill="1" applyBorder="1" applyAlignment="1" applyProtection="1">
      <alignment horizontal="left" vertical="center" wrapText="1" shrinkToFit="1"/>
    </xf>
    <xf numFmtId="0" fontId="34" fillId="2" borderId="2" xfId="4" applyFont="1" applyFill="1" applyBorder="1" applyAlignment="1" applyProtection="1">
      <alignment horizontal="left" vertical="center" wrapText="1" shrinkToFit="1"/>
    </xf>
    <xf numFmtId="0" fontId="34" fillId="0" borderId="200" xfId="4" applyFont="1" applyFill="1" applyBorder="1" applyAlignment="1" applyProtection="1">
      <alignment horizontal="center" vertical="center"/>
      <protection locked="0"/>
    </xf>
    <xf numFmtId="6" fontId="34" fillId="0" borderId="253" xfId="5" applyNumberFormat="1" applyFont="1" applyBorder="1" applyAlignment="1" applyProtection="1">
      <alignment horizontal="right" vertical="center" shrinkToFit="1"/>
      <protection locked="0"/>
    </xf>
    <xf numFmtId="6" fontId="34" fillId="0" borderId="254" xfId="5" applyNumberFormat="1" applyFont="1" applyBorder="1" applyAlignment="1" applyProtection="1">
      <alignment horizontal="right" vertical="center" shrinkToFit="1"/>
      <protection locked="0"/>
    </xf>
    <xf numFmtId="6" fontId="34" fillId="0" borderId="10" xfId="5" applyNumberFormat="1" applyFont="1" applyBorder="1" applyAlignment="1" applyProtection="1">
      <alignment horizontal="right" vertical="center" shrinkToFit="1"/>
      <protection locked="0"/>
    </xf>
    <xf numFmtId="6" fontId="34" fillId="0" borderId="255" xfId="5" applyNumberFormat="1" applyFont="1" applyBorder="1" applyAlignment="1" applyProtection="1">
      <alignment horizontal="right" vertical="center" shrinkToFit="1"/>
      <protection locked="0"/>
    </xf>
    <xf numFmtId="6" fontId="34" fillId="0" borderId="251" xfId="5" applyNumberFormat="1" applyFont="1" applyBorder="1" applyAlignment="1" applyProtection="1">
      <alignment horizontal="right" vertical="center" shrinkToFit="1"/>
      <protection locked="0"/>
    </xf>
    <xf numFmtId="0" fontId="10" fillId="0" borderId="217" xfId="4" applyFont="1" applyBorder="1" applyAlignment="1" applyProtection="1">
      <alignment horizontal="left" vertical="center"/>
      <protection locked="0"/>
    </xf>
    <xf numFmtId="0" fontId="10" fillId="0" borderId="218" xfId="4" applyFont="1" applyBorder="1" applyAlignment="1" applyProtection="1">
      <alignment horizontal="left" vertical="center"/>
      <protection locked="0"/>
    </xf>
    <xf numFmtId="0" fontId="74" fillId="0" borderId="0" xfId="4" applyFont="1" applyBorder="1" applyAlignment="1" applyProtection="1">
      <alignment horizontal="center" vertical="center" wrapText="1"/>
    </xf>
    <xf numFmtId="0" fontId="10" fillId="0" borderId="60" xfId="4" applyFont="1" applyBorder="1" applyAlignment="1" applyProtection="1">
      <alignment horizontal="left" vertical="center" shrinkToFit="1"/>
    </xf>
    <xf numFmtId="0" fontId="10" fillId="0" borderId="57" xfId="4" applyFont="1" applyBorder="1" applyAlignment="1" applyProtection="1">
      <alignment horizontal="left" vertical="center" shrinkToFit="1"/>
    </xf>
    <xf numFmtId="188" fontId="10" fillId="0" borderId="215" xfId="4" quotePrefix="1" applyNumberFormat="1" applyFont="1" applyBorder="1" applyAlignment="1" applyProtection="1">
      <alignment horizontal="left" vertical="center"/>
    </xf>
    <xf numFmtId="188" fontId="10" fillId="0" borderId="216" xfId="4" applyNumberFormat="1" applyFont="1" applyBorder="1" applyAlignment="1" applyProtection="1">
      <alignment horizontal="left" vertical="center"/>
    </xf>
    <xf numFmtId="0" fontId="10" fillId="0" borderId="215" xfId="4" applyFont="1" applyBorder="1" applyAlignment="1" applyProtection="1">
      <alignment horizontal="left" vertical="center"/>
    </xf>
    <xf numFmtId="0" fontId="10" fillId="0" borderId="216" xfId="4" applyFont="1" applyBorder="1" applyAlignment="1" applyProtection="1">
      <alignment horizontal="left" vertical="center"/>
    </xf>
    <xf numFmtId="176" fontId="10" fillId="0" borderId="215" xfId="4" applyNumberFormat="1" applyFont="1" applyBorder="1" applyAlignment="1" applyProtection="1">
      <alignment horizontal="left" vertical="center"/>
    </xf>
    <xf numFmtId="176" fontId="10" fillId="0" borderId="216" xfId="4" applyNumberFormat="1" applyFont="1" applyBorder="1" applyAlignment="1" applyProtection="1">
      <alignment horizontal="left" vertical="center"/>
    </xf>
    <xf numFmtId="0" fontId="79" fillId="32" borderId="192" xfId="4" applyFont="1" applyFill="1" applyBorder="1" applyAlignment="1" applyProtection="1">
      <alignment horizontal="center" vertical="center" wrapText="1"/>
    </xf>
    <xf numFmtId="0" fontId="79" fillId="32" borderId="2" xfId="4" applyFont="1" applyFill="1" applyBorder="1" applyAlignment="1" applyProtection="1">
      <alignment horizontal="center" vertical="center" wrapText="1"/>
    </xf>
    <xf numFmtId="0" fontId="79" fillId="32" borderId="192" xfId="4" applyFont="1" applyFill="1" applyBorder="1" applyAlignment="1" applyProtection="1">
      <alignment horizontal="center" vertical="center"/>
    </xf>
    <xf numFmtId="0" fontId="79" fillId="32" borderId="2" xfId="4" applyFont="1" applyFill="1" applyBorder="1" applyAlignment="1" applyProtection="1">
      <alignment horizontal="center" vertical="center"/>
    </xf>
    <xf numFmtId="0" fontId="78" fillId="0" borderId="192" xfId="4" applyFont="1" applyBorder="1" applyAlignment="1" applyProtection="1">
      <alignment horizontal="left" vertical="center" wrapText="1"/>
    </xf>
    <xf numFmtId="0" fontId="78" fillId="0" borderId="2" xfId="4" applyFont="1" applyBorder="1" applyAlignment="1" applyProtection="1">
      <alignment horizontal="left" vertical="center" wrapText="1"/>
    </xf>
    <xf numFmtId="0" fontId="11" fillId="0" borderId="2" xfId="4" applyFont="1" applyBorder="1" applyAlignment="1" applyProtection="1">
      <alignment horizontal="left" vertical="center"/>
    </xf>
    <xf numFmtId="0" fontId="78" fillId="0" borderId="193" xfId="4" applyFont="1" applyBorder="1" applyAlignment="1" applyProtection="1">
      <alignment horizontal="left" vertical="center" wrapText="1"/>
    </xf>
    <xf numFmtId="0" fontId="78" fillId="0" borderId="195" xfId="4" applyFont="1" applyBorder="1" applyAlignment="1" applyProtection="1">
      <alignment horizontal="left" vertical="center" wrapText="1"/>
    </xf>
    <xf numFmtId="0" fontId="78" fillId="0" borderId="8" xfId="4" applyFont="1" applyBorder="1" applyAlignment="1" applyProtection="1">
      <alignment horizontal="left" vertical="center" wrapText="1"/>
    </xf>
    <xf numFmtId="0" fontId="78" fillId="0" borderId="38" xfId="4" applyFont="1" applyBorder="1" applyAlignment="1" applyProtection="1">
      <alignment horizontal="left" vertical="center" wrapText="1"/>
    </xf>
    <xf numFmtId="0" fontId="78" fillId="0" borderId="5" xfId="4" applyFont="1" applyBorder="1" applyAlignment="1" applyProtection="1">
      <alignment horizontal="left" vertical="center" wrapText="1"/>
    </xf>
    <xf numFmtId="0" fontId="78" fillId="0" borderId="54" xfId="4" applyFont="1" applyBorder="1" applyAlignment="1" applyProtection="1">
      <alignment horizontal="left" vertical="center" wrapText="1"/>
    </xf>
    <xf numFmtId="0" fontId="19" fillId="0" borderId="30" xfId="4" applyFont="1" applyBorder="1" applyAlignment="1" applyProtection="1">
      <alignment vertical="center" wrapText="1"/>
      <protection locked="0"/>
    </xf>
    <xf numFmtId="0" fontId="19" fillId="0" borderId="31" xfId="4" applyFont="1" applyBorder="1" applyAlignment="1" applyProtection="1">
      <alignment vertical="center" wrapText="1"/>
      <protection locked="0"/>
    </xf>
    <xf numFmtId="0" fontId="19" fillId="0" borderId="32" xfId="4" applyFont="1" applyBorder="1" applyAlignment="1" applyProtection="1">
      <alignment vertical="center" wrapText="1"/>
      <protection locked="0"/>
    </xf>
    <xf numFmtId="0" fontId="19" fillId="0" borderId="39" xfId="4" applyFont="1" applyBorder="1" applyAlignment="1" applyProtection="1">
      <alignment vertical="center" wrapText="1"/>
      <protection locked="0"/>
    </xf>
    <xf numFmtId="0" fontId="19" fillId="0" borderId="40" xfId="4" applyFont="1" applyBorder="1" applyAlignment="1" applyProtection="1">
      <alignment vertical="center" wrapText="1"/>
      <protection locked="0"/>
    </xf>
    <xf numFmtId="0" fontId="19" fillId="0" borderId="43" xfId="4" applyFont="1" applyBorder="1" applyAlignment="1" applyProtection="1">
      <alignment vertical="center" wrapText="1"/>
      <protection locked="0"/>
    </xf>
    <xf numFmtId="0" fontId="42" fillId="25" borderId="180" xfId="0" applyFont="1" applyFill="1" applyBorder="1" applyAlignment="1">
      <alignment horizontal="center" vertical="center"/>
    </xf>
    <xf numFmtId="0" fontId="42" fillId="25" borderId="181" xfId="0" applyFont="1" applyFill="1" applyBorder="1" applyAlignment="1">
      <alignment horizontal="center" vertical="center"/>
    </xf>
    <xf numFmtId="0" fontId="42" fillId="25" borderId="182" xfId="0" applyFont="1" applyFill="1" applyBorder="1" applyAlignment="1">
      <alignment horizontal="center" vertical="center"/>
    </xf>
    <xf numFmtId="0" fontId="42" fillId="25" borderId="185" xfId="0" applyFont="1" applyFill="1" applyBorder="1" applyAlignment="1">
      <alignment horizontal="center" vertical="center"/>
    </xf>
    <xf numFmtId="0" fontId="42" fillId="25" borderId="271" xfId="0" applyFont="1" applyFill="1" applyBorder="1" applyAlignment="1">
      <alignment horizontal="center" vertical="center"/>
    </xf>
    <xf numFmtId="0" fontId="42" fillId="25" borderId="274" xfId="0" applyFont="1" applyFill="1" applyBorder="1" applyAlignment="1">
      <alignment horizontal="center" vertical="center"/>
    </xf>
    <xf numFmtId="0" fontId="42" fillId="25" borderId="183" xfId="0" applyFont="1" applyFill="1" applyBorder="1" applyAlignment="1">
      <alignment horizontal="center" vertical="center"/>
    </xf>
    <xf numFmtId="0" fontId="42" fillId="25" borderId="184" xfId="0" applyFont="1" applyFill="1" applyBorder="1" applyAlignment="1">
      <alignment horizontal="center" vertical="center"/>
    </xf>
    <xf numFmtId="0" fontId="42" fillId="25" borderId="269" xfId="0" applyFont="1" applyFill="1" applyBorder="1" applyAlignment="1">
      <alignment horizontal="center" vertical="center"/>
    </xf>
    <xf numFmtId="0" fontId="42" fillId="25" borderId="186" xfId="0" applyFont="1" applyFill="1" applyBorder="1" applyAlignment="1">
      <alignment horizontal="center" vertical="center"/>
    </xf>
    <xf numFmtId="0" fontId="65" fillId="0" borderId="137" xfId="0" applyFont="1" applyFill="1" applyBorder="1" applyAlignment="1">
      <alignment horizontal="center" vertical="center"/>
    </xf>
    <xf numFmtId="0" fontId="65" fillId="0" borderId="0" xfId="0" applyFont="1" applyFill="1" applyBorder="1" applyAlignment="1">
      <alignment horizontal="center" vertical="center"/>
    </xf>
    <xf numFmtId="0" fontId="42" fillId="25" borderId="169" xfId="0" applyFont="1" applyFill="1" applyBorder="1" applyAlignment="1">
      <alignment horizontal="center" vertical="center"/>
    </xf>
    <xf numFmtId="0" fontId="42" fillId="25" borderId="137" xfId="0" applyFont="1" applyFill="1" applyBorder="1" applyAlignment="1">
      <alignment horizontal="center" vertical="center"/>
    </xf>
    <xf numFmtId="0" fontId="42" fillId="25" borderId="170" xfId="0" applyFont="1" applyFill="1" applyBorder="1" applyAlignment="1">
      <alignment horizontal="center" vertical="center"/>
    </xf>
    <xf numFmtId="0" fontId="42" fillId="25" borderId="173" xfId="0" applyFont="1" applyFill="1" applyBorder="1" applyAlignment="1">
      <alignment horizontal="center" vertical="center"/>
    </xf>
    <xf numFmtId="0" fontId="42" fillId="25" borderId="36" xfId="0" applyFont="1" applyFill="1" applyBorder="1" applyAlignment="1">
      <alignment horizontal="center" vertical="center"/>
    </xf>
    <xf numFmtId="0" fontId="42" fillId="25" borderId="174" xfId="0" applyFont="1" applyFill="1" applyBorder="1" applyAlignment="1">
      <alignment horizontal="center" vertical="center"/>
    </xf>
    <xf numFmtId="0" fontId="42" fillId="25" borderId="171" xfId="0" applyFont="1" applyFill="1" applyBorder="1" applyAlignment="1">
      <alignment horizontal="center" vertical="center"/>
    </xf>
    <xf numFmtId="0" fontId="42" fillId="25" borderId="0" xfId="0" applyFont="1" applyFill="1" applyBorder="1" applyAlignment="1">
      <alignment horizontal="center" vertical="center"/>
    </xf>
    <xf numFmtId="0" fontId="42" fillId="25" borderId="172" xfId="0" applyFont="1" applyFill="1" applyBorder="1" applyAlignment="1">
      <alignment horizontal="center" vertical="center"/>
    </xf>
    <xf numFmtId="0" fontId="42" fillId="26" borderId="175" xfId="0" applyFont="1" applyFill="1" applyBorder="1" applyAlignment="1">
      <alignment horizontal="center" vertical="center"/>
    </xf>
    <xf numFmtId="0" fontId="42" fillId="26" borderId="273" xfId="0" applyFont="1" applyFill="1" applyBorder="1" applyAlignment="1">
      <alignment horizontal="center" vertical="center"/>
    </xf>
    <xf numFmtId="0" fontId="42" fillId="26" borderId="176" xfId="0" applyFont="1" applyFill="1" applyBorder="1" applyAlignment="1">
      <alignment horizontal="center" vertical="center"/>
    </xf>
    <xf numFmtId="0" fontId="42" fillId="26" borderId="171" xfId="0" applyFont="1" applyFill="1" applyBorder="1" applyAlignment="1">
      <alignment horizontal="center" vertical="center"/>
    </xf>
    <xf numFmtId="0" fontId="42" fillId="26" borderId="0" xfId="0" applyFont="1" applyFill="1" applyBorder="1" applyAlignment="1">
      <alignment horizontal="center" vertical="center"/>
    </xf>
    <xf numFmtId="0" fontId="42" fillId="26" borderId="172" xfId="0" applyFont="1" applyFill="1" applyBorder="1" applyAlignment="1">
      <alignment horizontal="center" vertical="center"/>
    </xf>
    <xf numFmtId="0" fontId="42" fillId="26" borderId="177" xfId="0" applyFont="1" applyFill="1" applyBorder="1" applyAlignment="1">
      <alignment horizontal="center" vertical="center"/>
    </xf>
    <xf numFmtId="0" fontId="42" fillId="26" borderId="178" xfId="0" applyFont="1" applyFill="1" applyBorder="1" applyAlignment="1">
      <alignment horizontal="center" vertical="center"/>
    </xf>
    <xf numFmtId="0" fontId="42" fillId="26" borderId="179" xfId="0" applyFont="1" applyFill="1" applyBorder="1" applyAlignment="1">
      <alignment horizontal="center" vertical="center"/>
    </xf>
    <xf numFmtId="0" fontId="42" fillId="26" borderId="185" xfId="0" applyFont="1" applyFill="1" applyBorder="1" applyAlignment="1">
      <alignment horizontal="center" vertical="center"/>
    </xf>
    <xf numFmtId="0" fontId="42" fillId="26" borderId="271" xfId="0" applyFont="1" applyFill="1" applyBorder="1" applyAlignment="1">
      <alignment horizontal="center" vertical="center"/>
    </xf>
    <xf numFmtId="0" fontId="42" fillId="26" borderId="274" xfId="0" applyFont="1" applyFill="1" applyBorder="1" applyAlignment="1">
      <alignment horizontal="center" vertical="center"/>
    </xf>
    <xf numFmtId="0" fontId="42" fillId="0" borderId="274" xfId="0" applyFont="1" applyBorder="1" applyAlignment="1">
      <alignment horizontal="left" vertical="center" wrapText="1"/>
    </xf>
    <xf numFmtId="0" fontId="42" fillId="0" borderId="274" xfId="0" applyFont="1" applyBorder="1" applyAlignment="1">
      <alignment horizontal="left" vertical="center"/>
    </xf>
    <xf numFmtId="0" fontId="42" fillId="0" borderId="269" xfId="0" applyFont="1" applyBorder="1" applyAlignment="1">
      <alignment horizontal="left" vertical="center"/>
    </xf>
    <xf numFmtId="0" fontId="42" fillId="0" borderId="186" xfId="0" applyFont="1" applyBorder="1" applyAlignment="1">
      <alignment horizontal="left" vertical="center"/>
    </xf>
    <xf numFmtId="0" fontId="42" fillId="26" borderId="341" xfId="0" applyFont="1" applyFill="1" applyBorder="1" applyAlignment="1">
      <alignment horizontal="center" vertical="center"/>
    </xf>
    <xf numFmtId="0" fontId="42" fillId="26" borderId="54" xfId="0" applyFont="1" applyFill="1" applyBorder="1" applyAlignment="1">
      <alignment horizontal="center" vertical="center"/>
    </xf>
    <xf numFmtId="0" fontId="42" fillId="26" borderId="11" xfId="0" applyFont="1" applyFill="1" applyBorder="1" applyAlignment="1">
      <alignment horizontal="center" vertical="center"/>
    </xf>
    <xf numFmtId="0" fontId="42" fillId="26" borderId="187" xfId="0" applyFont="1" applyFill="1" applyBorder="1" applyAlignment="1">
      <alignment horizontal="center" vertical="center"/>
    </xf>
    <xf numFmtId="0" fontId="42" fillId="26" borderId="188" xfId="0" applyFont="1" applyFill="1" applyBorder="1" applyAlignment="1">
      <alignment horizontal="center" vertical="center"/>
    </xf>
    <xf numFmtId="0" fontId="42" fillId="26" borderId="189" xfId="0" applyFont="1" applyFill="1" applyBorder="1" applyAlignment="1">
      <alignment horizontal="center" vertical="center"/>
    </xf>
    <xf numFmtId="0" fontId="42" fillId="0" borderId="11" xfId="0" applyFont="1" applyBorder="1" applyAlignment="1">
      <alignment horizontal="left" vertical="center" wrapText="1"/>
    </xf>
    <xf numFmtId="0" fontId="42" fillId="0" borderId="11" xfId="0" applyFont="1" applyBorder="1" applyAlignment="1">
      <alignment horizontal="left" vertical="center"/>
    </xf>
    <xf numFmtId="0" fontId="42" fillId="0" borderId="189" xfId="0" applyFont="1" applyBorder="1" applyAlignment="1">
      <alignment horizontal="left" vertical="center"/>
    </xf>
    <xf numFmtId="0" fontId="42" fillId="0" borderId="5" xfId="0" applyFont="1" applyBorder="1" applyAlignment="1">
      <alignment horizontal="left" vertical="center" wrapText="1"/>
    </xf>
    <xf numFmtId="0" fontId="42" fillId="0" borderId="342" xfId="0" applyFont="1" applyBorder="1" applyAlignment="1">
      <alignment horizontal="left" vertical="center" wrapText="1"/>
    </xf>
    <xf numFmtId="0" fontId="42" fillId="0" borderId="189" xfId="0" applyFont="1" applyBorder="1" applyAlignment="1">
      <alignment horizontal="left" vertical="center" wrapText="1"/>
    </xf>
    <xf numFmtId="0" fontId="42" fillId="0" borderId="190" xfId="0" applyFont="1" applyBorder="1" applyAlignment="1">
      <alignment horizontal="left" vertical="center" wrapText="1"/>
    </xf>
    <xf numFmtId="0" fontId="42" fillId="0" borderId="191" xfId="0" applyFont="1" applyBorder="1" applyAlignment="1">
      <alignment horizontal="left" vertical="center" wrapText="1"/>
    </xf>
    <xf numFmtId="0" fontId="42" fillId="0" borderId="269" xfId="0" applyFont="1" applyBorder="1" applyAlignment="1">
      <alignment horizontal="left" vertical="center" wrapText="1"/>
    </xf>
    <xf numFmtId="0" fontId="42" fillId="0" borderId="186" xfId="0" applyFont="1" applyBorder="1" applyAlignment="1">
      <alignment horizontal="left" vertical="center" wrapText="1"/>
    </xf>
    <xf numFmtId="49" fontId="123" fillId="0" borderId="193" xfId="4" applyNumberFormat="1" applyFont="1" applyFill="1" applyBorder="1" applyAlignment="1" applyProtection="1">
      <alignment horizontal="left" vertical="center" shrinkToFit="1"/>
      <protection locked="0"/>
    </xf>
    <xf numFmtId="49" fontId="123" fillId="0" borderId="194" xfId="4" applyNumberFormat="1" applyFont="1" applyFill="1" applyBorder="1" applyAlignment="1" applyProtection="1">
      <alignment horizontal="left" vertical="center" shrinkToFit="1"/>
      <protection locked="0"/>
    </xf>
    <xf numFmtId="49" fontId="123" fillId="0" borderId="8" xfId="4" applyNumberFormat="1" applyFont="1" applyFill="1" applyBorder="1" applyAlignment="1" applyProtection="1">
      <alignment horizontal="left" vertical="center" shrinkToFit="1"/>
      <protection locked="0"/>
    </xf>
    <xf numFmtId="49" fontId="123" fillId="0" borderId="0" xfId="4" applyNumberFormat="1" applyFont="1" applyFill="1" applyBorder="1" applyAlignment="1" applyProtection="1">
      <alignment horizontal="left" vertical="center" shrinkToFit="1"/>
      <protection locked="0"/>
    </xf>
    <xf numFmtId="49" fontId="123" fillId="0" borderId="5" xfId="4" applyNumberFormat="1" applyFont="1" applyFill="1" applyBorder="1" applyAlignment="1" applyProtection="1">
      <alignment horizontal="left" vertical="center" shrinkToFit="1"/>
      <protection locked="0"/>
    </xf>
    <xf numFmtId="49" fontId="123" fillId="0" borderId="36" xfId="4" applyNumberFormat="1" applyFont="1" applyFill="1" applyBorder="1" applyAlignment="1" applyProtection="1">
      <alignment horizontal="left" vertical="center" shrinkToFit="1"/>
      <protection locked="0"/>
    </xf>
    <xf numFmtId="49" fontId="39" fillId="0" borderId="193" xfId="4" applyNumberFormat="1" applyFont="1" applyFill="1" applyBorder="1" applyAlignment="1" applyProtection="1">
      <alignment horizontal="left" vertical="center" shrinkToFit="1"/>
      <protection locked="0"/>
    </xf>
    <xf numFmtId="49" fontId="39" fillId="0" borderId="194" xfId="4" applyNumberFormat="1" applyFont="1" applyFill="1" applyBorder="1" applyAlignment="1" applyProtection="1">
      <alignment horizontal="left" vertical="center" shrinkToFit="1"/>
      <protection locked="0"/>
    </xf>
    <xf numFmtId="49" fontId="39" fillId="0" borderId="196" xfId="4" applyNumberFormat="1" applyFont="1" applyFill="1" applyBorder="1" applyAlignment="1" applyProtection="1">
      <alignment horizontal="left" vertical="center" shrinkToFit="1"/>
      <protection locked="0"/>
    </xf>
    <xf numFmtId="49" fontId="39" fillId="0" borderId="8" xfId="4" applyNumberFormat="1" applyFont="1" applyFill="1" applyBorder="1" applyAlignment="1" applyProtection="1">
      <alignment horizontal="left" vertical="center" shrinkToFit="1"/>
      <protection locked="0"/>
    </xf>
    <xf numFmtId="49" fontId="39" fillId="0" borderId="0" xfId="4" applyNumberFormat="1" applyFont="1" applyFill="1" applyBorder="1" applyAlignment="1" applyProtection="1">
      <alignment horizontal="left" vertical="center" shrinkToFit="1"/>
      <protection locked="0"/>
    </xf>
    <xf numFmtId="49" fontId="39" fillId="0" borderId="34" xfId="4" applyNumberFormat="1" applyFont="1" applyFill="1" applyBorder="1" applyAlignment="1" applyProtection="1">
      <alignment horizontal="left" vertical="center" shrinkToFit="1"/>
      <protection locked="0"/>
    </xf>
    <xf numFmtId="49" fontId="39" fillId="0" borderId="5" xfId="4" applyNumberFormat="1" applyFont="1" applyFill="1" applyBorder="1" applyAlignment="1" applyProtection="1">
      <alignment horizontal="left" vertical="center" shrinkToFit="1"/>
      <protection locked="0"/>
    </xf>
    <xf numFmtId="49" fontId="39" fillId="0" borderId="36" xfId="4" applyNumberFormat="1" applyFont="1" applyFill="1" applyBorder="1" applyAlignment="1" applyProtection="1">
      <alignment horizontal="left" vertical="center" shrinkToFit="1"/>
      <protection locked="0"/>
    </xf>
    <xf numFmtId="49" fontId="39" fillId="0" borderId="37" xfId="4" applyNumberFormat="1" applyFont="1" applyFill="1" applyBorder="1" applyAlignment="1" applyProtection="1">
      <alignment horizontal="left" vertical="center" shrinkToFit="1"/>
      <protection locked="0"/>
    </xf>
    <xf numFmtId="49" fontId="39" fillId="0" borderId="210" xfId="4" applyNumberFormat="1" applyFont="1" applyFill="1" applyBorder="1" applyAlignment="1" applyProtection="1">
      <alignment horizontal="left" shrinkToFit="1"/>
      <protection locked="0"/>
    </xf>
    <xf numFmtId="49" fontId="39" fillId="0" borderId="206" xfId="4" applyNumberFormat="1" applyFont="1" applyFill="1" applyBorder="1" applyAlignment="1" applyProtection="1">
      <alignment horizontal="left" shrinkToFit="1"/>
      <protection locked="0"/>
    </xf>
    <xf numFmtId="49" fontId="30" fillId="0" borderId="233" xfId="4" applyNumberFormat="1" applyFont="1" applyFill="1" applyBorder="1" applyAlignment="1" applyProtection="1">
      <alignment horizontal="center" vertical="center" shrinkToFit="1"/>
      <protection locked="0"/>
    </xf>
    <xf numFmtId="49" fontId="30" fillId="0" borderId="234" xfId="4" applyNumberFormat="1" applyFont="1" applyFill="1" applyBorder="1" applyAlignment="1" applyProtection="1">
      <alignment horizontal="center" vertical="center" shrinkToFit="1"/>
      <protection locked="0"/>
    </xf>
    <xf numFmtId="49" fontId="39" fillId="0" borderId="236" xfId="4" applyNumberFormat="1" applyFont="1" applyFill="1" applyBorder="1" applyAlignment="1" applyProtection="1">
      <alignment horizontal="center" vertical="center" shrinkToFit="1"/>
      <protection locked="0"/>
    </xf>
    <xf numFmtId="49" fontId="39" fillId="0" borderId="237" xfId="4" applyNumberFormat="1" applyFont="1" applyFill="1" applyBorder="1" applyAlignment="1" applyProtection="1">
      <alignment horizontal="center" vertical="center" shrinkToFit="1"/>
      <protection locked="0"/>
    </xf>
    <xf numFmtId="49" fontId="39" fillId="0" borderId="239" xfId="4" applyNumberFormat="1" applyFont="1" applyFill="1" applyBorder="1" applyAlignment="1" applyProtection="1">
      <alignment horizontal="center" vertical="center" shrinkToFit="1"/>
      <protection locked="0"/>
    </xf>
    <xf numFmtId="49" fontId="39" fillId="0" borderId="240" xfId="4" applyNumberFormat="1" applyFont="1" applyFill="1" applyBorder="1" applyAlignment="1" applyProtection="1">
      <alignment horizontal="center" vertical="center" shrinkToFit="1"/>
      <protection locked="0"/>
    </xf>
    <xf numFmtId="49" fontId="30" fillId="0" borderId="6" xfId="4" applyNumberFormat="1" applyFont="1" applyFill="1" applyBorder="1" applyAlignment="1" applyProtection="1">
      <alignment horizontal="center" vertical="center" shrinkToFit="1"/>
      <protection locked="0"/>
    </xf>
    <xf numFmtId="49" fontId="30" fillId="0" borderId="84" xfId="4" applyNumberFormat="1" applyFont="1" applyFill="1" applyBorder="1" applyAlignment="1" applyProtection="1">
      <alignment horizontal="center" vertical="center" shrinkToFit="1"/>
      <protection locked="0"/>
    </xf>
    <xf numFmtId="49" fontId="30" fillId="0" borderId="82" xfId="4" applyNumberFormat="1" applyFont="1" applyFill="1" applyBorder="1" applyAlignment="1" applyProtection="1">
      <alignment horizontal="center" vertical="center" shrinkToFit="1"/>
      <protection locked="0"/>
    </xf>
    <xf numFmtId="49" fontId="30" fillId="0" borderId="83" xfId="4" applyNumberFormat="1" applyFont="1" applyFill="1" applyBorder="1" applyAlignment="1" applyProtection="1">
      <alignment horizontal="center" vertical="center" shrinkToFit="1"/>
      <protection locked="0"/>
    </xf>
    <xf numFmtId="49" fontId="43" fillId="0" borderId="5" xfId="0" quotePrefix="1" applyNumberFormat="1" applyFont="1" applyBorder="1" applyAlignment="1" applyProtection="1">
      <alignment horizontal="center" vertical="center"/>
      <protection locked="0"/>
    </xf>
    <xf numFmtId="49" fontId="43" fillId="0" borderId="36" xfId="0" quotePrefix="1" applyNumberFormat="1" applyFont="1" applyBorder="1" applyAlignment="1" applyProtection="1">
      <alignment horizontal="center" vertical="center"/>
      <protection locked="0"/>
    </xf>
    <xf numFmtId="49" fontId="43" fillId="0" borderId="37" xfId="0" quotePrefix="1" applyNumberFormat="1" applyFont="1" applyBorder="1" applyAlignment="1" applyProtection="1">
      <alignment horizontal="center" vertical="center"/>
      <protection locked="0"/>
    </xf>
    <xf numFmtId="49" fontId="40" fillId="0" borderId="6" xfId="10" quotePrefix="1" applyNumberFormat="1" applyFont="1" applyFill="1" applyBorder="1" applyAlignment="1" applyProtection="1">
      <alignment horizontal="center" vertical="center" shrinkToFit="1"/>
      <protection locked="0"/>
    </xf>
    <xf numFmtId="49" fontId="30" fillId="0" borderId="11" xfId="4" applyNumberFormat="1" applyFont="1" applyFill="1" applyBorder="1" applyAlignment="1" applyProtection="1">
      <alignment horizontal="center" vertical="center" shrinkToFit="1"/>
      <protection locked="0"/>
    </xf>
    <xf numFmtId="49" fontId="30" fillId="0" borderId="85" xfId="4" applyNumberFormat="1" applyFont="1" applyFill="1" applyBorder="1" applyAlignment="1" applyProtection="1">
      <alignment horizontal="center" vertical="center" shrinkToFit="1"/>
      <protection locked="0"/>
    </xf>
    <xf numFmtId="0" fontId="34" fillId="0" borderId="273" xfId="4" applyNumberFormat="1" applyFont="1" applyFill="1" applyBorder="1" applyAlignment="1" applyProtection="1">
      <alignment horizontal="center" vertical="center" shrinkToFit="1"/>
      <protection locked="0"/>
    </xf>
    <xf numFmtId="0" fontId="34" fillId="0" borderId="36" xfId="4" applyNumberFormat="1" applyFont="1" applyFill="1" applyBorder="1" applyAlignment="1" applyProtection="1">
      <alignment horizontal="center" vertical="center" shrinkToFit="1"/>
      <protection locked="0"/>
    </xf>
    <xf numFmtId="49" fontId="30" fillId="0" borderId="287" xfId="4" applyNumberFormat="1" applyFont="1" applyFill="1" applyBorder="1" applyAlignment="1" applyProtection="1">
      <alignment horizontal="center" vertical="center" shrinkToFit="1"/>
    </xf>
    <xf numFmtId="49" fontId="30" fillId="0" borderId="37" xfId="4" applyNumberFormat="1" applyFont="1" applyFill="1" applyBorder="1" applyAlignment="1" applyProtection="1">
      <alignment horizontal="center" vertical="center" shrinkToFit="1"/>
    </xf>
    <xf numFmtId="49" fontId="30" fillId="0" borderId="47" xfId="4" applyNumberFormat="1" applyFont="1" applyFill="1" applyBorder="1" applyAlignment="1" applyProtection="1">
      <alignment horizontal="left" vertical="center" shrinkToFit="1"/>
      <protection locked="0"/>
    </xf>
    <xf numFmtId="49" fontId="30" fillId="0" borderId="45" xfId="4" applyNumberFormat="1" applyFont="1" applyFill="1" applyBorder="1" applyAlignment="1" applyProtection="1">
      <alignment horizontal="left" vertical="center" shrinkToFit="1"/>
      <protection locked="0"/>
    </xf>
    <xf numFmtId="49" fontId="30" fillId="0" borderId="48" xfId="4" applyNumberFormat="1" applyFont="1" applyFill="1" applyBorder="1" applyAlignment="1" applyProtection="1">
      <alignment horizontal="left" vertical="center" shrinkToFit="1"/>
      <protection locked="0"/>
    </xf>
    <xf numFmtId="49" fontId="39" fillId="0" borderId="52" xfId="4" applyNumberFormat="1" applyFont="1" applyFill="1" applyBorder="1" applyAlignment="1" applyProtection="1">
      <alignment horizontal="left" vertical="center" shrinkToFit="1"/>
      <protection locked="0"/>
    </xf>
    <xf numFmtId="49" fontId="39" fillId="0" borderId="50" xfId="4" applyNumberFormat="1" applyFont="1" applyFill="1" applyBorder="1" applyAlignment="1" applyProtection="1">
      <alignment horizontal="left" vertical="center" shrinkToFit="1"/>
      <protection locked="0"/>
    </xf>
    <xf numFmtId="49" fontId="39" fillId="0" borderId="53" xfId="4" applyNumberFormat="1" applyFont="1" applyFill="1" applyBorder="1" applyAlignment="1" applyProtection="1">
      <alignment horizontal="left" vertical="center" shrinkToFit="1"/>
      <protection locked="0"/>
    </xf>
    <xf numFmtId="0" fontId="47" fillId="0" borderId="31" xfId="4" applyNumberFormat="1" applyFont="1" applyFill="1" applyBorder="1" applyAlignment="1" applyProtection="1">
      <alignment horizontal="center" vertical="center"/>
    </xf>
    <xf numFmtId="0" fontId="47" fillId="0" borderId="0" xfId="4" applyNumberFormat="1" applyFont="1" applyFill="1" applyBorder="1" applyAlignment="1" applyProtection="1">
      <alignment horizontal="center" vertical="center"/>
    </xf>
    <xf numFmtId="0" fontId="34" fillId="0" borderId="8" xfId="4" applyNumberFormat="1" applyFont="1" applyFill="1" applyBorder="1" applyAlignment="1" applyProtection="1">
      <alignment horizontal="left" vertical="center"/>
    </xf>
    <xf numFmtId="0" fontId="34" fillId="0" borderId="34" xfId="4" applyNumberFormat="1" applyFont="1" applyFill="1" applyBorder="1" applyAlignment="1" applyProtection="1">
      <alignment horizontal="left" vertical="center"/>
    </xf>
    <xf numFmtId="0" fontId="34" fillId="0" borderId="8" xfId="4" applyNumberFormat="1" applyFont="1" applyFill="1" applyBorder="1" applyAlignment="1" applyProtection="1">
      <alignment horizontal="left" vertical="center" wrapText="1"/>
    </xf>
    <xf numFmtId="49" fontId="123" fillId="0" borderId="193" xfId="4" applyNumberFormat="1" applyFont="1" applyFill="1" applyBorder="1" applyAlignment="1" applyProtection="1">
      <alignment horizontal="left" vertical="center"/>
      <protection locked="0"/>
    </xf>
    <xf numFmtId="49" fontId="123" fillId="0" borderId="194" xfId="4" applyNumberFormat="1" applyFont="1" applyFill="1" applyBorder="1" applyAlignment="1" applyProtection="1">
      <alignment horizontal="left" vertical="center"/>
      <protection locked="0"/>
    </xf>
    <xf numFmtId="49" fontId="123" fillId="0" borderId="196" xfId="4" applyNumberFormat="1" applyFont="1" applyFill="1" applyBorder="1" applyAlignment="1" applyProtection="1">
      <alignment horizontal="left" vertical="center"/>
      <protection locked="0"/>
    </xf>
    <xf numFmtId="49" fontId="123" fillId="0" borderId="5" xfId="4" applyNumberFormat="1" applyFont="1" applyFill="1" applyBorder="1" applyAlignment="1" applyProtection="1">
      <alignment horizontal="left" vertical="center"/>
      <protection locked="0"/>
    </xf>
    <xf numFmtId="49" fontId="123" fillId="0" borderId="36" xfId="4" applyNumberFormat="1" applyFont="1" applyFill="1" applyBorder="1" applyAlignment="1" applyProtection="1">
      <alignment horizontal="left" vertical="center"/>
      <protection locked="0"/>
    </xf>
    <xf numFmtId="49" fontId="123" fillId="0" borderId="37" xfId="4" applyNumberFormat="1" applyFont="1" applyFill="1" applyBorder="1" applyAlignment="1" applyProtection="1">
      <alignment horizontal="left" vertical="center"/>
      <protection locked="0"/>
    </xf>
    <xf numFmtId="49" fontId="34" fillId="0" borderId="7" xfId="4" applyNumberFormat="1" applyFont="1" applyFill="1" applyBorder="1" applyAlignment="1" applyProtection="1">
      <alignment horizontal="left" vertical="center" wrapText="1" shrinkToFit="1"/>
      <protection locked="0"/>
    </xf>
    <xf numFmtId="49" fontId="34" fillId="0" borderId="12" xfId="4" applyNumberFormat="1" applyFont="1" applyFill="1" applyBorder="1" applyAlignment="1" applyProtection="1">
      <alignment horizontal="left" vertical="center" wrapText="1" shrinkToFit="1"/>
      <protection locked="0"/>
    </xf>
    <xf numFmtId="49" fontId="34" fillId="0" borderId="61" xfId="4" applyNumberFormat="1" applyFont="1" applyFill="1" applyBorder="1" applyAlignment="1" applyProtection="1">
      <alignment horizontal="left" vertical="center" wrapText="1" shrinkToFit="1"/>
      <protection locked="0"/>
    </xf>
    <xf numFmtId="49" fontId="34" fillId="0" borderId="5" xfId="4" applyNumberFormat="1" applyFont="1" applyFill="1" applyBorder="1" applyAlignment="1" applyProtection="1">
      <alignment horizontal="left" vertical="center" wrapText="1" shrinkToFit="1"/>
      <protection locked="0"/>
    </xf>
    <xf numFmtId="49" fontId="34" fillId="0" borderId="36" xfId="4" applyNumberFormat="1" applyFont="1" applyFill="1" applyBorder="1" applyAlignment="1" applyProtection="1">
      <alignment horizontal="left" vertical="center" wrapText="1" shrinkToFit="1"/>
      <protection locked="0"/>
    </xf>
    <xf numFmtId="49" fontId="34" fillId="0" borderId="37" xfId="4" applyNumberFormat="1" applyFont="1" applyFill="1" applyBorder="1" applyAlignment="1" applyProtection="1">
      <alignment horizontal="left" vertical="center" wrapText="1" shrinkToFit="1"/>
      <protection locked="0"/>
    </xf>
    <xf numFmtId="49" fontId="34" fillId="60" borderId="60" xfId="4" applyNumberFormat="1" applyFont="1" applyFill="1" applyBorder="1" applyAlignment="1" applyProtection="1">
      <alignment horizontal="left" vertical="center" shrinkToFit="1"/>
      <protection locked="0"/>
    </xf>
    <xf numFmtId="49" fontId="34" fillId="60" borderId="56" xfId="4" applyNumberFormat="1" applyFont="1" applyFill="1" applyBorder="1" applyAlignment="1" applyProtection="1">
      <alignment horizontal="left" vertical="center" shrinkToFit="1"/>
      <protection locked="0"/>
    </xf>
    <xf numFmtId="49" fontId="34" fillId="60" borderId="57" xfId="4" applyNumberFormat="1" applyFont="1" applyFill="1" applyBorder="1" applyAlignment="1" applyProtection="1">
      <alignment horizontal="left" vertical="center" shrinkToFit="1"/>
      <protection locked="0"/>
    </xf>
    <xf numFmtId="49" fontId="39" fillId="0" borderId="52" xfId="4" applyNumberFormat="1" applyFont="1" applyFill="1" applyBorder="1" applyAlignment="1" applyProtection="1">
      <alignment horizontal="left" vertical="center" wrapText="1" shrinkToFit="1"/>
      <protection locked="0"/>
    </xf>
    <xf numFmtId="49" fontId="39" fillId="0" borderId="50" xfId="4" applyNumberFormat="1" applyFont="1" applyFill="1" applyBorder="1" applyAlignment="1" applyProtection="1">
      <alignment horizontal="left" vertical="center" wrapText="1" shrinkToFit="1"/>
      <protection locked="0"/>
    </xf>
    <xf numFmtId="49" fontId="39" fillId="0" borderId="51" xfId="4" applyNumberFormat="1" applyFont="1" applyFill="1" applyBorder="1" applyAlignment="1" applyProtection="1">
      <alignment horizontal="left" vertical="center" wrapText="1" shrinkToFit="1"/>
      <protection locked="0"/>
    </xf>
    <xf numFmtId="49" fontId="39" fillId="0" borderId="8" xfId="4" applyNumberFormat="1" applyFont="1" applyFill="1" applyBorder="1" applyAlignment="1" applyProtection="1">
      <alignment horizontal="left" vertical="center" wrapText="1" shrinkToFit="1"/>
      <protection locked="0"/>
    </xf>
    <xf numFmtId="49" fontId="39" fillId="0" borderId="0" xfId="4" applyNumberFormat="1" applyFont="1" applyFill="1" applyBorder="1" applyAlignment="1" applyProtection="1">
      <alignment horizontal="left" vertical="center" wrapText="1" shrinkToFit="1"/>
      <protection locked="0"/>
    </xf>
    <xf numFmtId="49" fontId="39" fillId="0" borderId="38" xfId="4" applyNumberFormat="1" applyFont="1" applyFill="1" applyBorder="1" applyAlignment="1" applyProtection="1">
      <alignment horizontal="left" vertical="center" wrapText="1" shrinkToFit="1"/>
      <protection locked="0"/>
    </xf>
    <xf numFmtId="49" fontId="123" fillId="0" borderId="8" xfId="4" quotePrefix="1" applyNumberFormat="1" applyFont="1" applyFill="1" applyBorder="1" applyAlignment="1" applyProtection="1">
      <alignment horizontal="left" vertical="center" shrinkToFit="1"/>
      <protection locked="0"/>
    </xf>
    <xf numFmtId="49" fontId="123" fillId="0" borderId="0" xfId="4" quotePrefix="1" applyNumberFormat="1" applyFont="1" applyFill="1" applyBorder="1" applyAlignment="1" applyProtection="1">
      <alignment horizontal="left" vertical="center" shrinkToFit="1"/>
      <protection locked="0"/>
    </xf>
    <xf numFmtId="49" fontId="123" fillId="0" borderId="34" xfId="4" quotePrefix="1" applyNumberFormat="1" applyFont="1" applyFill="1" applyBorder="1" applyAlignment="1" applyProtection="1">
      <alignment horizontal="left" vertical="center" shrinkToFit="1"/>
      <protection locked="0"/>
    </xf>
    <xf numFmtId="49" fontId="39" fillId="0" borderId="51" xfId="4" applyNumberFormat="1" applyFont="1" applyFill="1" applyBorder="1" applyAlignment="1" applyProtection="1">
      <alignment horizontal="left" vertical="center" shrinkToFit="1"/>
      <protection locked="0"/>
    </xf>
    <xf numFmtId="49" fontId="39" fillId="0" borderId="54" xfId="4" applyNumberFormat="1" applyFont="1" applyFill="1" applyBorder="1" applyAlignment="1" applyProtection="1">
      <alignment horizontal="left" vertical="center" shrinkToFit="1"/>
      <protection locked="0"/>
    </xf>
    <xf numFmtId="49" fontId="30" fillId="0" borderId="235" xfId="4" applyNumberFormat="1" applyFont="1" applyFill="1" applyBorder="1" applyAlignment="1" applyProtection="1">
      <alignment horizontal="center" vertical="center" shrinkToFit="1"/>
      <protection locked="0"/>
    </xf>
    <xf numFmtId="49" fontId="39" fillId="0" borderId="238" xfId="4" applyNumberFormat="1" applyFont="1" applyFill="1" applyBorder="1" applyAlignment="1" applyProtection="1">
      <alignment horizontal="center" vertical="center" shrinkToFit="1"/>
      <protection locked="0"/>
    </xf>
    <xf numFmtId="49" fontId="39" fillId="0" borderId="241" xfId="4" applyNumberFormat="1" applyFont="1" applyFill="1" applyBorder="1" applyAlignment="1" applyProtection="1">
      <alignment horizontal="center" vertical="center" shrinkToFit="1"/>
      <protection locked="0"/>
    </xf>
    <xf numFmtId="49" fontId="29" fillId="0" borderId="47" xfId="4" applyNumberFormat="1" applyFont="1" applyFill="1" applyBorder="1" applyAlignment="1" applyProtection="1">
      <alignment horizontal="center" vertical="center" shrinkToFit="1"/>
      <protection locked="0"/>
    </xf>
    <xf numFmtId="49" fontId="29" fillId="0" borderId="45" xfId="4" applyNumberFormat="1" applyFont="1" applyFill="1" applyBorder="1" applyAlignment="1" applyProtection="1">
      <alignment horizontal="center" vertical="center" shrinkToFit="1"/>
      <protection locked="0"/>
    </xf>
    <xf numFmtId="49" fontId="29" fillId="0" borderId="303" xfId="4" applyNumberFormat="1" applyFont="1" applyFill="1" applyBorder="1" applyAlignment="1" applyProtection="1">
      <alignment horizontal="center" vertical="center" shrinkToFit="1"/>
      <protection locked="0"/>
    </xf>
    <xf numFmtId="49" fontId="29" fillId="0" borderId="46" xfId="4" applyNumberFormat="1" applyFont="1" applyFill="1" applyBorder="1" applyAlignment="1" applyProtection="1">
      <alignment horizontal="center" vertical="center" shrinkToFit="1"/>
      <protection locked="0"/>
    </xf>
    <xf numFmtId="49" fontId="39" fillId="0" borderId="52" xfId="4" applyNumberFormat="1" applyFont="1" applyFill="1" applyBorder="1" applyAlignment="1" applyProtection="1">
      <alignment horizontal="center" vertical="center" shrinkToFit="1"/>
      <protection locked="0"/>
    </xf>
    <xf numFmtId="49" fontId="39" fillId="0" borderId="50" xfId="4" applyNumberFormat="1" applyFont="1" applyFill="1" applyBorder="1" applyAlignment="1" applyProtection="1">
      <alignment horizontal="center" vertical="center" shrinkToFit="1"/>
      <protection locked="0"/>
    </xf>
    <xf numFmtId="49" fontId="39" fillId="0" borderId="304" xfId="4" applyNumberFormat="1" applyFont="1" applyFill="1" applyBorder="1" applyAlignment="1" applyProtection="1">
      <alignment horizontal="center" vertical="center" shrinkToFit="1"/>
      <protection locked="0"/>
    </xf>
    <xf numFmtId="49" fontId="39" fillId="0" borderId="8" xfId="4" applyNumberFormat="1" applyFont="1" applyFill="1" applyBorder="1" applyAlignment="1" applyProtection="1">
      <alignment horizontal="center" vertical="center" shrinkToFit="1"/>
      <protection locked="0"/>
    </xf>
    <xf numFmtId="49" fontId="39" fillId="0" borderId="0" xfId="4" applyNumberFormat="1" applyFont="1" applyFill="1" applyBorder="1" applyAlignment="1" applyProtection="1">
      <alignment horizontal="center" vertical="center" shrinkToFit="1"/>
      <protection locked="0"/>
    </xf>
    <xf numFmtId="49" fontId="39" fillId="0" borderId="88" xfId="4" applyNumberFormat="1" applyFont="1" applyFill="1" applyBorder="1" applyAlignment="1" applyProtection="1">
      <alignment horizontal="center" vertical="center" shrinkToFit="1"/>
      <protection locked="0"/>
    </xf>
    <xf numFmtId="49" fontId="39" fillId="0" borderId="5" xfId="4" applyNumberFormat="1" applyFont="1" applyFill="1" applyBorder="1" applyAlignment="1" applyProtection="1">
      <alignment horizontal="center" vertical="center" shrinkToFit="1"/>
      <protection locked="0"/>
    </xf>
    <xf numFmtId="49" fontId="39" fillId="0" borderId="36" xfId="4" applyNumberFormat="1" applyFont="1" applyFill="1" applyBorder="1" applyAlignment="1" applyProtection="1">
      <alignment horizontal="center" vertical="center" shrinkToFit="1"/>
      <protection locked="0"/>
    </xf>
    <xf numFmtId="49" fontId="39" fillId="0" borderId="92" xfId="4" applyNumberFormat="1" applyFont="1" applyFill="1" applyBorder="1" applyAlignment="1" applyProtection="1">
      <alignment horizontal="center" vertical="center" shrinkToFit="1"/>
      <protection locked="0"/>
    </xf>
    <xf numFmtId="49" fontId="39" fillId="0" borderId="51" xfId="4" applyNumberFormat="1" applyFont="1" applyFill="1" applyBorder="1" applyAlignment="1" applyProtection="1">
      <alignment horizontal="center" vertical="center" shrinkToFit="1"/>
      <protection locked="0"/>
    </xf>
    <xf numFmtId="49" fontId="39" fillId="0" borderId="38" xfId="4" applyNumberFormat="1" applyFont="1" applyFill="1" applyBorder="1" applyAlignment="1" applyProtection="1">
      <alignment horizontal="center" vertical="center" shrinkToFit="1"/>
      <protection locked="0"/>
    </xf>
    <xf numFmtId="49" fontId="39" fillId="0" borderId="54" xfId="4" applyNumberFormat="1" applyFont="1" applyFill="1" applyBorder="1" applyAlignment="1" applyProtection="1">
      <alignment horizontal="center" vertical="center" shrinkToFit="1"/>
      <protection locked="0"/>
    </xf>
    <xf numFmtId="49" fontId="29" fillId="0" borderId="56" xfId="4" applyNumberFormat="1" applyFont="1" applyFill="1" applyBorder="1" applyAlignment="1" applyProtection="1">
      <alignment horizontal="center" vertical="center" shrinkToFit="1"/>
      <protection locked="0"/>
    </xf>
    <xf numFmtId="49" fontId="29" fillId="0" borderId="57" xfId="4" applyNumberFormat="1" applyFont="1" applyFill="1" applyBorder="1" applyAlignment="1" applyProtection="1">
      <alignment horizontal="center" vertical="center" shrinkToFit="1"/>
      <protection locked="0"/>
    </xf>
    <xf numFmtId="49" fontId="29" fillId="0" borderId="60" xfId="4" applyNumberFormat="1" applyFont="1" applyFill="1" applyBorder="1" applyAlignment="1" applyProtection="1">
      <alignment horizontal="center" vertical="center" shrinkToFit="1"/>
      <protection locked="0"/>
    </xf>
    <xf numFmtId="49" fontId="29" fillId="0" borderId="213" xfId="4" applyNumberFormat="1" applyFont="1" applyFill="1" applyBorder="1" applyAlignment="1" applyProtection="1">
      <alignment horizontal="center" vertical="center" shrinkToFit="1"/>
      <protection locked="0"/>
    </xf>
    <xf numFmtId="0" fontId="28" fillId="0" borderId="40" xfId="4" applyNumberFormat="1" applyFont="1" applyFill="1" applyBorder="1" applyAlignment="1" applyProtection="1">
      <alignment horizontal="left" vertical="top" wrapText="1"/>
    </xf>
    <xf numFmtId="0" fontId="34" fillId="8" borderId="8" xfId="4" applyNumberFormat="1" applyFont="1" applyFill="1" applyBorder="1" applyAlignment="1" applyProtection="1">
      <alignment horizontal="left" vertical="center" shrinkToFit="1"/>
    </xf>
    <xf numFmtId="0" fontId="34" fillId="8" borderId="34" xfId="4" applyNumberFormat="1" applyFont="1" applyFill="1" applyBorder="1" applyAlignment="1" applyProtection="1">
      <alignment horizontal="left" vertical="center" shrinkToFit="1"/>
    </xf>
    <xf numFmtId="0" fontId="34" fillId="0" borderId="63" xfId="4" applyNumberFormat="1" applyFont="1" applyFill="1" applyBorder="1" applyAlignment="1" applyProtection="1">
      <alignment horizontal="left" vertical="center"/>
    </xf>
    <xf numFmtId="0" fontId="34" fillId="0" borderId="31" xfId="4" applyNumberFormat="1" applyFont="1" applyFill="1" applyBorder="1" applyAlignment="1" applyProtection="1">
      <alignment horizontal="left" vertical="center"/>
    </xf>
    <xf numFmtId="0" fontId="34" fillId="0" borderId="32" xfId="4" applyNumberFormat="1" applyFont="1" applyFill="1" applyBorder="1" applyAlignment="1" applyProtection="1">
      <alignment horizontal="left" vertical="center"/>
    </xf>
    <xf numFmtId="0" fontId="34" fillId="8" borderId="8" xfId="4" applyNumberFormat="1" applyFont="1" applyFill="1" applyBorder="1" applyAlignment="1" applyProtection="1">
      <alignment horizontal="left" vertical="center"/>
    </xf>
    <xf numFmtId="0" fontId="34" fillId="8" borderId="0" xfId="4" applyNumberFormat="1" applyFont="1" applyFill="1" applyBorder="1" applyAlignment="1" applyProtection="1">
      <alignment horizontal="left" vertical="center"/>
    </xf>
    <xf numFmtId="0" fontId="34" fillId="8" borderId="34" xfId="4" applyNumberFormat="1" applyFont="1" applyFill="1" applyBorder="1" applyAlignment="1" applyProtection="1">
      <alignment horizontal="left" vertical="center"/>
    </xf>
    <xf numFmtId="0" fontId="30" fillId="7" borderId="321" xfId="4" applyFont="1" applyFill="1" applyBorder="1" applyAlignment="1" applyProtection="1">
      <alignment horizontal="center" vertical="center" shrinkToFit="1"/>
    </xf>
    <xf numFmtId="0" fontId="30" fillId="7" borderId="153" xfId="4" applyFont="1" applyFill="1" applyBorder="1" applyAlignment="1" applyProtection="1">
      <alignment horizontal="center" vertical="center" shrinkToFit="1"/>
    </xf>
    <xf numFmtId="0" fontId="30" fillId="7" borderId="322" xfId="4" applyFont="1" applyFill="1" applyBorder="1" applyAlignment="1" applyProtection="1">
      <alignment horizontal="center" vertical="center" shrinkToFit="1"/>
    </xf>
    <xf numFmtId="0" fontId="30" fillId="2" borderId="40" xfId="4" applyFont="1" applyFill="1" applyBorder="1" applyAlignment="1" applyProtection="1">
      <alignment horizontal="left" vertical="center"/>
    </xf>
    <xf numFmtId="0" fontId="30" fillId="2" borderId="41" xfId="4" applyFont="1" applyFill="1" applyBorder="1" applyAlignment="1" applyProtection="1">
      <alignment horizontal="left" vertical="center"/>
    </xf>
    <xf numFmtId="0" fontId="30" fillId="0" borderId="42" xfId="4" applyFont="1" applyBorder="1" applyAlignment="1" applyProtection="1">
      <alignment horizontal="left" vertical="center"/>
    </xf>
    <xf numFmtId="0" fontId="30" fillId="0" borderId="40" xfId="4" applyFont="1" applyBorder="1" applyAlignment="1" applyProtection="1">
      <alignment horizontal="left" vertical="center"/>
    </xf>
    <xf numFmtId="0" fontId="30" fillId="0" borderId="43" xfId="4" applyFont="1" applyBorder="1" applyAlignment="1" applyProtection="1">
      <alignment horizontal="left" vertical="center"/>
    </xf>
    <xf numFmtId="0" fontId="34" fillId="0" borderId="270" xfId="4" applyFont="1" applyFill="1" applyBorder="1" applyAlignment="1" applyProtection="1">
      <alignment horizontal="left" vertical="center" indent="1"/>
    </xf>
    <xf numFmtId="0" fontId="34" fillId="0" borderId="116" xfId="5" applyNumberFormat="1" applyFont="1" applyBorder="1" applyAlignment="1" applyProtection="1">
      <alignment horizontal="right" vertical="center" shrinkToFit="1"/>
    </xf>
    <xf numFmtId="6" fontId="34" fillId="0" borderId="286" xfId="13" applyFont="1" applyBorder="1" applyAlignment="1" applyProtection="1">
      <alignment horizontal="right" vertical="center" shrinkToFit="1"/>
      <protection locked="0"/>
    </xf>
    <xf numFmtId="0" fontId="34" fillId="0" borderId="270" xfId="6" applyNumberFormat="1" applyFont="1" applyBorder="1" applyAlignment="1" applyProtection="1">
      <alignment horizontal="right" vertical="center" shrinkToFit="1"/>
    </xf>
    <xf numFmtId="0" fontId="34" fillId="0" borderId="270" xfId="4" applyFont="1" applyFill="1" applyBorder="1" applyAlignment="1" applyProtection="1">
      <alignment horizontal="left" vertical="center" indent="1" shrinkToFit="1"/>
    </xf>
    <xf numFmtId="0" fontId="34" fillId="0" borderId="269" xfId="4" applyFont="1" applyFill="1" applyBorder="1" applyAlignment="1" applyProtection="1">
      <alignment horizontal="left" vertical="center" wrapText="1" indent="1"/>
    </xf>
    <xf numFmtId="0" fontId="34" fillId="0" borderId="269" xfId="4" applyNumberFormat="1" applyFont="1" applyFill="1" applyBorder="1" applyAlignment="1" applyProtection="1">
      <alignment horizontal="left" vertical="center" shrinkToFit="1"/>
      <protection locked="0"/>
    </xf>
    <xf numFmtId="0" fontId="34" fillId="0" borderId="270" xfId="4" applyNumberFormat="1" applyFont="1" applyFill="1" applyBorder="1" applyAlignment="1" applyProtection="1">
      <alignment horizontal="left" vertical="center" shrinkToFit="1"/>
      <protection locked="0"/>
    </xf>
    <xf numFmtId="0" fontId="34" fillId="0" borderId="284" xfId="4" applyNumberFormat="1" applyFont="1" applyFill="1" applyBorder="1" applyAlignment="1" applyProtection="1">
      <alignment horizontal="left" vertical="center" shrinkToFit="1"/>
      <protection locked="0"/>
    </xf>
    <xf numFmtId="6" fontId="34" fillId="0" borderId="270" xfId="6" applyNumberFormat="1" applyFont="1" applyBorder="1" applyAlignment="1" applyProtection="1">
      <alignment horizontal="right" vertical="center" shrinkToFit="1"/>
      <protection locked="0"/>
    </xf>
    <xf numFmtId="6" fontId="34" fillId="0" borderId="271" xfId="6" applyNumberFormat="1" applyFont="1" applyBorder="1" applyAlignment="1" applyProtection="1">
      <alignment horizontal="right" vertical="center" shrinkToFit="1"/>
      <protection locked="0"/>
    </xf>
    <xf numFmtId="6" fontId="60" fillId="0" borderId="40" xfId="5" applyFont="1" applyBorder="1" applyAlignment="1" applyProtection="1">
      <alignment horizontal="center" vertical="center" shrinkToFit="1"/>
    </xf>
    <xf numFmtId="6" fontId="60" fillId="0" borderId="296" xfId="5" applyFont="1" applyBorder="1" applyAlignment="1" applyProtection="1">
      <alignment horizontal="center" vertical="center" shrinkToFit="1"/>
    </xf>
    <xf numFmtId="0" fontId="34" fillId="0" borderId="0" xfId="4" applyFont="1" applyFill="1" applyBorder="1" applyAlignment="1" applyProtection="1">
      <alignment horizontal="left" vertical="center" shrinkToFit="1"/>
      <protection locked="0"/>
    </xf>
    <xf numFmtId="10" fontId="34" fillId="19" borderId="8" xfId="6" applyNumberFormat="1" applyFont="1" applyFill="1" applyBorder="1" applyAlignment="1" applyProtection="1">
      <alignment horizontal="center" vertical="center" shrinkToFit="1"/>
    </xf>
    <xf numFmtId="10" fontId="34" fillId="19" borderId="88" xfId="6" applyNumberFormat="1" applyFont="1" applyFill="1" applyBorder="1" applyAlignment="1" applyProtection="1">
      <alignment horizontal="center" vertical="center" shrinkToFit="1"/>
    </xf>
    <xf numFmtId="6" fontId="34" fillId="8" borderId="10" xfId="13" applyFont="1" applyFill="1" applyBorder="1" applyAlignment="1" applyProtection="1">
      <alignment horizontal="right" vertical="center" shrinkToFit="1"/>
      <protection locked="0"/>
    </xf>
    <xf numFmtId="6" fontId="34" fillId="0" borderId="141" xfId="13" applyFont="1" applyBorder="1" applyAlignment="1" applyProtection="1">
      <alignment horizontal="right" vertical="center" shrinkToFit="1"/>
      <protection locked="0"/>
    </xf>
    <xf numFmtId="10" fontId="34" fillId="8" borderId="10" xfId="5" applyNumberFormat="1" applyFont="1" applyFill="1" applyBorder="1" applyAlignment="1" applyProtection="1">
      <alignment horizontal="right" vertical="center" shrinkToFit="1"/>
      <protection locked="0"/>
    </xf>
    <xf numFmtId="0" fontId="29" fillId="0" borderId="20" xfId="5" applyNumberFormat="1" applyFont="1" applyBorder="1" applyAlignment="1" applyProtection="1">
      <alignment horizontal="right" vertical="center"/>
    </xf>
    <xf numFmtId="0" fontId="29" fillId="0" borderId="20" xfId="5" applyNumberFormat="1" applyFont="1" applyBorder="1" applyAlignment="1" applyProtection="1">
      <alignment horizontal="left" vertical="center"/>
      <protection locked="0"/>
    </xf>
    <xf numFmtId="0" fontId="29" fillId="0" borderId="116" xfId="5" applyNumberFormat="1" applyFont="1" applyBorder="1" applyAlignment="1" applyProtection="1">
      <alignment horizontal="left" vertical="center"/>
      <protection locked="0"/>
    </xf>
    <xf numFmtId="0" fontId="34" fillId="19" borderId="33" xfId="4" applyFont="1" applyFill="1" applyBorder="1" applyAlignment="1" applyProtection="1">
      <alignment horizontal="center" vertical="center"/>
    </xf>
    <xf numFmtId="0" fontId="34" fillId="19" borderId="0" xfId="4" applyFont="1" applyFill="1" applyBorder="1" applyAlignment="1" applyProtection="1">
      <alignment horizontal="center" vertical="center"/>
    </xf>
    <xf numFmtId="0" fontId="34" fillId="0" borderId="2" xfId="4" applyFont="1" applyFill="1" applyBorder="1" applyAlignment="1" applyProtection="1">
      <alignment horizontal="left" vertical="center" indent="1"/>
    </xf>
    <xf numFmtId="0" fontId="34" fillId="0" borderId="6" xfId="4" applyFont="1" applyFill="1" applyBorder="1" applyAlignment="1" applyProtection="1">
      <alignment horizontal="left" vertical="center" indent="1"/>
    </xf>
    <xf numFmtId="0" fontId="34" fillId="0" borderId="270" xfId="4" applyFont="1" applyFill="1" applyBorder="1" applyAlignment="1" applyProtection="1">
      <alignment horizontal="left" vertical="center" wrapText="1" indent="1"/>
    </xf>
    <xf numFmtId="10" fontId="34" fillId="0" borderId="264" xfId="6" applyNumberFormat="1" applyFont="1" applyFill="1" applyBorder="1" applyAlignment="1" applyProtection="1">
      <alignment horizontal="right" vertical="center" shrinkToFit="1"/>
      <protection locked="0" hidden="1"/>
    </xf>
    <xf numFmtId="6" fontId="30" fillId="0" borderId="270" xfId="5" applyFont="1" applyBorder="1" applyAlignment="1" applyProtection="1">
      <alignment horizontal="left" vertical="center" shrinkToFit="1"/>
    </xf>
    <xf numFmtId="6" fontId="30" fillId="0" borderId="284" xfId="5" applyFont="1" applyBorder="1" applyAlignment="1" applyProtection="1">
      <alignment horizontal="left" vertical="center" shrinkToFit="1"/>
    </xf>
    <xf numFmtId="0" fontId="34" fillId="19" borderId="269" xfId="4" applyFont="1" applyFill="1" applyBorder="1" applyAlignment="1" applyProtection="1">
      <alignment horizontal="center" vertical="center"/>
    </xf>
    <xf numFmtId="0" fontId="30" fillId="0" borderId="270" xfId="5" applyNumberFormat="1" applyFont="1" applyBorder="1" applyAlignment="1" applyProtection="1">
      <alignment horizontal="left" vertical="center" shrinkToFit="1"/>
    </xf>
    <xf numFmtId="0" fontId="30" fillId="0" borderId="271" xfId="5" applyNumberFormat="1" applyFont="1" applyBorder="1" applyAlignment="1" applyProtection="1">
      <alignment horizontal="left" vertical="center" shrinkToFit="1"/>
    </xf>
    <xf numFmtId="6" fontId="34" fillId="16" borderId="264" xfId="13" applyFont="1" applyFill="1" applyBorder="1" applyAlignment="1" applyProtection="1">
      <alignment horizontal="right" vertical="center" shrinkToFit="1"/>
      <protection locked="0"/>
    </xf>
    <xf numFmtId="0" fontId="30" fillId="0" borderId="36" xfId="5" applyNumberFormat="1" applyFont="1" applyBorder="1" applyAlignment="1" applyProtection="1">
      <alignment horizontal="left" vertical="center" shrinkToFit="1"/>
    </xf>
    <xf numFmtId="6" fontId="30" fillId="0" borderId="99" xfId="5" applyFont="1" applyBorder="1" applyAlignment="1" applyProtection="1">
      <alignment horizontal="left" vertical="center" shrinkToFit="1"/>
    </xf>
    <xf numFmtId="0" fontId="30" fillId="0" borderId="99" xfId="4" applyFont="1" applyFill="1" applyBorder="1" applyAlignment="1" applyProtection="1">
      <alignment horizontal="left" vertical="center"/>
    </xf>
    <xf numFmtId="0" fontId="30" fillId="0" borderId="269" xfId="4" applyFont="1" applyFill="1" applyBorder="1" applyAlignment="1" applyProtection="1">
      <alignment horizontal="left" vertical="center" shrinkToFit="1"/>
    </xf>
    <xf numFmtId="0" fontId="30" fillId="0" borderId="270" xfId="4" applyFont="1" applyFill="1" applyBorder="1" applyAlignment="1" applyProtection="1">
      <alignment horizontal="left" vertical="center" shrinkToFit="1"/>
    </xf>
    <xf numFmtId="0" fontId="30" fillId="0" borderId="271" xfId="4" applyFont="1" applyFill="1" applyBorder="1" applyAlignment="1" applyProtection="1">
      <alignment horizontal="left" vertical="center" shrinkToFit="1"/>
    </xf>
    <xf numFmtId="6" fontId="30" fillId="0" borderId="270" xfId="5" applyFont="1" applyBorder="1" applyAlignment="1" applyProtection="1">
      <alignment horizontal="left" vertical="center"/>
    </xf>
    <xf numFmtId="0" fontId="29" fillId="0" borderId="22" xfId="4" applyFont="1" applyFill="1" applyBorder="1" applyAlignment="1" applyProtection="1">
      <alignment vertical="center"/>
      <protection locked="0"/>
    </xf>
    <xf numFmtId="0" fontId="29" fillId="0" borderId="21" xfId="4" applyFont="1" applyFill="1" applyBorder="1" applyAlignment="1" applyProtection="1">
      <alignment vertical="center"/>
      <protection locked="0"/>
    </xf>
    <xf numFmtId="6" fontId="34" fillId="16" borderId="143" xfId="13" applyFont="1" applyFill="1" applyBorder="1" applyAlignment="1" applyProtection="1">
      <alignment horizontal="right" vertical="center" shrinkToFit="1"/>
      <protection locked="0"/>
    </xf>
    <xf numFmtId="0" fontId="29" fillId="0" borderId="0" xfId="4" applyFont="1" applyFill="1" applyBorder="1" applyAlignment="1" applyProtection="1">
      <alignment horizontal="center" vertical="center" shrinkToFit="1"/>
      <protection locked="0"/>
    </xf>
    <xf numFmtId="0" fontId="29" fillId="0" borderId="38" xfId="4" applyFont="1" applyFill="1" applyBorder="1" applyAlignment="1" applyProtection="1">
      <alignment horizontal="center" vertical="center" shrinkToFit="1"/>
      <protection locked="0"/>
    </xf>
    <xf numFmtId="0" fontId="29" fillId="0" borderId="310" xfId="4" applyFont="1" applyFill="1" applyBorder="1" applyAlignment="1" applyProtection="1">
      <alignment horizontal="left" vertical="center" shrinkToFit="1"/>
    </xf>
    <xf numFmtId="0" fontId="29" fillId="0" borderId="270" xfId="4" applyFont="1" applyFill="1" applyBorder="1" applyAlignment="1" applyProtection="1">
      <alignment horizontal="left" vertical="center" shrinkToFit="1"/>
    </xf>
    <xf numFmtId="0" fontId="29" fillId="0" borderId="202" xfId="4" applyFont="1" applyFill="1" applyBorder="1" applyAlignment="1" applyProtection="1">
      <alignment horizontal="left" vertical="center" shrinkToFit="1"/>
    </xf>
    <xf numFmtId="6" fontId="30" fillId="0" borderId="248" xfId="5" applyFont="1" applyBorder="1" applyAlignment="1" applyProtection="1">
      <alignment horizontal="left" vertical="center" shrinkToFit="1"/>
      <protection locked="0"/>
    </xf>
    <xf numFmtId="6" fontId="30" fillId="0" borderId="153" xfId="5" applyFont="1" applyBorder="1" applyAlignment="1" applyProtection="1">
      <alignment horizontal="left" vertical="center" shrinkToFit="1"/>
      <protection locked="0"/>
    </xf>
    <xf numFmtId="0" fontId="52" fillId="0" borderId="284" xfId="0" applyFont="1" applyBorder="1" applyAlignment="1" applyProtection="1">
      <alignment horizontal="left" vertical="center" shrinkToFit="1"/>
    </xf>
    <xf numFmtId="6" fontId="34" fillId="16" borderId="257" xfId="13" applyFont="1" applyFill="1" applyBorder="1" applyAlignment="1" applyProtection="1">
      <alignment horizontal="right" vertical="center" shrinkToFit="1"/>
      <protection locked="0"/>
    </xf>
    <xf numFmtId="6" fontId="34" fillId="16" borderId="245" xfId="13" applyFont="1" applyFill="1" applyBorder="1" applyAlignment="1" applyProtection="1">
      <alignment horizontal="right" vertical="center" shrinkToFit="1"/>
      <protection locked="0"/>
    </xf>
    <xf numFmtId="6" fontId="34" fillId="16" borderId="256" xfId="13" applyFont="1" applyFill="1" applyBorder="1" applyAlignment="1" applyProtection="1">
      <alignment horizontal="right" vertical="center" shrinkToFit="1"/>
      <protection locked="0"/>
    </xf>
    <xf numFmtId="0" fontId="29" fillId="0" borderId="264" xfId="4" applyFont="1" applyFill="1" applyBorder="1" applyAlignment="1" applyProtection="1">
      <alignment vertical="center"/>
      <protection locked="0"/>
    </xf>
    <xf numFmtId="0" fontId="29" fillId="0" borderId="245" xfId="0" applyFont="1" applyBorder="1" applyAlignment="1" applyProtection="1">
      <alignment vertical="center" shrinkToFit="1"/>
    </xf>
    <xf numFmtId="0" fontId="29" fillId="0" borderId="265" xfId="0" applyFont="1" applyBorder="1" applyAlignment="1" applyProtection="1">
      <alignment vertical="center" shrinkToFit="1"/>
    </xf>
    <xf numFmtId="0" fontId="52" fillId="0" borderId="257" xfId="4" applyFont="1" applyBorder="1" applyAlignment="1" applyProtection="1">
      <alignment horizontal="right" vertical="center" shrinkToFit="1"/>
    </xf>
    <xf numFmtId="0" fontId="52" fillId="0" borderId="245" xfId="4" applyFont="1" applyBorder="1" applyAlignment="1" applyProtection="1">
      <alignment horizontal="right" vertical="center" shrinkToFit="1"/>
    </xf>
    <xf numFmtId="0" fontId="34" fillId="19" borderId="8" xfId="4" applyFont="1" applyFill="1" applyBorder="1" applyAlignment="1" applyProtection="1">
      <alignment horizontal="center" vertical="center" shrinkToFit="1"/>
    </xf>
    <xf numFmtId="0" fontId="34" fillId="19" borderId="88" xfId="4" applyFont="1" applyFill="1" applyBorder="1" applyAlignment="1" applyProtection="1">
      <alignment horizontal="center" vertical="center" shrinkToFit="1"/>
    </xf>
    <xf numFmtId="0" fontId="30" fillId="0" borderId="0" xfId="6" applyNumberFormat="1" applyFont="1" applyBorder="1" applyAlignment="1" applyProtection="1">
      <alignment horizontal="left" vertical="center" shrinkToFit="1"/>
      <protection locked="0"/>
    </xf>
    <xf numFmtId="0" fontId="30" fillId="0" borderId="34" xfId="6" applyNumberFormat="1" applyFont="1" applyBorder="1" applyAlignment="1" applyProtection="1">
      <alignment horizontal="left" vertical="center" shrinkToFit="1"/>
      <protection locked="0"/>
    </xf>
    <xf numFmtId="6" fontId="34" fillId="16" borderId="272" xfId="13" applyFont="1" applyFill="1" applyBorder="1" applyAlignment="1" applyProtection="1">
      <alignment horizontal="right" vertical="center" shrinkToFit="1"/>
      <protection locked="0"/>
    </xf>
    <xf numFmtId="6" fontId="34" fillId="16" borderId="273" xfId="13" applyFont="1" applyFill="1" applyBorder="1" applyAlignment="1" applyProtection="1">
      <alignment horizontal="right" vertical="center" shrinkToFit="1"/>
      <protection locked="0"/>
    </xf>
    <xf numFmtId="6" fontId="34" fillId="16" borderId="275" xfId="13" applyFont="1" applyFill="1" applyBorder="1" applyAlignment="1" applyProtection="1">
      <alignment horizontal="right" vertical="center" shrinkToFit="1"/>
      <protection locked="0"/>
    </xf>
    <xf numFmtId="6" fontId="34" fillId="16" borderId="8" xfId="13" applyFont="1" applyFill="1" applyBorder="1" applyAlignment="1" applyProtection="1">
      <alignment horizontal="right" vertical="center" shrinkToFit="1"/>
      <protection locked="0"/>
    </xf>
    <xf numFmtId="6" fontId="34" fillId="16" borderId="0" xfId="13" applyFont="1" applyFill="1" applyBorder="1" applyAlignment="1" applyProtection="1">
      <alignment horizontal="right" vertical="center" shrinkToFit="1"/>
      <protection locked="0"/>
    </xf>
    <xf numFmtId="6" fontId="34" fillId="16" borderId="38" xfId="13" applyFont="1" applyFill="1" applyBorder="1" applyAlignment="1" applyProtection="1">
      <alignment horizontal="right" vertical="center" shrinkToFit="1"/>
      <protection locked="0"/>
    </xf>
    <xf numFmtId="6" fontId="34" fillId="16" borderId="5" xfId="13" applyFont="1" applyFill="1" applyBorder="1" applyAlignment="1" applyProtection="1">
      <alignment horizontal="right" vertical="center" shrinkToFit="1"/>
      <protection locked="0"/>
    </xf>
    <xf numFmtId="6" fontId="34" fillId="16" borderId="36" xfId="13" applyFont="1" applyFill="1" applyBorder="1" applyAlignment="1" applyProtection="1">
      <alignment horizontal="right" vertical="center" shrinkToFit="1"/>
      <protection locked="0"/>
    </xf>
    <xf numFmtId="6" fontId="34" fillId="16" borderId="54" xfId="13" applyFont="1" applyFill="1" applyBorder="1" applyAlignment="1" applyProtection="1">
      <alignment horizontal="right" vertical="center" shrinkToFit="1"/>
      <protection locked="0"/>
    </xf>
    <xf numFmtId="0" fontId="34" fillId="0" borderId="192" xfId="4" applyFont="1" applyFill="1" applyBorder="1" applyAlignment="1" applyProtection="1">
      <alignment horizontal="left" vertical="center" indent="1" shrinkToFit="1"/>
      <protection locked="0"/>
    </xf>
    <xf numFmtId="0" fontId="34" fillId="0" borderId="200" xfId="4" applyFont="1" applyFill="1" applyBorder="1" applyAlignment="1" applyProtection="1">
      <alignment horizontal="left" vertical="center" indent="1" shrinkToFit="1"/>
      <protection locked="0"/>
    </xf>
    <xf numFmtId="0" fontId="34" fillId="0" borderId="270" xfId="4" applyFont="1" applyFill="1" applyBorder="1" applyAlignment="1" applyProtection="1">
      <alignment horizontal="left" vertical="center" indent="1" shrinkToFit="1"/>
      <protection locked="0"/>
    </xf>
    <xf numFmtId="0" fontId="131" fillId="0" borderId="270" xfId="6" applyNumberFormat="1" applyFont="1" applyBorder="1" applyAlignment="1" applyProtection="1">
      <alignment horizontal="right" vertical="center" shrinkToFit="1"/>
    </xf>
    <xf numFmtId="0" fontId="30" fillId="23" borderId="122" xfId="4" applyFont="1" applyFill="1" applyBorder="1" applyAlignment="1" applyProtection="1">
      <alignment horizontal="center" vertical="center" shrinkToFit="1"/>
    </xf>
    <xf numFmtId="0" fontId="53" fillId="0" borderId="144" xfId="4" applyNumberFormat="1" applyFont="1" applyFill="1" applyBorder="1" applyAlignment="1" applyProtection="1">
      <alignment horizontal="center" vertical="center" shrinkToFit="1"/>
    </xf>
    <xf numFmtId="0" fontId="53" fillId="0" borderId="145" xfId="4" applyNumberFormat="1" applyFont="1" applyFill="1" applyBorder="1" applyAlignment="1" applyProtection="1">
      <alignment horizontal="center" vertical="center" shrinkToFit="1"/>
    </xf>
    <xf numFmtId="0" fontId="30" fillId="0" borderId="6" xfId="4" applyNumberFormat="1" applyFont="1" applyFill="1" applyBorder="1" applyAlignment="1" applyProtection="1">
      <alignment horizontal="center" vertical="center" shrinkToFit="1"/>
    </xf>
    <xf numFmtId="0" fontId="30" fillId="0" borderId="125" xfId="4" applyNumberFormat="1" applyFont="1" applyFill="1" applyBorder="1" applyAlignment="1" applyProtection="1">
      <alignment horizontal="center" vertical="center" shrinkToFit="1"/>
    </xf>
    <xf numFmtId="0" fontId="29" fillId="0" borderId="153" xfId="5" applyNumberFormat="1" applyFont="1" applyBorder="1" applyAlignment="1" applyProtection="1">
      <alignment horizontal="right" vertical="center"/>
    </xf>
    <xf numFmtId="10" fontId="34" fillId="0" borderId="141" xfId="5" applyNumberFormat="1" applyFont="1" applyBorder="1" applyAlignment="1" applyProtection="1">
      <alignment horizontal="right" vertical="center" shrinkToFit="1"/>
      <protection locked="0"/>
    </xf>
    <xf numFmtId="0" fontId="29" fillId="0" borderId="152" xfId="5" applyNumberFormat="1" applyFont="1" applyBorder="1" applyAlignment="1" applyProtection="1">
      <alignment horizontal="right" vertical="center" shrinkToFit="1"/>
    </xf>
    <xf numFmtId="0" fontId="29" fillId="0" borderId="153" xfId="5" applyNumberFormat="1" applyFont="1" applyBorder="1" applyAlignment="1" applyProtection="1">
      <alignment horizontal="right" vertical="center" shrinkToFit="1"/>
    </xf>
    <xf numFmtId="0" fontId="30" fillId="0" borderId="248" xfId="4" applyFont="1" applyFill="1" applyBorder="1" applyAlignment="1" applyProtection="1">
      <alignment horizontal="left" vertical="center" indent="1"/>
      <protection locked="0"/>
    </xf>
    <xf numFmtId="0" fontId="30" fillId="0" borderId="153" xfId="4" applyFont="1" applyFill="1" applyBorder="1" applyAlignment="1" applyProtection="1">
      <alignment horizontal="left" vertical="center" indent="1"/>
      <protection locked="0"/>
    </xf>
    <xf numFmtId="0" fontId="30" fillId="0" borderId="154" xfId="4" applyFont="1" applyFill="1" applyBorder="1" applyAlignment="1" applyProtection="1">
      <alignment horizontal="left" vertical="center" indent="1"/>
      <protection locked="0"/>
    </xf>
    <xf numFmtId="0" fontId="29" fillId="8" borderId="273" xfId="6" applyNumberFormat="1" applyFont="1" applyFill="1" applyBorder="1" applyAlignment="1" applyProtection="1">
      <alignment horizontal="right" vertical="center" shrinkToFit="1"/>
    </xf>
    <xf numFmtId="6" fontId="29" fillId="0" borderId="20" xfId="5" applyFont="1" applyBorder="1" applyAlignment="1" applyProtection="1">
      <alignment horizontal="left" vertical="center" shrinkToFit="1"/>
    </xf>
    <xf numFmtId="6" fontId="29" fillId="0" borderId="20" xfId="5" applyFont="1" applyBorder="1" applyAlignment="1" applyProtection="1">
      <alignment horizontal="right" vertical="center" shrinkToFit="1"/>
    </xf>
    <xf numFmtId="0" fontId="29" fillId="8" borderId="273" xfId="6" applyNumberFormat="1" applyFont="1" applyFill="1" applyBorder="1" applyAlignment="1" applyProtection="1">
      <alignment horizontal="left" vertical="center" shrinkToFit="1"/>
      <protection locked="0"/>
    </xf>
    <xf numFmtId="0" fontId="29" fillId="8" borderId="283" xfId="6" applyNumberFormat="1" applyFont="1" applyFill="1" applyBorder="1" applyAlignment="1" applyProtection="1">
      <alignment horizontal="left" vertical="center" shrinkToFit="1"/>
      <protection locked="0"/>
    </xf>
    <xf numFmtId="6" fontId="29" fillId="8" borderId="272" xfId="5" applyFont="1" applyFill="1" applyBorder="1" applyAlignment="1" applyProtection="1">
      <alignment horizontal="right" vertical="center" shrinkToFit="1"/>
    </xf>
    <xf numFmtId="6" fontId="29" fillId="8" borderId="273" xfId="5" applyFont="1" applyFill="1" applyBorder="1" applyAlignment="1" applyProtection="1">
      <alignment horizontal="right" vertical="center" shrinkToFit="1"/>
    </xf>
    <xf numFmtId="6" fontId="29" fillId="8" borderId="273" xfId="5" applyFont="1" applyFill="1" applyBorder="1" applyAlignment="1" applyProtection="1">
      <alignment horizontal="left" vertical="center" shrinkToFit="1"/>
    </xf>
    <xf numFmtId="6" fontId="34" fillId="16" borderId="10" xfId="13" applyFont="1" applyFill="1" applyBorder="1" applyAlignment="1" applyProtection="1">
      <alignment horizontal="right" vertical="center" shrinkToFit="1"/>
      <protection locked="0"/>
    </xf>
    <xf numFmtId="0" fontId="29" fillId="0" borderId="274" xfId="4" applyFont="1" applyFill="1" applyBorder="1" applyAlignment="1" applyProtection="1">
      <alignment vertical="center"/>
      <protection locked="0"/>
    </xf>
    <xf numFmtId="0" fontId="29" fillId="0" borderId="289" xfId="4" applyFont="1" applyFill="1" applyBorder="1" applyAlignment="1" applyProtection="1">
      <alignment horizontal="center" vertical="center" shrinkToFit="1"/>
      <protection locked="0"/>
    </xf>
    <xf numFmtId="0" fontId="29" fillId="0" borderId="279" xfId="4" applyFont="1" applyFill="1" applyBorder="1" applyAlignment="1" applyProtection="1">
      <alignment horizontal="center" vertical="center" shrinkToFit="1"/>
    </xf>
    <xf numFmtId="0" fontId="29" fillId="0" borderId="273" xfId="4" applyFont="1" applyFill="1" applyBorder="1" applyAlignment="1" applyProtection="1">
      <alignment horizontal="center" vertical="center" shrinkToFit="1"/>
    </xf>
    <xf numFmtId="0" fontId="29" fillId="0" borderId="275" xfId="4" applyFont="1" applyFill="1" applyBorder="1" applyAlignment="1" applyProtection="1">
      <alignment horizontal="center" vertical="center" shrinkToFit="1"/>
    </xf>
    <xf numFmtId="0" fontId="59" fillId="0" borderId="272" xfId="4" applyFont="1" applyFill="1" applyBorder="1" applyAlignment="1" applyProtection="1">
      <alignment horizontal="center" vertical="center"/>
      <protection locked="0"/>
    </xf>
    <xf numFmtId="0" fontId="59" fillId="0" borderId="275" xfId="4" applyFont="1" applyFill="1" applyBorder="1" applyAlignment="1" applyProtection="1">
      <alignment horizontal="center" vertical="center"/>
      <protection locked="0"/>
    </xf>
    <xf numFmtId="6" fontId="29" fillId="0" borderId="274" xfId="5" applyFont="1" applyBorder="1" applyAlignment="1" applyProtection="1">
      <alignment horizontal="left" vertical="center" shrinkToFit="1"/>
    </xf>
    <xf numFmtId="6" fontId="34" fillId="16" borderId="141" xfId="13" applyFont="1" applyFill="1" applyBorder="1" applyAlignment="1" applyProtection="1">
      <alignment horizontal="right" vertical="center" shrinkToFit="1"/>
      <protection locked="0"/>
    </xf>
    <xf numFmtId="0" fontId="29" fillId="0" borderId="141" xfId="4" applyFont="1" applyFill="1" applyBorder="1" applyAlignment="1" applyProtection="1">
      <alignment vertical="center"/>
      <protection locked="0"/>
    </xf>
    <xf numFmtId="10" fontId="34" fillId="8" borderId="274" xfId="5" applyNumberFormat="1" applyFont="1" applyFill="1" applyBorder="1" applyAlignment="1" applyProtection="1">
      <alignment horizontal="right" vertical="center" shrinkToFit="1"/>
      <protection locked="0"/>
    </xf>
    <xf numFmtId="0" fontId="29" fillId="0" borderId="153" xfId="5" applyNumberFormat="1" applyFont="1" applyBorder="1" applyAlignment="1" applyProtection="1">
      <alignment horizontal="left" vertical="center"/>
      <protection locked="0"/>
    </xf>
    <xf numFmtId="10" fontId="31" fillId="0" borderId="75" xfId="6" applyNumberFormat="1" applyFont="1" applyFill="1" applyBorder="1" applyAlignment="1" applyProtection="1">
      <alignment horizontal="center" vertical="center" shrinkToFit="1"/>
    </xf>
    <xf numFmtId="10" fontId="31" fillId="0" borderId="73" xfId="6" applyNumberFormat="1" applyFont="1" applyFill="1" applyBorder="1" applyAlignment="1" applyProtection="1">
      <alignment horizontal="center" vertical="center" shrinkToFit="1"/>
    </xf>
    <xf numFmtId="0" fontId="29" fillId="0" borderId="22" xfId="5" applyNumberFormat="1" applyFont="1" applyBorder="1" applyAlignment="1" applyProtection="1">
      <alignment horizontal="right" vertical="center" shrinkToFit="1"/>
    </xf>
    <xf numFmtId="0" fontId="29" fillId="0" borderId="20" xfId="5" applyNumberFormat="1" applyFont="1" applyBorder="1" applyAlignment="1" applyProtection="1">
      <alignment horizontal="right" vertical="center" shrinkToFit="1"/>
    </xf>
    <xf numFmtId="0" fontId="29" fillId="0" borderId="322" xfId="5" applyNumberFormat="1" applyFont="1" applyBorder="1" applyAlignment="1" applyProtection="1">
      <alignment horizontal="left" vertical="center"/>
      <protection locked="0"/>
    </xf>
    <xf numFmtId="6" fontId="5" fillId="0" borderId="276" xfId="4" applyNumberFormat="1" applyFont="1" applyFill="1" applyBorder="1" applyAlignment="1" applyProtection="1">
      <alignment vertical="center" shrinkToFit="1"/>
      <protection hidden="1"/>
    </xf>
    <xf numFmtId="6" fontId="5" fillId="0" borderId="10" xfId="4" applyNumberFormat="1" applyFont="1" applyFill="1" applyBorder="1" applyAlignment="1" applyProtection="1">
      <alignment vertical="center" shrinkToFit="1"/>
      <protection hidden="1"/>
    </xf>
    <xf numFmtId="6" fontId="5" fillId="0" borderId="11" xfId="4" applyNumberFormat="1" applyFont="1" applyFill="1" applyBorder="1" applyAlignment="1" applyProtection="1">
      <alignment vertical="center" shrinkToFit="1"/>
      <protection hidden="1"/>
    </xf>
    <xf numFmtId="10" fontId="52" fillId="0" borderId="73" xfId="6" applyNumberFormat="1" applyFont="1" applyFill="1" applyBorder="1" applyAlignment="1" applyProtection="1">
      <alignment horizontal="center" vertical="center" shrinkToFit="1"/>
    </xf>
    <xf numFmtId="10" fontId="52" fillId="0" borderId="110" xfId="6" applyNumberFormat="1" applyFont="1" applyFill="1" applyBorder="1" applyAlignment="1" applyProtection="1">
      <alignment horizontal="center" vertical="center" shrinkToFit="1"/>
    </xf>
    <xf numFmtId="6" fontId="5" fillId="0" borderId="276" xfId="4" applyNumberFormat="1" applyFont="1" applyFill="1" applyBorder="1" applyAlignment="1" applyProtection="1">
      <alignment horizontal="right" vertical="center" shrinkToFit="1"/>
      <protection hidden="1"/>
    </xf>
    <xf numFmtId="6" fontId="5" fillId="0" borderId="10" xfId="4" applyNumberFormat="1" applyFont="1" applyFill="1" applyBorder="1" applyAlignment="1" applyProtection="1">
      <alignment horizontal="right" vertical="center" shrinkToFit="1"/>
      <protection hidden="1"/>
    </xf>
    <xf numFmtId="6" fontId="5" fillId="0" borderId="11" xfId="4" applyNumberFormat="1" applyFont="1" applyFill="1" applyBorder="1" applyAlignment="1" applyProtection="1">
      <alignment horizontal="right" vertical="center" shrinkToFit="1"/>
      <protection hidden="1"/>
    </xf>
    <xf numFmtId="6" fontId="29" fillId="0" borderId="319" xfId="5" applyFont="1" applyBorder="1" applyAlignment="1" applyProtection="1">
      <alignment horizontal="left" vertical="center" shrinkToFit="1"/>
    </xf>
    <xf numFmtId="6" fontId="29" fillId="0" borderId="320" xfId="5" applyFont="1" applyBorder="1" applyAlignment="1" applyProtection="1">
      <alignment horizontal="left" vertical="center" shrinkToFit="1"/>
    </xf>
    <xf numFmtId="0" fontId="29" fillId="0" borderId="319" xfId="4" applyFont="1" applyFill="1" applyBorder="1" applyAlignment="1" applyProtection="1">
      <alignment vertical="center"/>
    </xf>
    <xf numFmtId="0" fontId="59" fillId="0" borderId="75" xfId="4" applyFont="1" applyFill="1" applyBorder="1" applyAlignment="1" applyProtection="1">
      <alignment horizontal="center" vertical="center"/>
      <protection locked="0"/>
    </xf>
    <xf numFmtId="0" fontId="59" fillId="0" borderId="74" xfId="4" applyFont="1" applyFill="1" applyBorder="1" applyAlignment="1" applyProtection="1">
      <alignment horizontal="center" vertical="center"/>
      <protection locked="0"/>
    </xf>
    <xf numFmtId="0" fontId="59" fillId="8" borderId="269" xfId="4" applyFont="1" applyFill="1" applyBorder="1" applyAlignment="1" applyProtection="1">
      <alignment horizontal="center" vertical="center"/>
      <protection locked="0"/>
    </xf>
    <xf numFmtId="0" fontId="59" fillId="8" borderId="271" xfId="4" applyFont="1" applyFill="1" applyBorder="1" applyAlignment="1" applyProtection="1">
      <alignment horizontal="center" vertical="center"/>
      <protection locked="0"/>
    </xf>
    <xf numFmtId="6" fontId="34" fillId="16" borderId="272" xfId="13" applyFont="1" applyFill="1" applyBorder="1" applyAlignment="1" applyProtection="1">
      <alignment vertical="center" shrinkToFit="1"/>
      <protection locked="0"/>
    </xf>
    <xf numFmtId="6" fontId="34" fillId="16" borderId="273" xfId="13" applyFont="1" applyFill="1" applyBorder="1" applyAlignment="1" applyProtection="1">
      <alignment vertical="center" shrinkToFit="1"/>
      <protection locked="0"/>
    </xf>
    <xf numFmtId="6" fontId="34" fillId="16" borderId="275" xfId="13" applyFont="1" applyFill="1" applyBorder="1" applyAlignment="1" applyProtection="1">
      <alignment vertical="center" shrinkToFit="1"/>
      <protection locked="0"/>
    </xf>
    <xf numFmtId="6" fontId="34" fillId="16" borderId="8" xfId="13" applyFont="1" applyFill="1" applyBorder="1" applyAlignment="1" applyProtection="1">
      <alignment vertical="center" shrinkToFit="1"/>
      <protection locked="0"/>
    </xf>
    <xf numFmtId="6" fontId="34" fillId="16" borderId="0" xfId="13" applyFont="1" applyFill="1" applyBorder="1" applyAlignment="1" applyProtection="1">
      <alignment vertical="center" shrinkToFit="1"/>
      <protection locked="0"/>
    </xf>
    <xf numFmtId="6" fontId="34" fillId="16" borderId="38" xfId="13" applyFont="1" applyFill="1" applyBorder="1" applyAlignment="1" applyProtection="1">
      <alignment vertical="center" shrinkToFit="1"/>
      <protection locked="0"/>
    </xf>
    <xf numFmtId="6" fontId="34" fillId="16" borderId="313" xfId="13" applyFont="1" applyFill="1" applyBorder="1" applyAlignment="1" applyProtection="1">
      <alignment vertical="center" shrinkToFit="1"/>
      <protection locked="0"/>
    </xf>
    <xf numFmtId="6" fontId="34" fillId="16" borderId="314" xfId="13" applyFont="1" applyFill="1" applyBorder="1" applyAlignment="1" applyProtection="1">
      <alignment vertical="center" shrinkToFit="1"/>
      <protection locked="0"/>
    </xf>
    <xf numFmtId="6" fontId="34" fillId="16" borderId="315" xfId="13" applyFont="1" applyFill="1" applyBorder="1" applyAlignment="1" applyProtection="1">
      <alignment vertical="center" shrinkToFit="1"/>
      <protection locked="0"/>
    </xf>
    <xf numFmtId="6" fontId="34" fillId="16" borderId="274" xfId="13" applyFont="1" applyFill="1" applyBorder="1" applyAlignment="1" applyProtection="1">
      <alignment horizontal="right" vertical="center" shrinkToFit="1"/>
      <protection locked="0"/>
    </xf>
    <xf numFmtId="0" fontId="29" fillId="8" borderId="279" xfId="4" applyFont="1" applyFill="1" applyBorder="1" applyAlignment="1" applyProtection="1">
      <alignment horizontal="center" vertical="center" shrinkToFit="1"/>
      <protection locked="0"/>
    </xf>
    <xf numFmtId="0" fontId="29" fillId="8" borderId="273" xfId="4" applyFont="1" applyFill="1" applyBorder="1" applyAlignment="1" applyProtection="1">
      <alignment horizontal="center" vertical="center" shrinkToFit="1"/>
      <protection locked="0"/>
    </xf>
    <xf numFmtId="0" fontId="29" fillId="8" borderId="275" xfId="4" applyFont="1" applyFill="1" applyBorder="1" applyAlignment="1" applyProtection="1">
      <alignment horizontal="center" vertical="center" shrinkToFit="1"/>
      <protection locked="0"/>
    </xf>
    <xf numFmtId="0" fontId="59" fillId="0" borderId="105" xfId="4" applyFont="1" applyFill="1" applyBorder="1" applyAlignment="1" applyProtection="1">
      <alignment horizontal="center" vertical="center" shrinkToFit="1"/>
      <protection locked="0"/>
    </xf>
    <xf numFmtId="0" fontId="59" fillId="0" borderId="73" xfId="4" applyFont="1" applyFill="1" applyBorder="1" applyAlignment="1" applyProtection="1">
      <alignment horizontal="center" vertical="center" shrinkToFit="1"/>
      <protection locked="0"/>
    </xf>
    <xf numFmtId="0" fontId="59" fillId="0" borderId="74" xfId="4" applyFont="1" applyFill="1" applyBorder="1" applyAlignment="1" applyProtection="1">
      <alignment horizontal="center" vertical="center" shrinkToFit="1"/>
      <protection locked="0"/>
    </xf>
    <xf numFmtId="0" fontId="34" fillId="2" borderId="269" xfId="4" applyFont="1" applyFill="1" applyBorder="1" applyAlignment="1" applyProtection="1">
      <alignment horizontal="center" vertical="center" shrinkToFit="1"/>
    </xf>
    <xf numFmtId="0" fontId="29" fillId="0" borderId="143" xfId="4" applyFont="1" applyFill="1" applyBorder="1" applyAlignment="1" applyProtection="1">
      <alignment vertical="center"/>
      <protection locked="0"/>
    </xf>
    <xf numFmtId="0" fontId="29" fillId="0" borderId="321" xfId="4" applyFont="1" applyFill="1" applyBorder="1" applyAlignment="1" applyProtection="1">
      <alignment horizontal="center" vertical="center" shrinkToFit="1"/>
      <protection locked="0"/>
    </xf>
    <xf numFmtId="0" fontId="29" fillId="0" borderId="153" xfId="4" applyFont="1" applyFill="1" applyBorder="1" applyAlignment="1" applyProtection="1">
      <alignment horizontal="center" vertical="center" shrinkToFit="1"/>
      <protection locked="0"/>
    </xf>
    <xf numFmtId="0" fontId="29" fillId="0" borderId="154" xfId="4" applyFont="1" applyFill="1" applyBorder="1" applyAlignment="1" applyProtection="1">
      <alignment horizontal="center" vertical="center" shrinkToFit="1"/>
      <protection locked="0"/>
    </xf>
    <xf numFmtId="0" fontId="34" fillId="2" borderId="317" xfId="4" applyFont="1" applyFill="1" applyBorder="1" applyAlignment="1" applyProtection="1">
      <alignment horizontal="center" vertical="center" shrinkToFit="1"/>
    </xf>
    <xf numFmtId="0" fontId="34" fillId="2" borderId="318" xfId="4" applyFont="1" applyFill="1" applyBorder="1" applyAlignment="1" applyProtection="1">
      <alignment horizontal="center" vertical="center" shrinkToFit="1"/>
    </xf>
    <xf numFmtId="0" fontId="34" fillId="2" borderId="290" xfId="4" applyFont="1" applyFill="1" applyBorder="1" applyAlignment="1" applyProtection="1">
      <alignment horizontal="center" vertical="center" shrinkToFit="1"/>
    </xf>
    <xf numFmtId="0" fontId="29" fillId="0" borderId="276" xfId="4" applyFont="1" applyFill="1" applyBorder="1" applyAlignment="1" applyProtection="1">
      <alignment vertical="center"/>
      <protection locked="0"/>
    </xf>
    <xf numFmtId="6" fontId="34" fillId="8" borderId="274" xfId="13" applyFont="1" applyFill="1" applyBorder="1" applyAlignment="1" applyProtection="1">
      <alignment horizontal="right" vertical="center" shrinkToFit="1"/>
      <protection locked="0"/>
    </xf>
    <xf numFmtId="0" fontId="29" fillId="8" borderId="19" xfId="4" applyFont="1" applyFill="1" applyBorder="1" applyAlignment="1" applyProtection="1">
      <alignment horizontal="center" vertical="center" shrinkToFit="1"/>
      <protection locked="0"/>
    </xf>
    <xf numFmtId="0" fontId="29" fillId="8" borderId="20" xfId="4" applyFont="1" applyFill="1" applyBorder="1" applyAlignment="1" applyProtection="1">
      <alignment horizontal="center" vertical="center" shrinkToFit="1"/>
      <protection locked="0"/>
    </xf>
    <xf numFmtId="0" fontId="29" fillId="8" borderId="21" xfId="4" applyFont="1" applyFill="1" applyBorder="1" applyAlignment="1" applyProtection="1">
      <alignment horizontal="center" vertical="center" shrinkToFit="1"/>
      <protection locked="0"/>
    </xf>
    <xf numFmtId="0" fontId="29" fillId="8" borderId="143" xfId="4" applyFont="1" applyFill="1" applyBorder="1" applyAlignment="1" applyProtection="1">
      <alignment vertical="center"/>
      <protection locked="0"/>
    </xf>
    <xf numFmtId="6" fontId="29" fillId="0" borderId="22" xfId="5" applyFont="1" applyBorder="1" applyAlignment="1" applyProtection="1">
      <alignment horizontal="right" vertical="center" shrinkToFit="1"/>
    </xf>
    <xf numFmtId="0" fontId="29" fillId="8" borderId="264" xfId="4" applyFont="1" applyFill="1" applyBorder="1" applyAlignment="1" applyProtection="1">
      <alignment vertical="center"/>
      <protection locked="0"/>
    </xf>
    <xf numFmtId="6" fontId="29" fillId="0" borderId="20" xfId="5" applyFont="1" applyBorder="1" applyAlignment="1" applyProtection="1">
      <alignment horizontal="left" vertical="center" shrinkToFit="1"/>
      <protection locked="0"/>
    </xf>
    <xf numFmtId="6" fontId="29" fillId="0" borderId="116" xfId="5" applyFont="1" applyBorder="1" applyAlignment="1" applyProtection="1">
      <alignment horizontal="left" vertical="center" shrinkToFit="1"/>
      <protection locked="0"/>
    </xf>
    <xf numFmtId="0" fontId="30" fillId="0" borderId="269" xfId="4" applyFont="1" applyFill="1" applyBorder="1" applyAlignment="1" applyProtection="1">
      <alignment horizontal="center" vertical="center" shrinkToFit="1"/>
    </xf>
    <xf numFmtId="0" fontId="30" fillId="0" borderId="270" xfId="4" applyFont="1" applyFill="1" applyBorder="1" applyAlignment="1" applyProtection="1">
      <alignment horizontal="center" vertical="center" shrinkToFit="1"/>
    </xf>
    <xf numFmtId="0" fontId="30" fillId="0" borderId="8" xfId="4" applyFont="1" applyFill="1" applyBorder="1" applyAlignment="1" applyProtection="1">
      <alignment horizontal="center" vertical="center"/>
      <protection locked="0"/>
    </xf>
    <xf numFmtId="0" fontId="30" fillId="0" borderId="0" xfId="4" applyFont="1" applyFill="1" applyBorder="1" applyAlignment="1" applyProtection="1">
      <alignment horizontal="center" vertical="center"/>
      <protection locked="0"/>
    </xf>
    <xf numFmtId="0" fontId="59" fillId="0" borderId="289" xfId="4" applyFont="1" applyFill="1" applyBorder="1" applyAlignment="1" applyProtection="1">
      <alignment horizontal="center" vertical="center" shrinkToFit="1"/>
      <protection locked="0"/>
    </xf>
    <xf numFmtId="0" fontId="59" fillId="0" borderId="273" xfId="4" applyFont="1" applyFill="1" applyBorder="1" applyAlignment="1" applyProtection="1">
      <alignment horizontal="center" vertical="center" shrinkToFit="1"/>
      <protection locked="0"/>
    </xf>
    <xf numFmtId="0" fontId="59" fillId="0" borderId="275" xfId="4" applyFont="1" applyFill="1" applyBorder="1" applyAlignment="1" applyProtection="1">
      <alignment horizontal="center" vertical="center" shrinkToFit="1"/>
      <protection locked="0"/>
    </xf>
    <xf numFmtId="0" fontId="29" fillId="0" borderId="6" xfId="4" applyFont="1" applyFill="1" applyBorder="1" applyAlignment="1" applyProtection="1">
      <alignment vertical="center"/>
      <protection locked="0"/>
    </xf>
    <xf numFmtId="0" fontId="29" fillId="0" borderId="272" xfId="4" applyFont="1" applyFill="1" applyBorder="1" applyAlignment="1" applyProtection="1">
      <alignment horizontal="center" vertical="center"/>
      <protection locked="0"/>
    </xf>
    <xf numFmtId="0" fontId="29" fillId="0" borderId="275" xfId="4" applyFont="1" applyFill="1" applyBorder="1" applyAlignment="1" applyProtection="1">
      <alignment horizontal="center" vertical="center"/>
      <protection locked="0"/>
    </xf>
    <xf numFmtId="0" fontId="29" fillId="0" borderId="8" xfId="4" applyFont="1" applyFill="1" applyBorder="1" applyAlignment="1" applyProtection="1">
      <alignment horizontal="center" vertical="center"/>
      <protection locked="0"/>
    </xf>
    <xf numFmtId="0" fontId="29" fillId="0" borderId="38" xfId="4" applyFont="1" applyFill="1" applyBorder="1" applyAlignment="1" applyProtection="1">
      <alignment horizontal="center" vertical="center"/>
      <protection locked="0"/>
    </xf>
    <xf numFmtId="0" fontId="29" fillId="0" borderId="5" xfId="4" applyFont="1" applyFill="1" applyBorder="1" applyAlignment="1" applyProtection="1">
      <alignment horizontal="center" vertical="center"/>
      <protection locked="0"/>
    </xf>
    <xf numFmtId="0" fontId="29" fillId="0" borderId="54" xfId="4" applyFont="1" applyFill="1" applyBorder="1" applyAlignment="1" applyProtection="1">
      <alignment horizontal="center" vertical="center"/>
      <protection locked="0"/>
    </xf>
    <xf numFmtId="0" fontId="34" fillId="8" borderId="282" xfId="4" applyFont="1" applyFill="1" applyBorder="1" applyAlignment="1" applyProtection="1">
      <alignment horizontal="center" vertical="center" shrinkToFit="1"/>
    </xf>
    <xf numFmtId="0" fontId="34" fillId="8" borderId="273" xfId="4" applyFont="1" applyFill="1" applyBorder="1" applyAlignment="1" applyProtection="1">
      <alignment horizontal="center" vertical="center" shrinkToFit="1"/>
    </xf>
    <xf numFmtId="0" fontId="34" fillId="8" borderId="275" xfId="4" applyFont="1" applyFill="1" applyBorder="1" applyAlignment="1" applyProtection="1">
      <alignment horizontal="center" vertical="center" shrinkToFit="1"/>
    </xf>
    <xf numFmtId="0" fontId="29" fillId="8" borderId="289" xfId="4" applyFont="1" applyFill="1" applyBorder="1" applyAlignment="1" applyProtection="1">
      <alignment horizontal="center" vertical="center" shrinkToFit="1"/>
      <protection locked="0"/>
    </xf>
    <xf numFmtId="0" fontId="29" fillId="8" borderId="276" xfId="4" applyFont="1" applyFill="1" applyBorder="1" applyAlignment="1" applyProtection="1">
      <alignment vertical="center"/>
      <protection locked="0"/>
    </xf>
    <xf numFmtId="6" fontId="30" fillId="0" borderId="271" xfId="5" applyFont="1" applyBorder="1" applyAlignment="1" applyProtection="1">
      <alignment horizontal="left" vertical="center"/>
    </xf>
    <xf numFmtId="0" fontId="30" fillId="0" borderId="270" xfId="5" applyNumberFormat="1" applyFont="1" applyBorder="1" applyAlignment="1" applyProtection="1">
      <alignment horizontal="left" vertical="center"/>
    </xf>
    <xf numFmtId="0" fontId="43" fillId="0" borderId="211" xfId="4" applyFont="1" applyFill="1" applyBorder="1" applyAlignment="1" applyProtection="1">
      <alignment horizontal="left" vertical="center"/>
      <protection locked="0"/>
    </xf>
    <xf numFmtId="0" fontId="43" fillId="0" borderId="23" xfId="4" applyFont="1" applyFill="1" applyBorder="1" applyAlignment="1" applyProtection="1">
      <alignment horizontal="left" vertical="center"/>
      <protection locked="0"/>
    </xf>
    <xf numFmtId="0" fontId="43" fillId="0" borderId="151" xfId="4" applyFont="1" applyFill="1" applyBorder="1" applyAlignment="1" applyProtection="1">
      <alignment horizontal="left" vertical="center"/>
      <protection locked="0"/>
    </xf>
    <xf numFmtId="0" fontId="10" fillId="0" borderId="60" xfId="4" applyFont="1" applyBorder="1" applyAlignment="1" applyProtection="1">
      <alignment horizontal="left" vertical="center"/>
    </xf>
    <xf numFmtId="0" fontId="10" fillId="0" borderId="57" xfId="4" applyFont="1" applyBorder="1" applyAlignment="1" applyProtection="1">
      <alignment horizontal="left" vertical="center"/>
    </xf>
    <xf numFmtId="0" fontId="42" fillId="0" borderId="81" xfId="0" applyFont="1" applyBorder="1" applyAlignment="1">
      <alignment horizontal="center" vertical="center"/>
    </xf>
    <xf numFmtId="0" fontId="42" fillId="0" borderId="230" xfId="0" applyFont="1" applyBorder="1" applyAlignment="1">
      <alignment horizontal="center" vertical="center"/>
    </xf>
    <xf numFmtId="0" fontId="42" fillId="0" borderId="11" xfId="0" applyFont="1" applyBorder="1" applyAlignment="1">
      <alignment horizontal="center" vertical="center"/>
    </xf>
    <xf numFmtId="0" fontId="42" fillId="0" borderId="148" xfId="0" applyFont="1" applyBorder="1" applyAlignment="1">
      <alignment horizontal="center" vertical="center"/>
    </xf>
    <xf numFmtId="0" fontId="147" fillId="0" borderId="11" xfId="0" applyFont="1" applyBorder="1" applyAlignment="1">
      <alignment horizontal="center" vertical="center" wrapText="1"/>
    </xf>
    <xf numFmtId="0" fontId="147" fillId="0" borderId="148" xfId="0" applyFont="1" applyBorder="1" applyAlignment="1">
      <alignment horizontal="center" vertical="center"/>
    </xf>
    <xf numFmtId="0" fontId="43" fillId="0" borderId="85" xfId="0" applyFont="1" applyBorder="1" applyAlignment="1">
      <alignment horizontal="left" vertical="center" wrapText="1"/>
    </xf>
    <xf numFmtId="0" fontId="43" fillId="0" borderId="207" xfId="0" applyFont="1" applyBorder="1" applyAlignment="1">
      <alignment horizontal="left" vertical="center" wrapText="1"/>
    </xf>
    <xf numFmtId="0" fontId="42" fillId="0" borderId="274" xfId="0" applyFont="1" applyBorder="1" applyAlignment="1">
      <alignment horizontal="center" vertical="center"/>
    </xf>
    <xf numFmtId="0" fontId="147" fillId="0" borderId="274" xfId="0" applyFont="1" applyBorder="1" applyAlignment="1">
      <alignment horizontal="center" vertical="center"/>
    </xf>
    <xf numFmtId="0" fontId="43" fillId="0" borderId="84" xfId="0" applyFont="1" applyBorder="1" applyAlignment="1">
      <alignment horizontal="left" vertical="center" wrapText="1"/>
    </xf>
    <xf numFmtId="0" fontId="147" fillId="0" borderId="274" xfId="0" applyFont="1" applyBorder="1" applyAlignment="1">
      <alignment horizontal="center" vertical="center" wrapText="1"/>
    </xf>
    <xf numFmtId="0" fontId="42" fillId="0" borderId="276" xfId="0" applyFont="1" applyBorder="1" applyAlignment="1">
      <alignment horizontal="center" vertical="center"/>
    </xf>
    <xf numFmtId="0" fontId="147" fillId="0" borderId="276" xfId="0" applyFont="1" applyBorder="1" applyAlignment="1">
      <alignment horizontal="center" vertical="center"/>
    </xf>
    <xf numFmtId="0" fontId="43" fillId="0" borderId="340" xfId="0" applyFont="1" applyBorder="1" applyAlignment="1">
      <alignment horizontal="left" vertical="center" wrapText="1"/>
    </xf>
    <xf numFmtId="0" fontId="42" fillId="0" borderId="274" xfId="0" applyFont="1" applyBorder="1" applyAlignment="1">
      <alignment horizontal="center" vertical="center" wrapText="1"/>
    </xf>
    <xf numFmtId="0" fontId="42" fillId="19" borderId="232" xfId="0" applyFont="1" applyFill="1" applyBorder="1" applyAlignment="1">
      <alignment horizontal="center" vertical="center"/>
    </xf>
    <xf numFmtId="0" fontId="42" fillId="19" borderId="82" xfId="0" applyFont="1" applyFill="1" applyBorder="1" applyAlignment="1">
      <alignment horizontal="center" vertical="center"/>
    </xf>
    <xf numFmtId="0" fontId="42" fillId="0" borderId="271" xfId="0" applyFont="1" applyBorder="1" applyAlignment="1">
      <alignment horizontal="center" vertical="center"/>
    </xf>
    <xf numFmtId="0" fontId="42" fillId="0" borderId="275" xfId="0" applyFont="1" applyBorder="1" applyAlignment="1">
      <alignment horizontal="center" vertical="center"/>
    </xf>
    <xf numFmtId="0" fontId="42" fillId="0" borderId="0" xfId="0" applyFont="1" applyBorder="1" applyAlignment="1">
      <alignment horizontal="center" vertical="center"/>
    </xf>
    <xf numFmtId="0" fontId="42" fillId="0" borderId="0" xfId="0" applyFont="1" applyAlignment="1">
      <alignment horizontal="center" vertical="center"/>
    </xf>
    <xf numFmtId="0" fontId="43" fillId="0" borderId="0" xfId="0" applyFont="1" applyAlignment="1">
      <alignment horizontal="left" vertical="center" wrapText="1"/>
    </xf>
  </cellXfs>
  <cellStyles count="166">
    <cellStyle name="20% - アクセント 1 2" xfId="21"/>
    <cellStyle name="20% - アクセント 1 3" xfId="22"/>
    <cellStyle name="20% - アクセント 2 2" xfId="23"/>
    <cellStyle name="20% - アクセント 2 3" xfId="24"/>
    <cellStyle name="20% - アクセント 3 2" xfId="25"/>
    <cellStyle name="20% - アクセント 3 3" xfId="26"/>
    <cellStyle name="20% - アクセント 4 2" xfId="27"/>
    <cellStyle name="20% - アクセント 4 3" xfId="28"/>
    <cellStyle name="20% - アクセント 5 2" xfId="29"/>
    <cellStyle name="20% - アクセント 5 3" xfId="30"/>
    <cellStyle name="20% - アクセント 6 2" xfId="31"/>
    <cellStyle name="20% - アクセント 6 3" xfId="32"/>
    <cellStyle name="40% - アクセント 1 2" xfId="33"/>
    <cellStyle name="40% - アクセント 1 3" xfId="34"/>
    <cellStyle name="40% - アクセント 2 2" xfId="35"/>
    <cellStyle name="40% - アクセント 2 3" xfId="36"/>
    <cellStyle name="40% - アクセント 3 2" xfId="37"/>
    <cellStyle name="40% - アクセント 3 3" xfId="38"/>
    <cellStyle name="40% - アクセント 4 2" xfId="39"/>
    <cellStyle name="40% - アクセント 4 3" xfId="40"/>
    <cellStyle name="40% - アクセント 5 2" xfId="41"/>
    <cellStyle name="40% - アクセント 5 3" xfId="42"/>
    <cellStyle name="40% - アクセント 6 2" xfId="43"/>
    <cellStyle name="40% - アクセント 6 3" xfId="44"/>
    <cellStyle name="60% - アクセント 1 2" xfId="45"/>
    <cellStyle name="60% - アクセント 1 3" xfId="46"/>
    <cellStyle name="60% - アクセント 2 2" xfId="47"/>
    <cellStyle name="60% - アクセント 2 3" xfId="48"/>
    <cellStyle name="60% - アクセント 3 2" xfId="49"/>
    <cellStyle name="60% - アクセント 3 3" xfId="50"/>
    <cellStyle name="60% - アクセント 4 2" xfId="51"/>
    <cellStyle name="60% - アクセント 4 3" xfId="52"/>
    <cellStyle name="60% - アクセント 5 2" xfId="53"/>
    <cellStyle name="60% - アクセント 5 3" xfId="54"/>
    <cellStyle name="60% - アクセント 6 2" xfId="55"/>
    <cellStyle name="60% - アクセント 6 3" xfId="56"/>
    <cellStyle name="アクセント 1 2" xfId="57"/>
    <cellStyle name="アクセント 1 3" xfId="58"/>
    <cellStyle name="アクセント 2 2" xfId="59"/>
    <cellStyle name="アクセント 2 3" xfId="60"/>
    <cellStyle name="アクセント 3 2" xfId="61"/>
    <cellStyle name="アクセント 3 3" xfId="62"/>
    <cellStyle name="アクセント 4 2" xfId="63"/>
    <cellStyle name="アクセント 4 3" xfId="64"/>
    <cellStyle name="アクセント 5 2" xfId="65"/>
    <cellStyle name="アクセント 5 3" xfId="66"/>
    <cellStyle name="アクセント 6 2" xfId="67"/>
    <cellStyle name="アクセント 6 3" xfId="68"/>
    <cellStyle name="タイトル 2" xfId="69"/>
    <cellStyle name="チェック セル 2" xfId="70"/>
    <cellStyle name="チェック セル 3" xfId="71"/>
    <cellStyle name="どちらでもない 2" xfId="72"/>
    <cellStyle name="どちらでもない 3" xfId="73"/>
    <cellStyle name="パーセント" xfId="18" builtinId="5"/>
    <cellStyle name="パーセント 2" xfId="6"/>
    <cellStyle name="ハイパーリンク" xfId="10" builtinId="8"/>
    <cellStyle name="ハイパーリンク 2" xfId="8"/>
    <cellStyle name="ハイパーリンク 3" xfId="131"/>
    <cellStyle name="メモ 2" xfId="74"/>
    <cellStyle name="メモ 2 2" xfId="132"/>
    <cellStyle name="メモ 2 2 2" xfId="156"/>
    <cellStyle name="メモ 2 3" xfId="146"/>
    <cellStyle name="メモ 3" xfId="75"/>
    <cellStyle name="メモ 3 2" xfId="133"/>
    <cellStyle name="メモ 3 2 2" xfId="157"/>
    <cellStyle name="メモ 3 3" xfId="147"/>
    <cellStyle name="リンク セル 2" xfId="76"/>
    <cellStyle name="リンク セル 3" xfId="77"/>
    <cellStyle name="悪い 2" xfId="78"/>
    <cellStyle name="悪い 2 2" xfId="79"/>
    <cellStyle name="悪い 2 3" xfId="80"/>
    <cellStyle name="悪い 3" xfId="81"/>
    <cellStyle name="計算 2" xfId="82"/>
    <cellStyle name="計算 2 2" xfId="134"/>
    <cellStyle name="計算 2 2 2" xfId="158"/>
    <cellStyle name="計算 2 3" xfId="148"/>
    <cellStyle name="計算 3" xfId="83"/>
    <cellStyle name="計算 3 2" xfId="135"/>
    <cellStyle name="計算 3 2 2" xfId="159"/>
    <cellStyle name="計算 3 3" xfId="149"/>
    <cellStyle name="警告文 2" xfId="84"/>
    <cellStyle name="警告文 3" xfId="85"/>
    <cellStyle name="桁区切り" xfId="11" builtinId="6"/>
    <cellStyle name="桁区切り 2" xfId="7"/>
    <cellStyle name="桁区切り 3" xfId="15"/>
    <cellStyle name="見出し 1 2" xfId="86"/>
    <cellStyle name="見出し 1 3" xfId="87"/>
    <cellStyle name="見出し 2 2" xfId="88"/>
    <cellStyle name="見出し 2 3" xfId="89"/>
    <cellStyle name="見出し 3 2" xfId="90"/>
    <cellStyle name="見出し 3 2 2" xfId="136"/>
    <cellStyle name="見出し 3 3" xfId="91"/>
    <cellStyle name="見出し 3 3 2" xfId="137"/>
    <cellStyle name="見出し 4 2" xfId="92"/>
    <cellStyle name="見出し 4 3" xfId="93"/>
    <cellStyle name="集計 2" xfId="94"/>
    <cellStyle name="集計 2 2" xfId="138"/>
    <cellStyle name="集計 2 2 2" xfId="160"/>
    <cellStyle name="集計 2 3" xfId="150"/>
    <cellStyle name="集計 3" xfId="95"/>
    <cellStyle name="集計 3 2" xfId="139"/>
    <cellStyle name="集計 3 2 2" xfId="161"/>
    <cellStyle name="集計 3 3" xfId="151"/>
    <cellStyle name="出力 2" xfId="96"/>
    <cellStyle name="出力 2 2" xfId="140"/>
    <cellStyle name="出力 2 2 2" xfId="162"/>
    <cellStyle name="出力 2 3" xfId="152"/>
    <cellStyle name="出力 3" xfId="97"/>
    <cellStyle name="出力 3 2" xfId="141"/>
    <cellStyle name="出力 3 2 2" xfId="163"/>
    <cellStyle name="出力 3 3" xfId="153"/>
    <cellStyle name="常规 2" xfId="142"/>
    <cellStyle name="説明文 2" xfId="98"/>
    <cellStyle name="説明文 3" xfId="99"/>
    <cellStyle name="通貨" xfId="13" builtinId="7"/>
    <cellStyle name="通貨 2" xfId="5"/>
    <cellStyle name="通貨 3" xfId="16"/>
    <cellStyle name="入力 2" xfId="100"/>
    <cellStyle name="入力 2 2" xfId="143"/>
    <cellStyle name="入力 2 2 2" xfId="164"/>
    <cellStyle name="入力 2 3" xfId="154"/>
    <cellStyle name="入力 3" xfId="101"/>
    <cellStyle name="入力 3 2" xfId="144"/>
    <cellStyle name="入力 3 2 2" xfId="165"/>
    <cellStyle name="入力 3 3" xfId="155"/>
    <cellStyle name="標準" xfId="0" builtinId="0"/>
    <cellStyle name="標準 10" xfId="102"/>
    <cellStyle name="標準 11" xfId="103"/>
    <cellStyle name="標準 12" xfId="104"/>
    <cellStyle name="標準 13" xfId="105"/>
    <cellStyle name="標準 14" xfId="106"/>
    <cellStyle name="標準 15" xfId="107"/>
    <cellStyle name="標準 16" xfId="108"/>
    <cellStyle name="標準 17" xfId="109"/>
    <cellStyle name="標準 18" xfId="110"/>
    <cellStyle name="標準 19" xfId="111"/>
    <cellStyle name="標準 2" xfId="1"/>
    <cellStyle name="標準 2 2" xfId="2"/>
    <cellStyle name="標準 2 3" xfId="145"/>
    <cellStyle name="標準 20" xfId="112"/>
    <cellStyle name="標準 21" xfId="113"/>
    <cellStyle name="標準 22" xfId="114"/>
    <cellStyle name="標準 23" xfId="115"/>
    <cellStyle name="標準 24" xfId="116"/>
    <cellStyle name="標準 25" xfId="117"/>
    <cellStyle name="標準 26" xfId="118"/>
    <cellStyle name="標準 27" xfId="119"/>
    <cellStyle name="標準 28" xfId="120"/>
    <cellStyle name="標準 29" xfId="121"/>
    <cellStyle name="標準 3" xfId="4"/>
    <cellStyle name="標準 3 2" xfId="12"/>
    <cellStyle name="標準 3 3" xfId="129"/>
    <cellStyle name="標準 30" xfId="122"/>
    <cellStyle name="標準 4" xfId="3"/>
    <cellStyle name="標準 4 2" xfId="9"/>
    <cellStyle name="標準 5" xfId="17"/>
    <cellStyle name="標準 6" xfId="123"/>
    <cellStyle name="標準 6 2" xfId="130"/>
    <cellStyle name="標準 7" xfId="124"/>
    <cellStyle name="標準 8" xfId="125"/>
    <cellStyle name="標準 9" xfId="126"/>
    <cellStyle name="標準_100803業種ID一覧(加盟店審査用)" xfId="20"/>
    <cellStyle name="標準_Sheet1" xfId="19"/>
    <cellStyle name="良い" xfId="14" builtinId="26"/>
    <cellStyle name="良い 2" xfId="127"/>
    <cellStyle name="良い 3" xfId="128"/>
  </cellStyles>
  <dxfs count="494">
    <dxf>
      <fill>
        <patternFill>
          <bgColor theme="9" tint="0.39994506668294322"/>
        </patternFill>
      </fill>
    </dxf>
    <dxf>
      <fill>
        <patternFill>
          <bgColor theme="9" tint="0.39994506668294322"/>
        </patternFill>
      </fill>
    </dxf>
    <dxf>
      <font>
        <b/>
        <i val="0"/>
        <color rgb="FFFF0000"/>
      </font>
      <fill>
        <patternFill>
          <bgColor rgb="FFFFFF00"/>
        </patternFill>
      </fill>
    </dxf>
    <dxf>
      <fill>
        <patternFill>
          <bgColor theme="1" tint="0.24994659260841701"/>
        </patternFill>
      </fill>
    </dxf>
    <dxf>
      <fill>
        <patternFill>
          <bgColor theme="8"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theme="1" tint="0.24994659260841701"/>
        </patternFill>
      </fill>
    </dxf>
    <dxf>
      <fill>
        <patternFill>
          <bgColor theme="8" tint="0.39994506668294322"/>
        </patternFill>
      </fill>
    </dxf>
    <dxf>
      <fill>
        <patternFill>
          <bgColor theme="8"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8" tint="0.39994506668294322"/>
        </patternFill>
      </fill>
    </dxf>
    <dxf>
      <fill>
        <patternFill>
          <bgColor theme="8" tint="0.39994506668294322"/>
        </patternFill>
      </fill>
    </dxf>
    <dxf>
      <fill>
        <patternFill>
          <bgColor theme="1" tint="0.24994659260841701"/>
        </patternFill>
      </fill>
    </dxf>
    <dxf>
      <fill>
        <patternFill>
          <bgColor theme="1" tint="0.24994659260841701"/>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9" tint="0.39994506668294322"/>
        </patternFill>
      </fill>
    </dxf>
    <dxf>
      <font>
        <b/>
        <i val="0"/>
        <color rgb="FFFF0000"/>
      </font>
      <fill>
        <patternFill>
          <bgColor rgb="FFFFFF0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1" tint="0.24994659260841701"/>
        </patternFill>
      </fill>
    </dxf>
    <dxf>
      <fill>
        <patternFill>
          <bgColor theme="9" tint="0.39994506668294322"/>
        </patternFill>
      </fill>
    </dxf>
    <dxf>
      <fill>
        <patternFill>
          <bgColor theme="9" tint="0.39994506668294322"/>
        </patternFill>
      </fill>
    </dxf>
    <dxf>
      <font>
        <b/>
        <i val="0"/>
        <color rgb="FFFF0000"/>
      </font>
      <fill>
        <patternFill>
          <bgColor rgb="FFFFFF00"/>
        </patternFill>
      </fill>
    </dxf>
    <dxf>
      <font>
        <b/>
        <i val="0"/>
        <color rgb="FFFF0000"/>
      </font>
      <fill>
        <patternFill>
          <bgColor rgb="FFFFFF00"/>
        </patternFill>
      </fill>
    </dxf>
    <dxf>
      <fill>
        <patternFill>
          <bgColor theme="9" tint="0.39994506668294322"/>
        </patternFill>
      </fill>
    </dxf>
    <dxf>
      <fill>
        <patternFill>
          <bgColor theme="9" tint="0.39994506668294322"/>
        </patternFill>
      </fill>
    </dxf>
    <dxf>
      <fill>
        <patternFill>
          <bgColor theme="8" tint="0.39994506668294322"/>
        </patternFill>
      </fill>
    </dxf>
    <dxf>
      <fill>
        <patternFill>
          <bgColor theme="9" tint="0.39994506668294322"/>
        </patternFill>
      </fill>
    </dxf>
    <dxf>
      <fill>
        <patternFill>
          <bgColor theme="1" tint="0.24994659260841701"/>
        </patternFill>
      </fill>
    </dxf>
    <dxf>
      <fill>
        <patternFill>
          <bgColor theme="9" tint="0.39994506668294322"/>
        </patternFill>
      </fill>
    </dxf>
    <dxf>
      <fill>
        <patternFill>
          <bgColor theme="1" tint="0.2499465926084170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1" tint="0.2499465926084170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b/>
        <i val="0"/>
        <color rgb="FFFF0000"/>
      </font>
      <fill>
        <patternFill>
          <bgColor rgb="FFFFFF00"/>
        </patternFill>
      </fill>
    </dxf>
    <dxf>
      <font>
        <color theme="1"/>
      </font>
      <fill>
        <patternFill>
          <bgColor theme="1" tint="0.24994659260841701"/>
        </patternFill>
      </fill>
    </dxf>
    <dxf>
      <fill>
        <patternFill>
          <bgColor theme="1" tint="0.24994659260841701"/>
        </patternFill>
      </fill>
    </dxf>
    <dxf>
      <fill>
        <patternFill>
          <bgColor theme="1" tint="0.24994659260841701"/>
        </patternFill>
      </fill>
    </dxf>
    <dxf>
      <fill>
        <patternFill>
          <bgColor theme="9" tint="0.39994506668294322"/>
        </patternFill>
      </fill>
    </dxf>
    <dxf>
      <fill>
        <patternFill>
          <bgColor theme="9" tint="0.39994506668294322"/>
        </patternFill>
      </fill>
    </dxf>
    <dxf>
      <fill>
        <patternFill>
          <bgColor theme="8" tint="0.39994506668294322"/>
        </patternFill>
      </fill>
    </dxf>
    <dxf>
      <fill>
        <patternFill>
          <bgColor theme="9" tint="0.39994506668294322"/>
        </patternFill>
      </fill>
    </dxf>
    <dxf>
      <fill>
        <patternFill>
          <bgColor theme="9" tint="0.39994506668294322"/>
        </patternFill>
      </fill>
    </dxf>
    <dxf>
      <font>
        <b/>
        <i val="0"/>
        <color rgb="FFFF0000"/>
      </font>
      <fill>
        <patternFill>
          <bgColor rgb="FFFFFF00"/>
        </patternFill>
      </fill>
    </dxf>
    <dxf>
      <fill>
        <patternFill>
          <bgColor theme="8" tint="0.39994506668294322"/>
        </patternFill>
      </fill>
    </dxf>
    <dxf>
      <fill>
        <patternFill>
          <bgColor theme="9" tint="0.39994506668294322"/>
        </patternFill>
      </fill>
    </dxf>
    <dxf>
      <fill>
        <patternFill>
          <bgColor theme="1" tint="0.2499465926084170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8"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8" tint="0.39994506668294322"/>
        </patternFill>
      </fill>
    </dxf>
    <dxf>
      <fill>
        <patternFill>
          <bgColor theme="8" tint="0.39994506668294322"/>
        </patternFill>
      </fill>
    </dxf>
    <dxf>
      <fill>
        <patternFill>
          <bgColor theme="9" tint="0.39994506668294322"/>
        </patternFill>
      </fill>
    </dxf>
    <dxf>
      <fill>
        <patternFill>
          <bgColor theme="9"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9" tint="0.39994506668294322"/>
        </patternFill>
      </fill>
    </dxf>
    <dxf>
      <fill>
        <patternFill>
          <bgColor theme="8" tint="0.39994506668294322"/>
        </patternFill>
      </fill>
    </dxf>
    <dxf>
      <fill>
        <patternFill>
          <bgColor theme="9" tint="0.39994506668294322"/>
        </patternFill>
      </fill>
    </dxf>
    <dxf>
      <fill>
        <patternFill>
          <bgColor theme="9"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strike val="0"/>
      </font>
      <fill>
        <patternFill patternType="none">
          <fgColor indexed="64"/>
          <bgColor auto="1"/>
        </patternFill>
      </fill>
    </dxf>
    <dxf>
      <font>
        <strike val="0"/>
        <color rgb="FFFF0000"/>
      </font>
      <fill>
        <patternFill>
          <bgColor rgb="FFFFFF00"/>
        </patternFill>
      </fill>
    </dxf>
    <dxf>
      <font>
        <strike val="0"/>
        <color theme="1"/>
      </font>
      <fill>
        <patternFill>
          <bgColor theme="0"/>
        </patternFill>
      </fill>
    </dxf>
    <dxf>
      <fill>
        <patternFill>
          <bgColor theme="9" tint="0.39994506668294322"/>
        </patternFill>
      </fill>
    </dxf>
    <dxf>
      <fill>
        <patternFill>
          <bgColor theme="9" tint="0.39994506668294322"/>
        </patternFill>
      </fill>
    </dxf>
    <dxf>
      <font>
        <color rgb="FF0000FF"/>
      </font>
      <numFmt numFmtId="0" formatCode="General"/>
    </dxf>
    <dxf>
      <font>
        <color rgb="FF0000FF"/>
      </font>
      <numFmt numFmtId="0" formatCode="General"/>
    </dxf>
    <dxf>
      <font>
        <color rgb="FF0000FF"/>
      </font>
      <numFmt numFmtId="0" formatCode="General"/>
    </dxf>
    <dxf>
      <fill>
        <patternFill>
          <bgColor theme="9" tint="0.39994506668294322"/>
        </patternFill>
      </fill>
    </dxf>
    <dxf>
      <fill>
        <patternFill>
          <bgColor theme="9"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b val="0"/>
        <i val="0"/>
        <color auto="1"/>
      </font>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lor rgb="FF0000FF"/>
      </font>
      <numFmt numFmtId="0" formatCode="General"/>
    </dxf>
    <dxf>
      <font>
        <b/>
        <i val="0"/>
        <color rgb="FF0000FF"/>
      </font>
      <fill>
        <patternFill patternType="none">
          <bgColor auto="1"/>
        </patternFill>
      </fill>
    </dxf>
    <dxf>
      <font>
        <color rgb="FFFF0000"/>
      </font>
      <fill>
        <patternFill>
          <bgColor rgb="FFFFFF00"/>
        </patternFill>
      </fill>
    </dxf>
    <dxf>
      <fill>
        <patternFill>
          <bgColor theme="0" tint="-0.499984740745262"/>
        </patternFill>
      </fill>
    </dxf>
    <dxf>
      <fill>
        <patternFill>
          <bgColor theme="9" tint="0.39994506668294322"/>
        </patternFill>
      </fill>
    </dxf>
    <dxf>
      <fill>
        <patternFill>
          <bgColor theme="1" tint="0.1499679555650502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1" tint="0.2499465926084170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1" tint="0.14996795556505021"/>
        </patternFill>
      </fill>
    </dxf>
    <dxf>
      <fill>
        <patternFill>
          <bgColor theme="1" tint="0.1499679555650502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b/>
        <i val="0"/>
        <condense val="0"/>
        <extend val="0"/>
        <color indexed="1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1" tint="0.2499465926084170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1" tint="0.2499465926084170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b/>
        <i val="0"/>
        <color rgb="FFFF0000"/>
      </font>
      <fill>
        <patternFill>
          <bgColor rgb="FFFFFF00"/>
        </patternFill>
      </fill>
    </dxf>
    <dxf>
      <fill>
        <patternFill>
          <bgColor theme="9" tint="0.39994506668294322"/>
        </patternFill>
      </fill>
    </dxf>
    <dxf>
      <fill>
        <patternFill>
          <bgColor theme="9" tint="0.39994506668294322"/>
        </patternFill>
      </fill>
    </dxf>
    <dxf>
      <fill>
        <patternFill>
          <bgColor theme="1" tint="0.24994659260841701"/>
        </patternFill>
      </fill>
    </dxf>
    <dxf>
      <fill>
        <patternFill>
          <bgColor theme="9" tint="0.39994506668294322"/>
        </patternFill>
      </fill>
    </dxf>
    <dxf>
      <fill>
        <patternFill>
          <bgColor theme="1" tint="0.24994659260841701"/>
        </patternFill>
      </fill>
    </dxf>
    <dxf>
      <fill>
        <patternFill>
          <bgColor theme="9" tint="0.39994506668294322"/>
        </patternFill>
      </fill>
    </dxf>
    <dxf>
      <font>
        <b/>
        <i val="0"/>
        <color rgb="FFFF0000"/>
      </font>
      <fill>
        <patternFill>
          <bgColor rgb="FFFFFF00"/>
        </patternFill>
      </fill>
    </dxf>
    <dxf>
      <font>
        <color rgb="FF0000FF"/>
      </font>
      <numFmt numFmtId="0" formatCode="General"/>
    </dxf>
    <dxf>
      <font>
        <color rgb="FF0000FF"/>
      </font>
      <numFmt numFmtId="0" formatCode="General"/>
    </dxf>
    <dxf>
      <font>
        <color rgb="FF0000FF"/>
      </font>
      <numFmt numFmtId="0" formatCode="General"/>
    </dxf>
    <dxf>
      <font>
        <color rgb="FF0000FF"/>
      </font>
      <numFmt numFmtId="0" formatCode="General"/>
    </dxf>
    <dxf>
      <font>
        <color rgb="FFFF0000"/>
      </font>
      <fill>
        <patternFill>
          <bgColor rgb="FFFFFF00"/>
        </patternFill>
      </fill>
    </dxf>
    <dxf>
      <fill>
        <patternFill>
          <bgColor theme="1" tint="0.2499465926084170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1" tint="0.24994659260841701"/>
        </patternFill>
      </fill>
    </dxf>
    <dxf>
      <fill>
        <patternFill>
          <bgColor theme="9" tint="0.39994506668294322"/>
        </patternFill>
      </fill>
    </dxf>
    <dxf>
      <fill>
        <patternFill>
          <bgColor theme="9" tint="0.39994506668294322"/>
        </patternFill>
      </fill>
    </dxf>
    <dxf>
      <font>
        <color theme="1"/>
      </font>
      <fill>
        <patternFill>
          <bgColor theme="1" tint="0.24994659260841701"/>
        </patternFill>
      </fill>
    </dxf>
    <dxf>
      <fill>
        <patternFill>
          <bgColor theme="9" tint="0.39994506668294322"/>
        </patternFill>
      </fill>
    </dxf>
    <dxf>
      <fill>
        <patternFill>
          <bgColor theme="9" tint="0.39994506668294322"/>
        </patternFill>
      </fill>
    </dxf>
    <dxf>
      <fill>
        <patternFill>
          <bgColor theme="8" tint="0.39994506668294322"/>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ont>
        <color theme="1" tint="0.24994659260841701"/>
      </font>
    </dxf>
    <dxf>
      <fill>
        <patternFill>
          <bgColor theme="1" tint="0.24994659260841701"/>
        </patternFill>
      </fill>
    </dxf>
    <dxf>
      <fill>
        <patternFill>
          <bgColor theme="8" tint="0.39994506668294322"/>
        </patternFill>
      </fill>
    </dxf>
    <dxf>
      <fill>
        <patternFill>
          <bgColor theme="9" tint="0.39994506668294322"/>
        </patternFill>
      </fill>
    </dxf>
    <dxf>
      <fill>
        <patternFill>
          <bgColor theme="9" tint="0.39994506668294322"/>
        </patternFill>
      </fill>
    </dxf>
    <dxf>
      <fill>
        <patternFill>
          <bgColor theme="1" tint="0.2499465926084170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1" tint="0.2499465926084170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8" tint="0.39994506668294322"/>
        </patternFill>
      </fill>
    </dxf>
    <dxf>
      <fill>
        <patternFill>
          <bgColor theme="9" tint="0.39994506668294322"/>
        </patternFill>
      </fill>
    </dxf>
    <dxf>
      <fill>
        <patternFill>
          <bgColor theme="9" tint="0.39994506668294322"/>
        </patternFill>
      </fill>
    </dxf>
    <dxf>
      <fill>
        <patternFill>
          <bgColor theme="8" tint="0.39994506668294322"/>
        </patternFill>
      </fill>
    </dxf>
    <dxf>
      <fill>
        <patternFill>
          <bgColor theme="8" tint="0.39994506668294322"/>
        </patternFill>
      </fill>
    </dxf>
    <dxf>
      <fill>
        <patternFill>
          <bgColor theme="9" tint="0.39994506668294322"/>
        </patternFill>
      </fill>
    </dxf>
    <dxf>
      <font>
        <b/>
        <i val="0"/>
        <color rgb="FFFF0000"/>
      </font>
      <fill>
        <patternFill>
          <bgColor rgb="FFFFFF00"/>
        </patternFill>
      </fill>
    </dxf>
    <dxf>
      <fill>
        <patternFill>
          <bgColor theme="8" tint="0.39994506668294322"/>
        </patternFill>
      </fill>
    </dxf>
    <dxf>
      <fill>
        <patternFill>
          <bgColor theme="8" tint="0.39994506668294322"/>
        </patternFill>
      </fill>
    </dxf>
    <dxf>
      <fill>
        <patternFill>
          <bgColor theme="9" tint="0.39994506668294322"/>
        </patternFill>
      </fill>
    </dxf>
    <dxf>
      <fill>
        <patternFill>
          <bgColor theme="1" tint="0.24994659260841701"/>
        </patternFill>
      </fill>
    </dxf>
    <dxf>
      <fill>
        <patternFill>
          <bgColor theme="9" tint="0.39994506668294322"/>
        </patternFill>
      </fill>
    </dxf>
    <dxf>
      <fill>
        <patternFill>
          <bgColor theme="8" tint="0.39994506668294322"/>
        </patternFill>
      </fill>
    </dxf>
    <dxf>
      <fill>
        <patternFill>
          <bgColor theme="9" tint="0.39994506668294322"/>
        </patternFill>
      </fill>
    </dxf>
    <dxf>
      <fill>
        <patternFill>
          <bgColor theme="8" tint="0.39994506668294322"/>
        </patternFill>
      </fill>
    </dxf>
    <dxf>
      <fill>
        <patternFill>
          <bgColor theme="8" tint="0.39994506668294322"/>
        </patternFill>
      </fill>
    </dxf>
    <dxf>
      <fill>
        <patternFill>
          <bgColor theme="9" tint="0.39994506668294322"/>
        </patternFill>
      </fill>
    </dxf>
    <dxf>
      <fill>
        <patternFill>
          <bgColor rgb="FFFFFF0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lor theme="1"/>
      </font>
      <fill>
        <patternFill>
          <bgColor theme="1" tint="0.24994659260841701"/>
        </patternFill>
      </fill>
    </dxf>
    <dxf>
      <fill>
        <patternFill>
          <bgColor theme="8" tint="0.39994506668294322"/>
        </patternFill>
      </fill>
    </dxf>
    <dxf>
      <fill>
        <patternFill>
          <bgColor theme="9" tint="0.39994506668294322"/>
        </patternFill>
      </fill>
    </dxf>
    <dxf>
      <fill>
        <patternFill>
          <bgColor theme="9"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strike val="0"/>
      </font>
      <fill>
        <patternFill patternType="none">
          <fgColor indexed="64"/>
          <bgColor auto="1"/>
        </patternFill>
      </fill>
    </dxf>
    <dxf>
      <font>
        <strike val="0"/>
        <color rgb="FFFF0000"/>
      </font>
      <fill>
        <patternFill>
          <bgColor rgb="FFFFFF00"/>
        </patternFill>
      </fill>
    </dxf>
    <dxf>
      <font>
        <strike val="0"/>
        <color theme="1"/>
      </font>
      <fill>
        <patternFill>
          <bgColor theme="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b val="0"/>
        <i val="0"/>
        <color auto="1"/>
      </font>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b/>
        <i val="0"/>
        <color rgb="FF0000FF"/>
      </font>
      <fill>
        <patternFill patternType="none">
          <bgColor auto="1"/>
        </patternFill>
      </fill>
    </dxf>
    <dxf>
      <fill>
        <patternFill>
          <bgColor theme="0" tint="-0.49998474074526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1" tint="0.2499465926084170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1" tint="0.14996795556505021"/>
        </patternFill>
      </fill>
    </dxf>
    <dxf>
      <fill>
        <patternFill>
          <bgColor theme="1" tint="0.1499679555650502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b/>
        <i val="0"/>
        <condense val="0"/>
        <extend val="0"/>
        <color indexed="1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1" tint="0.2499465926084170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1" tint="0.2499465926084170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s>
  <tableStyles count="0" defaultTableStyle="TableStyleMedium2" defaultPivotStyle="PivotStyleLight16"/>
  <colors>
    <mruColors>
      <color rgb="FFFFCCFF"/>
      <color rgb="FFFFFFCC"/>
      <color rgb="FF99CCFF"/>
      <color rgb="FFFF6600"/>
      <color rgb="FFFF5050"/>
      <color rgb="FFFF66FF"/>
      <color rgb="FFFF99FF"/>
      <color rgb="FFFF00FF"/>
      <color rgb="FFCCFFCC"/>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Radio" checked="Checked" firstButton="1" fmlaLink="$AV$48" lockText="1"/>
</file>

<file path=xl/ctrlProps/ctrlProp10.xml><?xml version="1.0" encoding="utf-8"?>
<formControlPr xmlns="http://schemas.microsoft.com/office/spreadsheetml/2009/9/main" objectType="Radio" checked="Checked" lockText="1"/>
</file>

<file path=xl/ctrlProps/ctrlProp100.xml><?xml version="1.0" encoding="utf-8"?>
<formControlPr xmlns="http://schemas.microsoft.com/office/spreadsheetml/2009/9/main" objectType="CheckBox" checked="Checked" fmlaLink="$AV$75" lockText="1"/>
</file>

<file path=xl/ctrlProps/ctrlProp101.xml><?xml version="1.0" encoding="utf-8"?>
<formControlPr xmlns="http://schemas.microsoft.com/office/spreadsheetml/2009/9/main" objectType="CheckBox" checked="Checked" fmlaLink="$AV$78" lockText="1"/>
</file>

<file path=xl/ctrlProps/ctrlProp102.xml><?xml version="1.0" encoding="utf-8"?>
<formControlPr xmlns="http://schemas.microsoft.com/office/spreadsheetml/2009/9/main" objectType="GBox" noThreeD="1"/>
</file>

<file path=xl/ctrlProps/ctrlProp103.xml><?xml version="1.0" encoding="utf-8"?>
<formControlPr xmlns="http://schemas.microsoft.com/office/spreadsheetml/2009/9/main" objectType="Radio" checked="Checked" firstButton="1" lockText="1"/>
</file>

<file path=xl/ctrlProps/ctrlProp104.xml><?xml version="1.0" encoding="utf-8"?>
<formControlPr xmlns="http://schemas.microsoft.com/office/spreadsheetml/2009/9/main" objectType="Radio" lockText="1"/>
</file>

<file path=xl/ctrlProps/ctrlProp105.xml><?xml version="1.0" encoding="utf-8"?>
<formControlPr xmlns="http://schemas.microsoft.com/office/spreadsheetml/2009/9/main" objectType="GBox" noThreeD="1"/>
</file>

<file path=xl/ctrlProps/ctrlProp106.xml><?xml version="1.0" encoding="utf-8"?>
<formControlPr xmlns="http://schemas.microsoft.com/office/spreadsheetml/2009/9/main" objectType="Radio" checked="Checked" firstButton="1" fmlaLink="$AW$66" lockText="1"/>
</file>

<file path=xl/ctrlProps/ctrlProp107.xml><?xml version="1.0" encoding="utf-8"?>
<formControlPr xmlns="http://schemas.microsoft.com/office/spreadsheetml/2009/9/main" objectType="Radio" lockText="1"/>
</file>

<file path=xl/ctrlProps/ctrlProp108.xml><?xml version="1.0" encoding="utf-8"?>
<formControlPr xmlns="http://schemas.microsoft.com/office/spreadsheetml/2009/9/main" objectType="GBox" noThreeD="1"/>
</file>

<file path=xl/ctrlProps/ctrlProp109.xml><?xml version="1.0" encoding="utf-8"?>
<formControlPr xmlns="http://schemas.microsoft.com/office/spreadsheetml/2009/9/main" objectType="GBox" noThreeD="1"/>
</file>

<file path=xl/ctrlProps/ctrlProp11.xml><?xml version="1.0" encoding="utf-8"?>
<formControlPr xmlns="http://schemas.microsoft.com/office/spreadsheetml/2009/9/main" objectType="Radio" lockText="1"/>
</file>

<file path=xl/ctrlProps/ctrlProp110.xml><?xml version="1.0" encoding="utf-8"?>
<formControlPr xmlns="http://schemas.microsoft.com/office/spreadsheetml/2009/9/main" objectType="Radio" checked="Checked" firstButton="1" fmlaLink="$AV$82" lockText="1"/>
</file>

<file path=xl/ctrlProps/ctrlProp111.xml><?xml version="1.0" encoding="utf-8"?>
<formControlPr xmlns="http://schemas.microsoft.com/office/spreadsheetml/2009/9/main" objectType="Radio" lockText="1"/>
</file>

<file path=xl/ctrlProps/ctrlProp112.xml><?xml version="1.0" encoding="utf-8"?>
<formControlPr xmlns="http://schemas.microsoft.com/office/spreadsheetml/2009/9/main" objectType="GBox" noThreeD="1"/>
</file>

<file path=xl/ctrlProps/ctrlProp113.xml><?xml version="1.0" encoding="utf-8"?>
<formControlPr xmlns="http://schemas.microsoft.com/office/spreadsheetml/2009/9/main" objectType="GBox" noThreeD="1"/>
</file>

<file path=xl/ctrlProps/ctrlProp114.xml><?xml version="1.0" encoding="utf-8"?>
<formControlPr xmlns="http://schemas.microsoft.com/office/spreadsheetml/2009/9/main" objectType="Radio" firstButton="1" fmlaLink="$AV$154" lockText="1"/>
</file>

<file path=xl/ctrlProps/ctrlProp115.xml><?xml version="1.0" encoding="utf-8"?>
<formControlPr xmlns="http://schemas.microsoft.com/office/spreadsheetml/2009/9/main" objectType="Radio" checked="Checked" lockText="1"/>
</file>

<file path=xl/ctrlProps/ctrlProp116.xml><?xml version="1.0" encoding="utf-8"?>
<formControlPr xmlns="http://schemas.microsoft.com/office/spreadsheetml/2009/9/main" objectType="GBox" noThreeD="1"/>
</file>

<file path=xl/ctrlProps/ctrlProp117.xml><?xml version="1.0" encoding="utf-8"?>
<formControlPr xmlns="http://schemas.microsoft.com/office/spreadsheetml/2009/9/main" objectType="Radio" checked="Checked" firstButton="1" fmlaLink="$AV$156" lockText="1"/>
</file>

<file path=xl/ctrlProps/ctrlProp118.xml><?xml version="1.0" encoding="utf-8"?>
<formControlPr xmlns="http://schemas.microsoft.com/office/spreadsheetml/2009/9/main" objectType="Radio" lockText="1"/>
</file>

<file path=xl/ctrlProps/ctrlProp119.xml><?xml version="1.0" encoding="utf-8"?>
<formControlPr xmlns="http://schemas.microsoft.com/office/spreadsheetml/2009/9/main" objectType="GBox" noThreeD="1"/>
</file>

<file path=xl/ctrlProps/ctrlProp12.xml><?xml version="1.0" encoding="utf-8"?>
<formControlPr xmlns="http://schemas.microsoft.com/office/spreadsheetml/2009/9/main" objectType="Radio" lockText="1"/>
</file>

<file path=xl/ctrlProps/ctrlProp120.xml><?xml version="1.0" encoding="utf-8"?>
<formControlPr xmlns="http://schemas.microsoft.com/office/spreadsheetml/2009/9/main" objectType="Radio" firstButton="1" fmlaLink="$AW$156" lockText="1"/>
</file>

<file path=xl/ctrlProps/ctrlProp121.xml><?xml version="1.0" encoding="utf-8"?>
<formControlPr xmlns="http://schemas.microsoft.com/office/spreadsheetml/2009/9/main" objectType="Radio" checked="Checked" lockText="1"/>
</file>

<file path=xl/ctrlProps/ctrlProp122.xml><?xml version="1.0" encoding="utf-8"?>
<formControlPr xmlns="http://schemas.microsoft.com/office/spreadsheetml/2009/9/main" objectType="GBox" noThreeD="1"/>
</file>

<file path=xl/ctrlProps/ctrlProp123.xml><?xml version="1.0" encoding="utf-8"?>
<formControlPr xmlns="http://schemas.microsoft.com/office/spreadsheetml/2009/9/main" objectType="Radio" checked="Checked" firstButton="1" fmlaLink="$AV$157" lockText="1"/>
</file>

<file path=xl/ctrlProps/ctrlProp124.xml><?xml version="1.0" encoding="utf-8"?>
<formControlPr xmlns="http://schemas.microsoft.com/office/spreadsheetml/2009/9/main" objectType="Radio" lockText="1"/>
</file>

<file path=xl/ctrlProps/ctrlProp125.xml><?xml version="1.0" encoding="utf-8"?>
<formControlPr xmlns="http://schemas.microsoft.com/office/spreadsheetml/2009/9/main" objectType="GBox" noThreeD="1"/>
</file>

<file path=xl/ctrlProps/ctrlProp126.xml><?xml version="1.0" encoding="utf-8"?>
<formControlPr xmlns="http://schemas.microsoft.com/office/spreadsheetml/2009/9/main" objectType="GBox" noThreeD="1"/>
</file>

<file path=xl/ctrlProps/ctrlProp127.xml><?xml version="1.0" encoding="utf-8"?>
<formControlPr xmlns="http://schemas.microsoft.com/office/spreadsheetml/2009/9/main" objectType="GBox" noThreeD="1"/>
</file>

<file path=xl/ctrlProps/ctrlProp128.xml><?xml version="1.0" encoding="utf-8"?>
<formControlPr xmlns="http://schemas.microsoft.com/office/spreadsheetml/2009/9/main" objectType="GBox" noThreeD="1"/>
</file>

<file path=xl/ctrlProps/ctrlProp129.xml><?xml version="1.0" encoding="utf-8"?>
<formControlPr xmlns="http://schemas.microsoft.com/office/spreadsheetml/2009/9/main" objectType="GBox" noThreeD="1"/>
</file>

<file path=xl/ctrlProps/ctrlProp13.xml><?xml version="1.0" encoding="utf-8"?>
<formControlPr xmlns="http://schemas.microsoft.com/office/spreadsheetml/2009/9/main" objectType="GBox" noThreeD="1"/>
</file>

<file path=xl/ctrlProps/ctrlProp130.xml><?xml version="1.0" encoding="utf-8"?>
<formControlPr xmlns="http://schemas.microsoft.com/office/spreadsheetml/2009/9/main" objectType="Radio" checked="Checked" firstButton="1" fmlaLink="$AV$158" lockText="1"/>
</file>

<file path=xl/ctrlProps/ctrlProp131.xml><?xml version="1.0" encoding="utf-8"?>
<formControlPr xmlns="http://schemas.microsoft.com/office/spreadsheetml/2009/9/main" objectType="Radio" lockText="1"/>
</file>

<file path=xl/ctrlProps/ctrlProp132.xml><?xml version="1.0" encoding="utf-8"?>
<formControlPr xmlns="http://schemas.microsoft.com/office/spreadsheetml/2009/9/main" objectType="Radio" lockText="1"/>
</file>

<file path=xl/ctrlProps/ctrlProp133.xml><?xml version="1.0" encoding="utf-8"?>
<formControlPr xmlns="http://schemas.microsoft.com/office/spreadsheetml/2009/9/main" objectType="GBox" noThreeD="1"/>
</file>

<file path=xl/ctrlProps/ctrlProp134.xml><?xml version="1.0" encoding="utf-8"?>
<formControlPr xmlns="http://schemas.microsoft.com/office/spreadsheetml/2009/9/main" objectType="GBox" noThreeD="1"/>
</file>

<file path=xl/ctrlProps/ctrlProp135.xml><?xml version="1.0" encoding="utf-8"?>
<formControlPr xmlns="http://schemas.microsoft.com/office/spreadsheetml/2009/9/main" objectType="Radio" firstButton="1" fmlaLink="$AV$160" lockText="1"/>
</file>

<file path=xl/ctrlProps/ctrlProp136.xml><?xml version="1.0" encoding="utf-8"?>
<formControlPr xmlns="http://schemas.microsoft.com/office/spreadsheetml/2009/9/main" objectType="Radio" checked="Checked" lockText="1"/>
</file>

<file path=xl/ctrlProps/ctrlProp137.xml><?xml version="1.0" encoding="utf-8"?>
<formControlPr xmlns="http://schemas.microsoft.com/office/spreadsheetml/2009/9/main" objectType="Radio" lockText="1"/>
</file>

<file path=xl/ctrlProps/ctrlProp138.xml><?xml version="1.0" encoding="utf-8"?>
<formControlPr xmlns="http://schemas.microsoft.com/office/spreadsheetml/2009/9/main" objectType="CheckBox" checked="Checked" fmlaLink="$AV$60" lockText="1"/>
</file>

<file path=xl/ctrlProps/ctrlProp139.xml><?xml version="1.0" encoding="utf-8"?>
<formControlPr xmlns="http://schemas.microsoft.com/office/spreadsheetml/2009/9/main" objectType="CheckBox" checked="Checked" fmlaLink="$AV$64" lockText="1"/>
</file>

<file path=xl/ctrlProps/ctrlProp14.xml><?xml version="1.0" encoding="utf-8"?>
<formControlPr xmlns="http://schemas.microsoft.com/office/spreadsheetml/2009/9/main" objectType="CheckBox" fmlaLink="$AV$91" lockText="1"/>
</file>

<file path=xl/ctrlProps/ctrlProp140.xml><?xml version="1.0" encoding="utf-8"?>
<formControlPr xmlns="http://schemas.microsoft.com/office/spreadsheetml/2009/9/main" objectType="GBox" noThreeD="1"/>
</file>

<file path=xl/ctrlProps/ctrlProp141.xml><?xml version="1.0" encoding="utf-8"?>
<formControlPr xmlns="http://schemas.microsoft.com/office/spreadsheetml/2009/9/main" objectType="Radio" checked="Checked" firstButton="1" fmlaLink="$AV$63" lockText="1"/>
</file>

<file path=xl/ctrlProps/ctrlProp142.xml><?xml version="1.0" encoding="utf-8"?>
<formControlPr xmlns="http://schemas.microsoft.com/office/spreadsheetml/2009/9/main" objectType="Radio" lockText="1"/>
</file>

<file path=xl/ctrlProps/ctrlProp143.xml><?xml version="1.0" encoding="utf-8"?>
<formControlPr xmlns="http://schemas.microsoft.com/office/spreadsheetml/2009/9/main" objectType="GBox" noThreeD="1"/>
</file>

<file path=xl/ctrlProps/ctrlProp144.xml><?xml version="1.0" encoding="utf-8"?>
<formControlPr xmlns="http://schemas.microsoft.com/office/spreadsheetml/2009/9/main" objectType="GBox" noThreeD="1"/>
</file>

<file path=xl/ctrlProps/ctrlProp145.xml><?xml version="1.0" encoding="utf-8"?>
<formControlPr xmlns="http://schemas.microsoft.com/office/spreadsheetml/2009/9/main" objectType="Radio" firstButton="1" fmlaLink="$AV$84" lockText="1"/>
</file>

<file path=xl/ctrlProps/ctrlProp146.xml><?xml version="1.0" encoding="utf-8"?>
<formControlPr xmlns="http://schemas.microsoft.com/office/spreadsheetml/2009/9/main" objectType="Radio" checked="Checked" lockText="1"/>
</file>

<file path=xl/ctrlProps/ctrlProp147.xml><?xml version="1.0" encoding="utf-8"?>
<formControlPr xmlns="http://schemas.microsoft.com/office/spreadsheetml/2009/9/main" objectType="Radio" lockText="1"/>
</file>

<file path=xl/ctrlProps/ctrlProp148.xml><?xml version="1.0" encoding="utf-8"?>
<formControlPr xmlns="http://schemas.microsoft.com/office/spreadsheetml/2009/9/main" objectType="GBox" noThreeD="1"/>
</file>

<file path=xl/ctrlProps/ctrlProp149.xml><?xml version="1.0" encoding="utf-8"?>
<formControlPr xmlns="http://schemas.microsoft.com/office/spreadsheetml/2009/9/main" objectType="Radio" checked="Checked" firstButton="1" fmlaLink="$AV$87" lockText="1"/>
</file>

<file path=xl/ctrlProps/ctrlProp15.xml><?xml version="1.0" encoding="utf-8"?>
<formControlPr xmlns="http://schemas.microsoft.com/office/spreadsheetml/2009/9/main" objectType="CheckBox" checked="Checked" fmlaLink="$BA$91" lockText="1"/>
</file>

<file path=xl/ctrlProps/ctrlProp150.xml><?xml version="1.0" encoding="utf-8"?>
<formControlPr xmlns="http://schemas.microsoft.com/office/spreadsheetml/2009/9/main" objectType="Radio" lockText="1"/>
</file>

<file path=xl/ctrlProps/ctrlProp151.xml><?xml version="1.0" encoding="utf-8"?>
<formControlPr xmlns="http://schemas.microsoft.com/office/spreadsheetml/2009/9/main" objectType="CheckBox" checked="Checked" fmlaLink="$AV$175" lockText="1"/>
</file>

<file path=xl/ctrlProps/ctrlProp152.xml><?xml version="1.0" encoding="utf-8"?>
<formControlPr xmlns="http://schemas.microsoft.com/office/spreadsheetml/2009/9/main" objectType="CheckBox" checked="Checked" fmlaLink="$AV$78" lockText="1"/>
</file>

<file path=xl/ctrlProps/ctrlProp153.xml><?xml version="1.0" encoding="utf-8"?>
<formControlPr xmlns="http://schemas.microsoft.com/office/spreadsheetml/2009/9/main" objectType="GBox" noThreeD="1"/>
</file>

<file path=xl/ctrlProps/ctrlProp154.xml><?xml version="1.0" encoding="utf-8"?>
<formControlPr xmlns="http://schemas.microsoft.com/office/spreadsheetml/2009/9/main" objectType="CheckBox" checked="Checked" fmlaLink="$AV$80" lockText="1"/>
</file>

<file path=xl/ctrlProps/ctrlProp155.xml><?xml version="1.0" encoding="utf-8"?>
<formControlPr xmlns="http://schemas.microsoft.com/office/spreadsheetml/2009/9/main" objectType="GBox" noThreeD="1"/>
</file>

<file path=xl/ctrlProps/ctrlProp156.xml><?xml version="1.0" encoding="utf-8"?>
<formControlPr xmlns="http://schemas.microsoft.com/office/spreadsheetml/2009/9/main" objectType="Radio" checked="Checked" firstButton="1" fmlaLink="$BA$79" lockText="1"/>
</file>

<file path=xl/ctrlProps/ctrlProp157.xml><?xml version="1.0" encoding="utf-8"?>
<formControlPr xmlns="http://schemas.microsoft.com/office/spreadsheetml/2009/9/main" objectType="Radio" lockText="1"/>
</file>

<file path=xl/ctrlProps/ctrlProp158.xml><?xml version="1.0" encoding="utf-8"?>
<formControlPr xmlns="http://schemas.microsoft.com/office/spreadsheetml/2009/9/main" objectType="CheckBox" fmlaLink="$AV$89" lockText="1"/>
</file>

<file path=xl/ctrlProps/ctrlProp159.xml><?xml version="1.0" encoding="utf-8"?>
<formControlPr xmlns="http://schemas.microsoft.com/office/spreadsheetml/2009/9/main" objectType="GBox" noThreeD="1"/>
</file>

<file path=xl/ctrlProps/ctrlProp16.xml><?xml version="1.0" encoding="utf-8"?>
<formControlPr xmlns="http://schemas.microsoft.com/office/spreadsheetml/2009/9/main" objectType="CheckBox" fmlaLink="$BC$91" lockText="1"/>
</file>

<file path=xl/ctrlProps/ctrlProp160.xml><?xml version="1.0" encoding="utf-8"?>
<formControlPr xmlns="http://schemas.microsoft.com/office/spreadsheetml/2009/9/main" objectType="Radio" firstButton="1" fmlaLink="$AV$159" lockText="1"/>
</file>

<file path=xl/ctrlProps/ctrlProp161.xml><?xml version="1.0" encoding="utf-8"?>
<formControlPr xmlns="http://schemas.microsoft.com/office/spreadsheetml/2009/9/main" objectType="Radio" checked="Checked" lockText="1"/>
</file>

<file path=xl/ctrlProps/ctrlProp162.xml><?xml version="1.0" encoding="utf-8"?>
<formControlPr xmlns="http://schemas.microsoft.com/office/spreadsheetml/2009/9/main" objectType="Radio" firstButton="1" fmlaLink="$G$5" lockText="1"/>
</file>

<file path=xl/ctrlProps/ctrlProp163.xml><?xml version="1.0" encoding="utf-8"?>
<formControlPr xmlns="http://schemas.microsoft.com/office/spreadsheetml/2009/9/main" objectType="Radio" lockText="1"/>
</file>

<file path=xl/ctrlProps/ctrlProp164.xml><?xml version="1.0" encoding="utf-8"?>
<formControlPr xmlns="http://schemas.microsoft.com/office/spreadsheetml/2009/9/main" objectType="Radio" lockText="1"/>
</file>

<file path=xl/ctrlProps/ctrlProp165.xml><?xml version="1.0" encoding="utf-8"?>
<formControlPr xmlns="http://schemas.microsoft.com/office/spreadsheetml/2009/9/main" objectType="Radio" lockText="1"/>
</file>

<file path=xl/ctrlProps/ctrlProp166.xml><?xml version="1.0" encoding="utf-8"?>
<formControlPr xmlns="http://schemas.microsoft.com/office/spreadsheetml/2009/9/main" objectType="Radio" lockText="1"/>
</file>

<file path=xl/ctrlProps/ctrlProp167.xml><?xml version="1.0" encoding="utf-8"?>
<formControlPr xmlns="http://schemas.microsoft.com/office/spreadsheetml/2009/9/main" objectType="Radio" lockText="1"/>
</file>

<file path=xl/ctrlProps/ctrlProp168.xml><?xml version="1.0" encoding="utf-8"?>
<formControlPr xmlns="http://schemas.microsoft.com/office/spreadsheetml/2009/9/main" objectType="Radio" lockText="1"/>
</file>

<file path=xl/ctrlProps/ctrlProp169.xml><?xml version="1.0" encoding="utf-8"?>
<formControlPr xmlns="http://schemas.microsoft.com/office/spreadsheetml/2009/9/main" objectType="Radio" lockText="1"/>
</file>

<file path=xl/ctrlProps/ctrlProp17.xml><?xml version="1.0" encoding="utf-8"?>
<formControlPr xmlns="http://schemas.microsoft.com/office/spreadsheetml/2009/9/main" objectType="CheckBox" fmlaLink="$AY$91" lockText="1"/>
</file>

<file path=xl/ctrlProps/ctrlProp170.xml><?xml version="1.0" encoding="utf-8"?>
<formControlPr xmlns="http://schemas.microsoft.com/office/spreadsheetml/2009/9/main" objectType="Radio" lockText="1"/>
</file>

<file path=xl/ctrlProps/ctrlProp171.xml><?xml version="1.0" encoding="utf-8"?>
<formControlPr xmlns="http://schemas.microsoft.com/office/spreadsheetml/2009/9/main" objectType="Radio" lockText="1"/>
</file>

<file path=xl/ctrlProps/ctrlProp172.xml><?xml version="1.0" encoding="utf-8"?>
<formControlPr xmlns="http://schemas.microsoft.com/office/spreadsheetml/2009/9/main" objectType="Radio" lockText="1"/>
</file>

<file path=xl/ctrlProps/ctrlProp173.xml><?xml version="1.0" encoding="utf-8"?>
<formControlPr xmlns="http://schemas.microsoft.com/office/spreadsheetml/2009/9/main" objectType="Radio" lockText="1"/>
</file>

<file path=xl/ctrlProps/ctrlProp174.xml><?xml version="1.0" encoding="utf-8"?>
<formControlPr xmlns="http://schemas.microsoft.com/office/spreadsheetml/2009/9/main" objectType="Radio" lockText="1"/>
</file>

<file path=xl/ctrlProps/ctrlProp175.xml><?xml version="1.0" encoding="utf-8"?>
<formControlPr xmlns="http://schemas.microsoft.com/office/spreadsheetml/2009/9/main" objectType="Radio" lockText="1"/>
</file>

<file path=xl/ctrlProps/ctrlProp176.xml><?xml version="1.0" encoding="utf-8"?>
<formControlPr xmlns="http://schemas.microsoft.com/office/spreadsheetml/2009/9/main" objectType="Radio" lockText="1"/>
</file>

<file path=xl/ctrlProps/ctrlProp177.xml><?xml version="1.0" encoding="utf-8"?>
<formControlPr xmlns="http://schemas.microsoft.com/office/spreadsheetml/2009/9/main" objectType="Radio" lockText="1"/>
</file>

<file path=xl/ctrlProps/ctrlProp178.xml><?xml version="1.0" encoding="utf-8"?>
<formControlPr xmlns="http://schemas.microsoft.com/office/spreadsheetml/2009/9/main" objectType="Radio" lockText="1"/>
</file>

<file path=xl/ctrlProps/ctrlProp179.xml><?xml version="1.0" encoding="utf-8"?>
<formControlPr xmlns="http://schemas.microsoft.com/office/spreadsheetml/2009/9/main" objectType="Radio" lockText="1"/>
</file>

<file path=xl/ctrlProps/ctrlProp18.xml><?xml version="1.0" encoding="utf-8"?>
<formControlPr xmlns="http://schemas.microsoft.com/office/spreadsheetml/2009/9/main" objectType="Radio" checked="Checked" firstButton="1" fmlaLink="$AV$104" lockText="1"/>
</file>

<file path=xl/ctrlProps/ctrlProp180.xml><?xml version="1.0" encoding="utf-8"?>
<formControlPr xmlns="http://schemas.microsoft.com/office/spreadsheetml/2009/9/main" objectType="Radio" lockText="1"/>
</file>

<file path=xl/ctrlProps/ctrlProp181.xml><?xml version="1.0" encoding="utf-8"?>
<formControlPr xmlns="http://schemas.microsoft.com/office/spreadsheetml/2009/9/main" objectType="Radio" lockText="1"/>
</file>

<file path=xl/ctrlProps/ctrlProp182.xml><?xml version="1.0" encoding="utf-8"?>
<formControlPr xmlns="http://schemas.microsoft.com/office/spreadsheetml/2009/9/main" objectType="Radio" lockText="1"/>
</file>

<file path=xl/ctrlProps/ctrlProp183.xml><?xml version="1.0" encoding="utf-8"?>
<formControlPr xmlns="http://schemas.microsoft.com/office/spreadsheetml/2009/9/main" objectType="Radio" lockText="1"/>
</file>

<file path=xl/ctrlProps/ctrlProp184.xml><?xml version="1.0" encoding="utf-8"?>
<formControlPr xmlns="http://schemas.microsoft.com/office/spreadsheetml/2009/9/main" objectType="Radio" lockText="1"/>
</file>

<file path=xl/ctrlProps/ctrlProp185.xml><?xml version="1.0" encoding="utf-8"?>
<formControlPr xmlns="http://schemas.microsoft.com/office/spreadsheetml/2009/9/main" objectType="Radio" lockText="1"/>
</file>

<file path=xl/ctrlProps/ctrlProp186.xml><?xml version="1.0" encoding="utf-8"?>
<formControlPr xmlns="http://schemas.microsoft.com/office/spreadsheetml/2009/9/main" objectType="Radio" lockText="1"/>
</file>

<file path=xl/ctrlProps/ctrlProp187.xml><?xml version="1.0" encoding="utf-8"?>
<formControlPr xmlns="http://schemas.microsoft.com/office/spreadsheetml/2009/9/main" objectType="Radio" lockText="1"/>
</file>

<file path=xl/ctrlProps/ctrlProp188.xml><?xml version="1.0" encoding="utf-8"?>
<formControlPr xmlns="http://schemas.microsoft.com/office/spreadsheetml/2009/9/main" objectType="Radio" lockText="1"/>
</file>

<file path=xl/ctrlProps/ctrlProp189.xml><?xml version="1.0" encoding="utf-8"?>
<formControlPr xmlns="http://schemas.microsoft.com/office/spreadsheetml/2009/9/main" objectType="Radio" checked="Checked" lockText="1"/>
</file>

<file path=xl/ctrlProps/ctrlProp19.xml><?xml version="1.0" encoding="utf-8"?>
<formControlPr xmlns="http://schemas.microsoft.com/office/spreadsheetml/2009/9/main" objectType="Radio" lockText="1"/>
</file>

<file path=xl/ctrlProps/ctrlProp190.xml><?xml version="1.0" encoding="utf-8"?>
<formControlPr xmlns="http://schemas.microsoft.com/office/spreadsheetml/2009/9/main" objectType="Radio" lockText="1"/>
</file>

<file path=xl/ctrlProps/ctrlProp191.xml><?xml version="1.0" encoding="utf-8"?>
<formControlPr xmlns="http://schemas.microsoft.com/office/spreadsheetml/2009/9/main" objectType="Radio" lockText="1"/>
</file>

<file path=xl/ctrlProps/ctrlProp192.xml><?xml version="1.0" encoding="utf-8"?>
<formControlPr xmlns="http://schemas.microsoft.com/office/spreadsheetml/2009/9/main" objectType="Radio" lockText="1"/>
</file>

<file path=xl/ctrlProps/ctrlProp193.xml><?xml version="1.0" encoding="utf-8"?>
<formControlPr xmlns="http://schemas.microsoft.com/office/spreadsheetml/2009/9/main" objectType="Radio" lockText="1"/>
</file>

<file path=xl/ctrlProps/ctrlProp194.xml><?xml version="1.0" encoding="utf-8"?>
<formControlPr xmlns="http://schemas.microsoft.com/office/spreadsheetml/2009/9/main" objectType="Radio" lockText="1"/>
</file>

<file path=xl/ctrlProps/ctrlProp195.xml><?xml version="1.0" encoding="utf-8"?>
<formControlPr xmlns="http://schemas.microsoft.com/office/spreadsheetml/2009/9/main" objectType="Radio" lockText="1"/>
</file>

<file path=xl/ctrlProps/ctrlProp196.xml><?xml version="1.0" encoding="utf-8"?>
<formControlPr xmlns="http://schemas.microsoft.com/office/spreadsheetml/2009/9/main" objectType="Radio" lockText="1"/>
</file>

<file path=xl/ctrlProps/ctrlProp197.xml><?xml version="1.0" encoding="utf-8"?>
<formControlPr xmlns="http://schemas.microsoft.com/office/spreadsheetml/2009/9/main" objectType="Radio" lockText="1"/>
</file>

<file path=xl/ctrlProps/ctrlProp198.xml><?xml version="1.0" encoding="utf-8"?>
<formControlPr xmlns="http://schemas.microsoft.com/office/spreadsheetml/2009/9/main" objectType="Radio" lockText="1"/>
</file>

<file path=xl/ctrlProps/ctrlProp199.xml><?xml version="1.0" encoding="utf-8"?>
<formControlPr xmlns="http://schemas.microsoft.com/office/spreadsheetml/2009/9/main" objectType="Radio" lockText="1"/>
</file>

<file path=xl/ctrlProps/ctrlProp2.xml><?xml version="1.0" encoding="utf-8"?>
<formControlPr xmlns="http://schemas.microsoft.com/office/spreadsheetml/2009/9/main" objectType="Radio" lockText="1"/>
</file>

<file path=xl/ctrlProps/ctrlProp20.xml><?xml version="1.0" encoding="utf-8"?>
<formControlPr xmlns="http://schemas.microsoft.com/office/spreadsheetml/2009/9/main" objectType="Radio" lockText="1"/>
</file>

<file path=xl/ctrlProps/ctrlProp200.xml><?xml version="1.0" encoding="utf-8"?>
<formControlPr xmlns="http://schemas.microsoft.com/office/spreadsheetml/2009/9/main" objectType="Radio" lockText="1"/>
</file>

<file path=xl/ctrlProps/ctrlProp201.xml><?xml version="1.0" encoding="utf-8"?>
<formControlPr xmlns="http://schemas.microsoft.com/office/spreadsheetml/2009/9/main" objectType="Radio" lockText="1"/>
</file>

<file path=xl/ctrlProps/ctrlProp202.xml><?xml version="1.0" encoding="utf-8"?>
<formControlPr xmlns="http://schemas.microsoft.com/office/spreadsheetml/2009/9/main" objectType="Radio" lockText="1"/>
</file>

<file path=xl/ctrlProps/ctrlProp203.xml><?xml version="1.0" encoding="utf-8"?>
<formControlPr xmlns="http://schemas.microsoft.com/office/spreadsheetml/2009/9/main" objectType="Radio" lockText="1"/>
</file>

<file path=xl/ctrlProps/ctrlProp204.xml><?xml version="1.0" encoding="utf-8"?>
<formControlPr xmlns="http://schemas.microsoft.com/office/spreadsheetml/2009/9/main" objectType="Radio" lockText="1"/>
</file>

<file path=xl/ctrlProps/ctrlProp205.xml><?xml version="1.0" encoding="utf-8"?>
<formControlPr xmlns="http://schemas.microsoft.com/office/spreadsheetml/2009/9/main" objectType="Radio" lockText="1"/>
</file>

<file path=xl/ctrlProps/ctrlProp206.xml><?xml version="1.0" encoding="utf-8"?>
<formControlPr xmlns="http://schemas.microsoft.com/office/spreadsheetml/2009/9/main" objectType="Radio" lockText="1"/>
</file>

<file path=xl/ctrlProps/ctrlProp207.xml><?xml version="1.0" encoding="utf-8"?>
<formControlPr xmlns="http://schemas.microsoft.com/office/spreadsheetml/2009/9/main" objectType="Radio" lockText="1"/>
</file>

<file path=xl/ctrlProps/ctrlProp208.xml><?xml version="1.0" encoding="utf-8"?>
<formControlPr xmlns="http://schemas.microsoft.com/office/spreadsheetml/2009/9/main" objectType="Radio" lockText="1"/>
</file>

<file path=xl/ctrlProps/ctrlProp209.xml><?xml version="1.0" encoding="utf-8"?>
<formControlPr xmlns="http://schemas.microsoft.com/office/spreadsheetml/2009/9/main" objectType="Radio" lockText="1"/>
</file>

<file path=xl/ctrlProps/ctrlProp21.xml><?xml version="1.0" encoding="utf-8"?>
<formControlPr xmlns="http://schemas.microsoft.com/office/spreadsheetml/2009/9/main" objectType="Radio" lockText="1"/>
</file>

<file path=xl/ctrlProps/ctrlProp210.xml><?xml version="1.0" encoding="utf-8"?>
<formControlPr xmlns="http://schemas.microsoft.com/office/spreadsheetml/2009/9/main" objectType="Radio" lockText="1"/>
</file>

<file path=xl/ctrlProps/ctrlProp211.xml><?xml version="1.0" encoding="utf-8"?>
<formControlPr xmlns="http://schemas.microsoft.com/office/spreadsheetml/2009/9/main" objectType="Radio" lockText="1"/>
</file>

<file path=xl/ctrlProps/ctrlProp212.xml><?xml version="1.0" encoding="utf-8"?>
<formControlPr xmlns="http://schemas.microsoft.com/office/spreadsheetml/2009/9/main" objectType="Radio" lockText="1"/>
</file>

<file path=xl/ctrlProps/ctrlProp213.xml><?xml version="1.0" encoding="utf-8"?>
<formControlPr xmlns="http://schemas.microsoft.com/office/spreadsheetml/2009/9/main" objectType="Radio" lockText="1"/>
</file>

<file path=xl/ctrlProps/ctrlProp214.xml><?xml version="1.0" encoding="utf-8"?>
<formControlPr xmlns="http://schemas.microsoft.com/office/spreadsheetml/2009/9/main" objectType="Radio" lockText="1"/>
</file>

<file path=xl/ctrlProps/ctrlProp215.xml><?xml version="1.0" encoding="utf-8"?>
<formControlPr xmlns="http://schemas.microsoft.com/office/spreadsheetml/2009/9/main" objectType="Radio" lockText="1"/>
</file>

<file path=xl/ctrlProps/ctrlProp216.xml><?xml version="1.0" encoding="utf-8"?>
<formControlPr xmlns="http://schemas.microsoft.com/office/spreadsheetml/2009/9/main" objectType="Radio" lockText="1"/>
</file>

<file path=xl/ctrlProps/ctrlProp217.xml><?xml version="1.0" encoding="utf-8"?>
<formControlPr xmlns="http://schemas.microsoft.com/office/spreadsheetml/2009/9/main" objectType="Radio" lockText="1"/>
</file>

<file path=xl/ctrlProps/ctrlProp218.xml><?xml version="1.0" encoding="utf-8"?>
<formControlPr xmlns="http://schemas.microsoft.com/office/spreadsheetml/2009/9/main" objectType="Radio" lockText="1"/>
</file>

<file path=xl/ctrlProps/ctrlProp219.xml><?xml version="1.0" encoding="utf-8"?>
<formControlPr xmlns="http://schemas.microsoft.com/office/spreadsheetml/2009/9/main" objectType="Radio" lockText="1"/>
</file>

<file path=xl/ctrlProps/ctrlProp22.xml><?xml version="1.0" encoding="utf-8"?>
<formControlPr xmlns="http://schemas.microsoft.com/office/spreadsheetml/2009/9/main" objectType="Radio" lockText="1"/>
</file>

<file path=xl/ctrlProps/ctrlProp220.xml><?xml version="1.0" encoding="utf-8"?>
<formControlPr xmlns="http://schemas.microsoft.com/office/spreadsheetml/2009/9/main" objectType="Radio" lockText="1"/>
</file>

<file path=xl/ctrlProps/ctrlProp221.xml><?xml version="1.0" encoding="utf-8"?>
<formControlPr xmlns="http://schemas.microsoft.com/office/spreadsheetml/2009/9/main" objectType="Radio" lockText="1"/>
</file>

<file path=xl/ctrlProps/ctrlProp222.xml><?xml version="1.0" encoding="utf-8"?>
<formControlPr xmlns="http://schemas.microsoft.com/office/spreadsheetml/2009/9/main" objectType="Radio" lockText="1"/>
</file>

<file path=xl/ctrlProps/ctrlProp223.xml><?xml version="1.0" encoding="utf-8"?>
<formControlPr xmlns="http://schemas.microsoft.com/office/spreadsheetml/2009/9/main" objectType="Radio" lockText="1"/>
</file>

<file path=xl/ctrlProps/ctrlProp224.xml><?xml version="1.0" encoding="utf-8"?>
<formControlPr xmlns="http://schemas.microsoft.com/office/spreadsheetml/2009/9/main" objectType="Radio" lockText="1"/>
</file>

<file path=xl/ctrlProps/ctrlProp225.xml><?xml version="1.0" encoding="utf-8"?>
<formControlPr xmlns="http://schemas.microsoft.com/office/spreadsheetml/2009/9/main" objectType="Radio" lockText="1"/>
</file>

<file path=xl/ctrlProps/ctrlProp226.xml><?xml version="1.0" encoding="utf-8"?>
<formControlPr xmlns="http://schemas.microsoft.com/office/spreadsheetml/2009/9/main" objectType="Radio" lockText="1"/>
</file>

<file path=xl/ctrlProps/ctrlProp227.xml><?xml version="1.0" encoding="utf-8"?>
<formControlPr xmlns="http://schemas.microsoft.com/office/spreadsheetml/2009/9/main" objectType="Radio" lockText="1"/>
</file>

<file path=xl/ctrlProps/ctrlProp228.xml><?xml version="1.0" encoding="utf-8"?>
<formControlPr xmlns="http://schemas.microsoft.com/office/spreadsheetml/2009/9/main" objectType="Radio" lockText="1"/>
</file>

<file path=xl/ctrlProps/ctrlProp229.xml><?xml version="1.0" encoding="utf-8"?>
<formControlPr xmlns="http://schemas.microsoft.com/office/spreadsheetml/2009/9/main" objectType="Radio" lockText="1"/>
</file>

<file path=xl/ctrlProps/ctrlProp23.xml><?xml version="1.0" encoding="utf-8"?>
<formControlPr xmlns="http://schemas.microsoft.com/office/spreadsheetml/2009/9/main" objectType="Radio" lockText="1"/>
</file>

<file path=xl/ctrlProps/ctrlProp230.xml><?xml version="1.0" encoding="utf-8"?>
<formControlPr xmlns="http://schemas.microsoft.com/office/spreadsheetml/2009/9/main" objectType="Radio" lockText="1"/>
</file>

<file path=xl/ctrlProps/ctrlProp231.xml><?xml version="1.0" encoding="utf-8"?>
<formControlPr xmlns="http://schemas.microsoft.com/office/spreadsheetml/2009/9/main" objectType="Radio" lockText="1"/>
</file>

<file path=xl/ctrlProps/ctrlProp232.xml><?xml version="1.0" encoding="utf-8"?>
<formControlPr xmlns="http://schemas.microsoft.com/office/spreadsheetml/2009/9/main" objectType="Radio" lockText="1"/>
</file>

<file path=xl/ctrlProps/ctrlProp233.xml><?xml version="1.0" encoding="utf-8"?>
<formControlPr xmlns="http://schemas.microsoft.com/office/spreadsheetml/2009/9/main" objectType="Radio" lockText="1"/>
</file>

<file path=xl/ctrlProps/ctrlProp234.xml><?xml version="1.0" encoding="utf-8"?>
<formControlPr xmlns="http://schemas.microsoft.com/office/spreadsheetml/2009/9/main" objectType="Radio" lockText="1"/>
</file>

<file path=xl/ctrlProps/ctrlProp235.xml><?xml version="1.0" encoding="utf-8"?>
<formControlPr xmlns="http://schemas.microsoft.com/office/spreadsheetml/2009/9/main" objectType="Radio" lockText="1"/>
</file>

<file path=xl/ctrlProps/ctrlProp236.xml><?xml version="1.0" encoding="utf-8"?>
<formControlPr xmlns="http://schemas.microsoft.com/office/spreadsheetml/2009/9/main" objectType="Radio" lockText="1"/>
</file>

<file path=xl/ctrlProps/ctrlProp237.xml><?xml version="1.0" encoding="utf-8"?>
<formControlPr xmlns="http://schemas.microsoft.com/office/spreadsheetml/2009/9/main" objectType="Radio" lockText="1"/>
</file>

<file path=xl/ctrlProps/ctrlProp238.xml><?xml version="1.0" encoding="utf-8"?>
<formControlPr xmlns="http://schemas.microsoft.com/office/spreadsheetml/2009/9/main" objectType="Radio" lockText="1"/>
</file>

<file path=xl/ctrlProps/ctrlProp239.xml><?xml version="1.0" encoding="utf-8"?>
<formControlPr xmlns="http://schemas.microsoft.com/office/spreadsheetml/2009/9/main" objectType="Radio" lockText="1"/>
</file>

<file path=xl/ctrlProps/ctrlProp24.xml><?xml version="1.0" encoding="utf-8"?>
<formControlPr xmlns="http://schemas.microsoft.com/office/spreadsheetml/2009/9/main" objectType="CheckBox" fmlaLink="$AV$69" lockText="1"/>
</file>

<file path=xl/ctrlProps/ctrlProp240.xml><?xml version="1.0" encoding="utf-8"?>
<formControlPr xmlns="http://schemas.microsoft.com/office/spreadsheetml/2009/9/main" objectType="Radio" lockText="1"/>
</file>

<file path=xl/ctrlProps/ctrlProp241.xml><?xml version="1.0" encoding="utf-8"?>
<formControlPr xmlns="http://schemas.microsoft.com/office/spreadsheetml/2009/9/main" objectType="Radio" lockText="1"/>
</file>

<file path=xl/ctrlProps/ctrlProp242.xml><?xml version="1.0" encoding="utf-8"?>
<formControlPr xmlns="http://schemas.microsoft.com/office/spreadsheetml/2009/9/main" objectType="Radio" lockText="1"/>
</file>

<file path=xl/ctrlProps/ctrlProp243.xml><?xml version="1.0" encoding="utf-8"?>
<formControlPr xmlns="http://schemas.microsoft.com/office/spreadsheetml/2009/9/main" objectType="Radio" lockText="1"/>
</file>

<file path=xl/ctrlProps/ctrlProp244.xml><?xml version="1.0" encoding="utf-8"?>
<formControlPr xmlns="http://schemas.microsoft.com/office/spreadsheetml/2009/9/main" objectType="Radio" lockText="1"/>
</file>

<file path=xl/ctrlProps/ctrlProp245.xml><?xml version="1.0" encoding="utf-8"?>
<formControlPr xmlns="http://schemas.microsoft.com/office/spreadsheetml/2009/9/main" objectType="Radio" lockText="1"/>
</file>

<file path=xl/ctrlProps/ctrlProp246.xml><?xml version="1.0" encoding="utf-8"?>
<formControlPr xmlns="http://schemas.microsoft.com/office/spreadsheetml/2009/9/main" objectType="Radio" lockText="1"/>
</file>

<file path=xl/ctrlProps/ctrlProp247.xml><?xml version="1.0" encoding="utf-8"?>
<formControlPr xmlns="http://schemas.microsoft.com/office/spreadsheetml/2009/9/main" objectType="Radio" lockText="1"/>
</file>

<file path=xl/ctrlProps/ctrlProp248.xml><?xml version="1.0" encoding="utf-8"?>
<formControlPr xmlns="http://schemas.microsoft.com/office/spreadsheetml/2009/9/main" objectType="Radio" lockText="1"/>
</file>

<file path=xl/ctrlProps/ctrlProp249.xml><?xml version="1.0" encoding="utf-8"?>
<formControlPr xmlns="http://schemas.microsoft.com/office/spreadsheetml/2009/9/main" objectType="Radio" lockText="1"/>
</file>

<file path=xl/ctrlProps/ctrlProp25.xml><?xml version="1.0" encoding="utf-8"?>
<formControlPr xmlns="http://schemas.microsoft.com/office/spreadsheetml/2009/9/main" objectType="CheckBox" fmlaLink="$AV$80" lockText="1"/>
</file>

<file path=xl/ctrlProps/ctrlProp250.xml><?xml version="1.0" encoding="utf-8"?>
<formControlPr xmlns="http://schemas.microsoft.com/office/spreadsheetml/2009/9/main" objectType="Radio" lockText="1"/>
</file>

<file path=xl/ctrlProps/ctrlProp251.xml><?xml version="1.0" encoding="utf-8"?>
<formControlPr xmlns="http://schemas.microsoft.com/office/spreadsheetml/2009/9/main" objectType="Radio" lockText="1"/>
</file>

<file path=xl/ctrlProps/ctrlProp252.xml><?xml version="1.0" encoding="utf-8"?>
<formControlPr xmlns="http://schemas.microsoft.com/office/spreadsheetml/2009/9/main" objectType="Radio" firstButton="1" fmlaLink="$G$5" lockText="1"/>
</file>

<file path=xl/ctrlProps/ctrlProp253.xml><?xml version="1.0" encoding="utf-8"?>
<formControlPr xmlns="http://schemas.microsoft.com/office/spreadsheetml/2009/9/main" objectType="Radio" lockText="1"/>
</file>

<file path=xl/ctrlProps/ctrlProp254.xml><?xml version="1.0" encoding="utf-8"?>
<formControlPr xmlns="http://schemas.microsoft.com/office/spreadsheetml/2009/9/main" objectType="Radio" lockText="1"/>
</file>

<file path=xl/ctrlProps/ctrlProp255.xml><?xml version="1.0" encoding="utf-8"?>
<formControlPr xmlns="http://schemas.microsoft.com/office/spreadsheetml/2009/9/main" objectType="Radio" lockText="1"/>
</file>

<file path=xl/ctrlProps/ctrlProp256.xml><?xml version="1.0" encoding="utf-8"?>
<formControlPr xmlns="http://schemas.microsoft.com/office/spreadsheetml/2009/9/main" objectType="Radio" lockText="1"/>
</file>

<file path=xl/ctrlProps/ctrlProp257.xml><?xml version="1.0" encoding="utf-8"?>
<formControlPr xmlns="http://schemas.microsoft.com/office/spreadsheetml/2009/9/main" objectType="Radio" lockText="1"/>
</file>

<file path=xl/ctrlProps/ctrlProp258.xml><?xml version="1.0" encoding="utf-8"?>
<formControlPr xmlns="http://schemas.microsoft.com/office/spreadsheetml/2009/9/main" objectType="Radio" checked="Checked" lockText="1"/>
</file>

<file path=xl/ctrlProps/ctrlProp259.xml><?xml version="1.0" encoding="utf-8"?>
<formControlPr xmlns="http://schemas.microsoft.com/office/spreadsheetml/2009/9/main" objectType="Radio" lockText="1"/>
</file>

<file path=xl/ctrlProps/ctrlProp26.xml><?xml version="1.0" encoding="utf-8"?>
<formControlPr xmlns="http://schemas.microsoft.com/office/spreadsheetml/2009/9/main" objectType="CheckBox" fmlaLink="$AX$80" lockText="1"/>
</file>

<file path=xl/ctrlProps/ctrlProp260.xml><?xml version="1.0" encoding="utf-8"?>
<formControlPr xmlns="http://schemas.microsoft.com/office/spreadsheetml/2009/9/main" objectType="Radio" lockText="1"/>
</file>

<file path=xl/ctrlProps/ctrlProp261.xml><?xml version="1.0" encoding="utf-8"?>
<formControlPr xmlns="http://schemas.microsoft.com/office/spreadsheetml/2009/9/main" objectType="Radio" lockText="1"/>
</file>

<file path=xl/ctrlProps/ctrlProp262.xml><?xml version="1.0" encoding="utf-8"?>
<formControlPr xmlns="http://schemas.microsoft.com/office/spreadsheetml/2009/9/main" objectType="Radio" lockText="1"/>
</file>

<file path=xl/ctrlProps/ctrlProp263.xml><?xml version="1.0" encoding="utf-8"?>
<formControlPr xmlns="http://schemas.microsoft.com/office/spreadsheetml/2009/9/main" objectType="Radio" lockText="1"/>
</file>

<file path=xl/ctrlProps/ctrlProp264.xml><?xml version="1.0" encoding="utf-8"?>
<formControlPr xmlns="http://schemas.microsoft.com/office/spreadsheetml/2009/9/main" objectType="Radio" lockText="1"/>
</file>

<file path=xl/ctrlProps/ctrlProp265.xml><?xml version="1.0" encoding="utf-8"?>
<formControlPr xmlns="http://schemas.microsoft.com/office/spreadsheetml/2009/9/main" objectType="Radio" lockText="1"/>
</file>

<file path=xl/ctrlProps/ctrlProp266.xml><?xml version="1.0" encoding="utf-8"?>
<formControlPr xmlns="http://schemas.microsoft.com/office/spreadsheetml/2009/9/main" objectType="Radio" lockText="1"/>
</file>

<file path=xl/ctrlProps/ctrlProp267.xml><?xml version="1.0" encoding="utf-8"?>
<formControlPr xmlns="http://schemas.microsoft.com/office/spreadsheetml/2009/9/main" objectType="Radio" lockText="1"/>
</file>

<file path=xl/ctrlProps/ctrlProp268.xml><?xml version="1.0" encoding="utf-8"?>
<formControlPr xmlns="http://schemas.microsoft.com/office/spreadsheetml/2009/9/main" objectType="Radio" lockText="1"/>
</file>

<file path=xl/ctrlProps/ctrlProp269.xml><?xml version="1.0" encoding="utf-8"?>
<formControlPr xmlns="http://schemas.microsoft.com/office/spreadsheetml/2009/9/main" objectType="Radio" lockText="1"/>
</file>

<file path=xl/ctrlProps/ctrlProp27.xml><?xml version="1.0" encoding="utf-8"?>
<formControlPr xmlns="http://schemas.microsoft.com/office/spreadsheetml/2009/9/main" objectType="CheckBox" fmlaLink="$AW$80" lockText="1"/>
</file>

<file path=xl/ctrlProps/ctrlProp270.xml><?xml version="1.0" encoding="utf-8"?>
<formControlPr xmlns="http://schemas.microsoft.com/office/spreadsheetml/2009/9/main" objectType="Radio" lockText="1"/>
</file>

<file path=xl/ctrlProps/ctrlProp271.xml><?xml version="1.0" encoding="utf-8"?>
<formControlPr xmlns="http://schemas.microsoft.com/office/spreadsheetml/2009/9/main" objectType="Radio" lockText="1"/>
</file>

<file path=xl/ctrlProps/ctrlProp272.xml><?xml version="1.0" encoding="utf-8"?>
<formControlPr xmlns="http://schemas.microsoft.com/office/spreadsheetml/2009/9/main" objectType="Radio" lockText="1"/>
</file>

<file path=xl/ctrlProps/ctrlProp273.xml><?xml version="1.0" encoding="utf-8"?>
<formControlPr xmlns="http://schemas.microsoft.com/office/spreadsheetml/2009/9/main" objectType="Radio" lockText="1"/>
</file>

<file path=xl/ctrlProps/ctrlProp274.xml><?xml version="1.0" encoding="utf-8"?>
<formControlPr xmlns="http://schemas.microsoft.com/office/spreadsheetml/2009/9/main" objectType="Radio" lockText="1"/>
</file>

<file path=xl/ctrlProps/ctrlProp275.xml><?xml version="1.0" encoding="utf-8"?>
<formControlPr xmlns="http://schemas.microsoft.com/office/spreadsheetml/2009/9/main" objectType="Radio" lockText="1"/>
</file>

<file path=xl/ctrlProps/ctrlProp276.xml><?xml version="1.0" encoding="utf-8"?>
<formControlPr xmlns="http://schemas.microsoft.com/office/spreadsheetml/2009/9/main" objectType="Radio" lockText="1"/>
</file>

<file path=xl/ctrlProps/ctrlProp277.xml><?xml version="1.0" encoding="utf-8"?>
<formControlPr xmlns="http://schemas.microsoft.com/office/spreadsheetml/2009/9/main" objectType="Radio" lockText="1"/>
</file>

<file path=xl/ctrlProps/ctrlProp278.xml><?xml version="1.0" encoding="utf-8"?>
<formControlPr xmlns="http://schemas.microsoft.com/office/spreadsheetml/2009/9/main" objectType="Radio" lockText="1"/>
</file>

<file path=xl/ctrlProps/ctrlProp279.xml><?xml version="1.0" encoding="utf-8"?>
<formControlPr xmlns="http://schemas.microsoft.com/office/spreadsheetml/2009/9/main" objectType="Radio" lockText="1"/>
</file>

<file path=xl/ctrlProps/ctrlProp28.xml><?xml version="1.0" encoding="utf-8"?>
<formControlPr xmlns="http://schemas.microsoft.com/office/spreadsheetml/2009/9/main" objectType="CheckBox" fmlaLink="$AY$80" lockText="1"/>
</file>

<file path=xl/ctrlProps/ctrlProp280.xml><?xml version="1.0" encoding="utf-8"?>
<formControlPr xmlns="http://schemas.microsoft.com/office/spreadsheetml/2009/9/main" objectType="Radio" lockText="1"/>
</file>

<file path=xl/ctrlProps/ctrlProp281.xml><?xml version="1.0" encoding="utf-8"?>
<formControlPr xmlns="http://schemas.microsoft.com/office/spreadsheetml/2009/9/main" objectType="Radio" lockText="1"/>
</file>

<file path=xl/ctrlProps/ctrlProp282.xml><?xml version="1.0" encoding="utf-8"?>
<formControlPr xmlns="http://schemas.microsoft.com/office/spreadsheetml/2009/9/main" objectType="Radio" lockText="1"/>
</file>

<file path=xl/ctrlProps/ctrlProp283.xml><?xml version="1.0" encoding="utf-8"?>
<formControlPr xmlns="http://schemas.microsoft.com/office/spreadsheetml/2009/9/main" objectType="Radio" lockText="1"/>
</file>

<file path=xl/ctrlProps/ctrlProp284.xml><?xml version="1.0" encoding="utf-8"?>
<formControlPr xmlns="http://schemas.microsoft.com/office/spreadsheetml/2009/9/main" objectType="Radio" lockText="1"/>
</file>

<file path=xl/ctrlProps/ctrlProp285.xml><?xml version="1.0" encoding="utf-8"?>
<formControlPr xmlns="http://schemas.microsoft.com/office/spreadsheetml/2009/9/main" objectType="Radio" lockText="1"/>
</file>

<file path=xl/ctrlProps/ctrlProp286.xml><?xml version="1.0" encoding="utf-8"?>
<formControlPr xmlns="http://schemas.microsoft.com/office/spreadsheetml/2009/9/main" objectType="Radio" lockText="1"/>
</file>

<file path=xl/ctrlProps/ctrlProp287.xml><?xml version="1.0" encoding="utf-8"?>
<formControlPr xmlns="http://schemas.microsoft.com/office/spreadsheetml/2009/9/main" objectType="Radio" lockText="1"/>
</file>

<file path=xl/ctrlProps/ctrlProp288.xml><?xml version="1.0" encoding="utf-8"?>
<formControlPr xmlns="http://schemas.microsoft.com/office/spreadsheetml/2009/9/main" objectType="Radio" lockText="1"/>
</file>

<file path=xl/ctrlProps/ctrlProp289.xml><?xml version="1.0" encoding="utf-8"?>
<formControlPr xmlns="http://schemas.microsoft.com/office/spreadsheetml/2009/9/main" objectType="Radio" lockText="1"/>
</file>

<file path=xl/ctrlProps/ctrlProp29.xml><?xml version="1.0" encoding="utf-8"?>
<formControlPr xmlns="http://schemas.microsoft.com/office/spreadsheetml/2009/9/main" objectType="CheckBox" fmlaLink="$AZ$80" lockText="1"/>
</file>

<file path=xl/ctrlProps/ctrlProp290.xml><?xml version="1.0" encoding="utf-8"?>
<formControlPr xmlns="http://schemas.microsoft.com/office/spreadsheetml/2009/9/main" objectType="Radio" lockText="1"/>
</file>

<file path=xl/ctrlProps/ctrlProp291.xml><?xml version="1.0" encoding="utf-8"?>
<formControlPr xmlns="http://schemas.microsoft.com/office/spreadsheetml/2009/9/main" objectType="Radio" lockText="1"/>
</file>

<file path=xl/ctrlProps/ctrlProp292.xml><?xml version="1.0" encoding="utf-8"?>
<formControlPr xmlns="http://schemas.microsoft.com/office/spreadsheetml/2009/9/main" objectType="Radio" lockText="1"/>
</file>

<file path=xl/ctrlProps/ctrlProp293.xml><?xml version="1.0" encoding="utf-8"?>
<formControlPr xmlns="http://schemas.microsoft.com/office/spreadsheetml/2009/9/main" objectType="Radio" lockText="1"/>
</file>

<file path=xl/ctrlProps/ctrlProp294.xml><?xml version="1.0" encoding="utf-8"?>
<formControlPr xmlns="http://schemas.microsoft.com/office/spreadsheetml/2009/9/main" objectType="Radio" lockText="1"/>
</file>

<file path=xl/ctrlProps/ctrlProp295.xml><?xml version="1.0" encoding="utf-8"?>
<formControlPr xmlns="http://schemas.microsoft.com/office/spreadsheetml/2009/9/main" objectType="Radio" lockText="1"/>
</file>

<file path=xl/ctrlProps/ctrlProp296.xml><?xml version="1.0" encoding="utf-8"?>
<formControlPr xmlns="http://schemas.microsoft.com/office/spreadsheetml/2009/9/main" objectType="Radio" lockText="1"/>
</file>

<file path=xl/ctrlProps/ctrlProp297.xml><?xml version="1.0" encoding="utf-8"?>
<formControlPr xmlns="http://schemas.microsoft.com/office/spreadsheetml/2009/9/main" objectType="Radio" lockText="1"/>
</file>

<file path=xl/ctrlProps/ctrlProp298.xml><?xml version="1.0" encoding="utf-8"?>
<formControlPr xmlns="http://schemas.microsoft.com/office/spreadsheetml/2009/9/main" objectType="Radio" lockText="1"/>
</file>

<file path=xl/ctrlProps/ctrlProp299.xml><?xml version="1.0" encoding="utf-8"?>
<formControlPr xmlns="http://schemas.microsoft.com/office/spreadsheetml/2009/9/main" objectType="Radio" lockText="1"/>
</file>

<file path=xl/ctrlProps/ctrlProp3.xml><?xml version="1.0" encoding="utf-8"?>
<formControlPr xmlns="http://schemas.microsoft.com/office/spreadsheetml/2009/9/main" objectType="GBox" noThreeD="1"/>
</file>

<file path=xl/ctrlProps/ctrlProp30.xml><?xml version="1.0" encoding="utf-8"?>
<formControlPr xmlns="http://schemas.microsoft.com/office/spreadsheetml/2009/9/main" objectType="CheckBox" fmlaLink="$BA$80" lockText="1"/>
</file>

<file path=xl/ctrlProps/ctrlProp300.xml><?xml version="1.0" encoding="utf-8"?>
<formControlPr xmlns="http://schemas.microsoft.com/office/spreadsheetml/2009/9/main" objectType="Radio" lockText="1"/>
</file>

<file path=xl/ctrlProps/ctrlProp301.xml><?xml version="1.0" encoding="utf-8"?>
<formControlPr xmlns="http://schemas.microsoft.com/office/spreadsheetml/2009/9/main" objectType="Radio" lockText="1"/>
</file>

<file path=xl/ctrlProps/ctrlProp302.xml><?xml version="1.0" encoding="utf-8"?>
<formControlPr xmlns="http://schemas.microsoft.com/office/spreadsheetml/2009/9/main" objectType="Radio" lockText="1"/>
</file>

<file path=xl/ctrlProps/ctrlProp303.xml><?xml version="1.0" encoding="utf-8"?>
<formControlPr xmlns="http://schemas.microsoft.com/office/spreadsheetml/2009/9/main" objectType="Radio" lockText="1"/>
</file>

<file path=xl/ctrlProps/ctrlProp304.xml><?xml version="1.0" encoding="utf-8"?>
<formControlPr xmlns="http://schemas.microsoft.com/office/spreadsheetml/2009/9/main" objectType="Radio" lockText="1"/>
</file>

<file path=xl/ctrlProps/ctrlProp305.xml><?xml version="1.0" encoding="utf-8"?>
<formControlPr xmlns="http://schemas.microsoft.com/office/spreadsheetml/2009/9/main" objectType="Radio" lockText="1"/>
</file>

<file path=xl/ctrlProps/ctrlProp306.xml><?xml version="1.0" encoding="utf-8"?>
<formControlPr xmlns="http://schemas.microsoft.com/office/spreadsheetml/2009/9/main" objectType="Radio" lockText="1"/>
</file>

<file path=xl/ctrlProps/ctrlProp307.xml><?xml version="1.0" encoding="utf-8"?>
<formControlPr xmlns="http://schemas.microsoft.com/office/spreadsheetml/2009/9/main" objectType="Radio" lockText="1"/>
</file>

<file path=xl/ctrlProps/ctrlProp308.xml><?xml version="1.0" encoding="utf-8"?>
<formControlPr xmlns="http://schemas.microsoft.com/office/spreadsheetml/2009/9/main" objectType="Radio" lockText="1"/>
</file>

<file path=xl/ctrlProps/ctrlProp309.xml><?xml version="1.0" encoding="utf-8"?>
<formControlPr xmlns="http://schemas.microsoft.com/office/spreadsheetml/2009/9/main" objectType="Radio" lockText="1"/>
</file>

<file path=xl/ctrlProps/ctrlProp31.xml><?xml version="1.0" encoding="utf-8"?>
<formControlPr xmlns="http://schemas.microsoft.com/office/spreadsheetml/2009/9/main" objectType="CheckBox" checked="Checked" fmlaLink="$BB$80" lockText="1"/>
</file>

<file path=xl/ctrlProps/ctrlProp310.xml><?xml version="1.0" encoding="utf-8"?>
<formControlPr xmlns="http://schemas.microsoft.com/office/spreadsheetml/2009/9/main" objectType="Radio" lockText="1"/>
</file>

<file path=xl/ctrlProps/ctrlProp311.xml><?xml version="1.0" encoding="utf-8"?>
<formControlPr xmlns="http://schemas.microsoft.com/office/spreadsheetml/2009/9/main" objectType="Radio" lockText="1"/>
</file>

<file path=xl/ctrlProps/ctrlProp312.xml><?xml version="1.0" encoding="utf-8"?>
<formControlPr xmlns="http://schemas.microsoft.com/office/spreadsheetml/2009/9/main" objectType="Radio" lockText="1"/>
</file>

<file path=xl/ctrlProps/ctrlProp313.xml><?xml version="1.0" encoding="utf-8"?>
<formControlPr xmlns="http://schemas.microsoft.com/office/spreadsheetml/2009/9/main" objectType="Radio" lockText="1"/>
</file>

<file path=xl/ctrlProps/ctrlProp314.xml><?xml version="1.0" encoding="utf-8"?>
<formControlPr xmlns="http://schemas.microsoft.com/office/spreadsheetml/2009/9/main" objectType="Radio" lockText="1"/>
</file>

<file path=xl/ctrlProps/ctrlProp315.xml><?xml version="1.0" encoding="utf-8"?>
<formControlPr xmlns="http://schemas.microsoft.com/office/spreadsheetml/2009/9/main" objectType="Radio" lockText="1"/>
</file>

<file path=xl/ctrlProps/ctrlProp316.xml><?xml version="1.0" encoding="utf-8"?>
<formControlPr xmlns="http://schemas.microsoft.com/office/spreadsheetml/2009/9/main" objectType="Radio" lockText="1"/>
</file>

<file path=xl/ctrlProps/ctrlProp317.xml><?xml version="1.0" encoding="utf-8"?>
<formControlPr xmlns="http://schemas.microsoft.com/office/spreadsheetml/2009/9/main" objectType="Radio" lockText="1"/>
</file>

<file path=xl/ctrlProps/ctrlProp318.xml><?xml version="1.0" encoding="utf-8"?>
<formControlPr xmlns="http://schemas.microsoft.com/office/spreadsheetml/2009/9/main" objectType="Radio" lockText="1"/>
</file>

<file path=xl/ctrlProps/ctrlProp319.xml><?xml version="1.0" encoding="utf-8"?>
<formControlPr xmlns="http://schemas.microsoft.com/office/spreadsheetml/2009/9/main" objectType="Radio" lockText="1"/>
</file>

<file path=xl/ctrlProps/ctrlProp32.xml><?xml version="1.0" encoding="utf-8"?>
<formControlPr xmlns="http://schemas.microsoft.com/office/spreadsheetml/2009/9/main" objectType="CheckBox" fmlaLink="$BC$80" lockText="1"/>
</file>

<file path=xl/ctrlProps/ctrlProp320.xml><?xml version="1.0" encoding="utf-8"?>
<formControlPr xmlns="http://schemas.microsoft.com/office/spreadsheetml/2009/9/main" objectType="Radio" lockText="1"/>
</file>

<file path=xl/ctrlProps/ctrlProp321.xml><?xml version="1.0" encoding="utf-8"?>
<formControlPr xmlns="http://schemas.microsoft.com/office/spreadsheetml/2009/9/main" objectType="Radio" lockText="1"/>
</file>

<file path=xl/ctrlProps/ctrlProp322.xml><?xml version="1.0" encoding="utf-8"?>
<formControlPr xmlns="http://schemas.microsoft.com/office/spreadsheetml/2009/9/main" objectType="Radio" lockText="1"/>
</file>

<file path=xl/ctrlProps/ctrlProp323.xml><?xml version="1.0" encoding="utf-8"?>
<formControlPr xmlns="http://schemas.microsoft.com/office/spreadsheetml/2009/9/main" objectType="Radio" lockText="1"/>
</file>

<file path=xl/ctrlProps/ctrlProp324.xml><?xml version="1.0" encoding="utf-8"?>
<formControlPr xmlns="http://schemas.microsoft.com/office/spreadsheetml/2009/9/main" objectType="Radio" lockText="1"/>
</file>

<file path=xl/ctrlProps/ctrlProp325.xml><?xml version="1.0" encoding="utf-8"?>
<formControlPr xmlns="http://schemas.microsoft.com/office/spreadsheetml/2009/9/main" objectType="Radio" lockText="1"/>
</file>

<file path=xl/ctrlProps/ctrlProp326.xml><?xml version="1.0" encoding="utf-8"?>
<formControlPr xmlns="http://schemas.microsoft.com/office/spreadsheetml/2009/9/main" objectType="Radio" lockText="1"/>
</file>

<file path=xl/ctrlProps/ctrlProp327.xml><?xml version="1.0" encoding="utf-8"?>
<formControlPr xmlns="http://schemas.microsoft.com/office/spreadsheetml/2009/9/main" objectType="Radio" lockText="1"/>
</file>

<file path=xl/ctrlProps/ctrlProp328.xml><?xml version="1.0" encoding="utf-8"?>
<formControlPr xmlns="http://schemas.microsoft.com/office/spreadsheetml/2009/9/main" objectType="Radio" lockText="1"/>
</file>

<file path=xl/ctrlProps/ctrlProp329.xml><?xml version="1.0" encoding="utf-8"?>
<formControlPr xmlns="http://schemas.microsoft.com/office/spreadsheetml/2009/9/main" objectType="Radio" lockText="1"/>
</file>

<file path=xl/ctrlProps/ctrlProp33.xml><?xml version="1.0" encoding="utf-8"?>
<formControlPr xmlns="http://schemas.microsoft.com/office/spreadsheetml/2009/9/main" objectType="GBox" noThreeD="1"/>
</file>

<file path=xl/ctrlProps/ctrlProp330.xml><?xml version="1.0" encoding="utf-8"?>
<formControlPr xmlns="http://schemas.microsoft.com/office/spreadsheetml/2009/9/main" objectType="Radio" lockText="1"/>
</file>

<file path=xl/ctrlProps/ctrlProp331.xml><?xml version="1.0" encoding="utf-8"?>
<formControlPr xmlns="http://schemas.microsoft.com/office/spreadsheetml/2009/9/main" objectType="Radio" lockText="1"/>
</file>

<file path=xl/ctrlProps/ctrlProp332.xml><?xml version="1.0" encoding="utf-8"?>
<formControlPr xmlns="http://schemas.microsoft.com/office/spreadsheetml/2009/9/main" objectType="Radio" lockText="1"/>
</file>

<file path=xl/ctrlProps/ctrlProp333.xml><?xml version="1.0" encoding="utf-8"?>
<formControlPr xmlns="http://schemas.microsoft.com/office/spreadsheetml/2009/9/main" objectType="Radio" lockText="1"/>
</file>

<file path=xl/ctrlProps/ctrlProp334.xml><?xml version="1.0" encoding="utf-8"?>
<formControlPr xmlns="http://schemas.microsoft.com/office/spreadsheetml/2009/9/main" objectType="Radio" lockText="1"/>
</file>

<file path=xl/ctrlProps/ctrlProp335.xml><?xml version="1.0" encoding="utf-8"?>
<formControlPr xmlns="http://schemas.microsoft.com/office/spreadsheetml/2009/9/main" objectType="Radio" lockText="1"/>
</file>

<file path=xl/ctrlProps/ctrlProp336.xml><?xml version="1.0" encoding="utf-8"?>
<formControlPr xmlns="http://schemas.microsoft.com/office/spreadsheetml/2009/9/main" objectType="Radio" lockText="1"/>
</file>

<file path=xl/ctrlProps/ctrlProp337.xml><?xml version="1.0" encoding="utf-8"?>
<formControlPr xmlns="http://schemas.microsoft.com/office/spreadsheetml/2009/9/main" objectType="Radio" lockText="1"/>
</file>

<file path=xl/ctrlProps/ctrlProp338.xml><?xml version="1.0" encoding="utf-8"?>
<formControlPr xmlns="http://schemas.microsoft.com/office/spreadsheetml/2009/9/main" objectType="Radio" lockText="1"/>
</file>

<file path=xl/ctrlProps/ctrlProp339.xml><?xml version="1.0" encoding="utf-8"?>
<formControlPr xmlns="http://schemas.microsoft.com/office/spreadsheetml/2009/9/main" objectType="Radio" lockText="1"/>
</file>

<file path=xl/ctrlProps/ctrlProp34.xml><?xml version="1.0" encoding="utf-8"?>
<formControlPr xmlns="http://schemas.microsoft.com/office/spreadsheetml/2009/9/main" objectType="CheckBox" fmlaLink="$AZ$91" lockText="1"/>
</file>

<file path=xl/ctrlProps/ctrlProp340.xml><?xml version="1.0" encoding="utf-8"?>
<formControlPr xmlns="http://schemas.microsoft.com/office/spreadsheetml/2009/9/main" objectType="Radio" lockText="1"/>
</file>

<file path=xl/ctrlProps/ctrlProp341.xml><?xml version="1.0" encoding="utf-8"?>
<formControlPr xmlns="http://schemas.microsoft.com/office/spreadsheetml/2009/9/main" objectType="Radio" lockText="1"/>
</file>

<file path=xl/ctrlProps/ctrlProp342.xml><?xml version="1.0" encoding="utf-8"?>
<formControlPr xmlns="http://schemas.microsoft.com/office/spreadsheetml/2009/9/main" objectType="Radio" lockText="1"/>
</file>

<file path=xl/ctrlProps/ctrlProp343.xml><?xml version="1.0" encoding="utf-8"?>
<formControlPr xmlns="http://schemas.microsoft.com/office/spreadsheetml/2009/9/main" objectType="Radio" lockText="1"/>
</file>

<file path=xl/ctrlProps/ctrlProp344.xml><?xml version="1.0" encoding="utf-8"?>
<formControlPr xmlns="http://schemas.microsoft.com/office/spreadsheetml/2009/9/main" objectType="Radio" lockText="1"/>
</file>

<file path=xl/ctrlProps/ctrlProp345.xml><?xml version="1.0" encoding="utf-8"?>
<formControlPr xmlns="http://schemas.microsoft.com/office/spreadsheetml/2009/9/main" objectType="Radio" lockText="1"/>
</file>

<file path=xl/ctrlProps/ctrlProp346.xml><?xml version="1.0" encoding="utf-8"?>
<formControlPr xmlns="http://schemas.microsoft.com/office/spreadsheetml/2009/9/main" objectType="Radio" lockText="1"/>
</file>

<file path=xl/ctrlProps/ctrlProp347.xml><?xml version="1.0" encoding="utf-8"?>
<formControlPr xmlns="http://schemas.microsoft.com/office/spreadsheetml/2009/9/main" objectType="Radio" lockText="1"/>
</file>

<file path=xl/ctrlProps/ctrlProp348.xml><?xml version="1.0" encoding="utf-8"?>
<formControlPr xmlns="http://schemas.microsoft.com/office/spreadsheetml/2009/9/main" objectType="Radio" lockText="1"/>
</file>

<file path=xl/ctrlProps/ctrlProp349.xml><?xml version="1.0" encoding="utf-8"?>
<formControlPr xmlns="http://schemas.microsoft.com/office/spreadsheetml/2009/9/main" objectType="Radio" lockText="1"/>
</file>

<file path=xl/ctrlProps/ctrlProp35.xml><?xml version="1.0" encoding="utf-8"?>
<formControlPr xmlns="http://schemas.microsoft.com/office/spreadsheetml/2009/9/main" objectType="CheckBox" fmlaLink="$BB$91" lockText="1"/>
</file>

<file path=xl/ctrlProps/ctrlProp350.xml><?xml version="1.0" encoding="utf-8"?>
<formControlPr xmlns="http://schemas.microsoft.com/office/spreadsheetml/2009/9/main" objectType="Radio" lockText="1"/>
</file>

<file path=xl/ctrlProps/ctrlProp351.xml><?xml version="1.0" encoding="utf-8"?>
<formControlPr xmlns="http://schemas.microsoft.com/office/spreadsheetml/2009/9/main" objectType="Radio" lockText="1"/>
</file>

<file path=xl/ctrlProps/ctrlProp352.xml><?xml version="1.0" encoding="utf-8"?>
<formControlPr xmlns="http://schemas.microsoft.com/office/spreadsheetml/2009/9/main" objectType="Radio" lockText="1"/>
</file>

<file path=xl/ctrlProps/ctrlProp353.xml><?xml version="1.0" encoding="utf-8"?>
<formControlPr xmlns="http://schemas.microsoft.com/office/spreadsheetml/2009/9/main" objectType="Radio" lockText="1"/>
</file>

<file path=xl/ctrlProps/ctrlProp354.xml><?xml version="1.0" encoding="utf-8"?>
<formControlPr xmlns="http://schemas.microsoft.com/office/spreadsheetml/2009/9/main" objectType="Radio" lockText="1"/>
</file>

<file path=xl/ctrlProps/ctrlProp355.xml><?xml version="1.0" encoding="utf-8"?>
<formControlPr xmlns="http://schemas.microsoft.com/office/spreadsheetml/2009/9/main" objectType="Radio" lockText="1"/>
</file>

<file path=xl/ctrlProps/ctrlProp356.xml><?xml version="1.0" encoding="utf-8"?>
<formControlPr xmlns="http://schemas.microsoft.com/office/spreadsheetml/2009/9/main" objectType="Radio" lockText="1"/>
</file>

<file path=xl/ctrlProps/ctrlProp357.xml><?xml version="1.0" encoding="utf-8"?>
<formControlPr xmlns="http://schemas.microsoft.com/office/spreadsheetml/2009/9/main" objectType="Radio" lockText="1"/>
</file>

<file path=xl/ctrlProps/ctrlProp358.xml><?xml version="1.0" encoding="utf-8"?>
<formControlPr xmlns="http://schemas.microsoft.com/office/spreadsheetml/2009/9/main" objectType="Radio" lockText="1"/>
</file>

<file path=xl/ctrlProps/ctrlProp359.xml><?xml version="1.0" encoding="utf-8"?>
<formControlPr xmlns="http://schemas.microsoft.com/office/spreadsheetml/2009/9/main" objectType="Radio" lockText="1"/>
</file>

<file path=xl/ctrlProps/ctrlProp36.xml><?xml version="1.0" encoding="utf-8"?>
<formControlPr xmlns="http://schemas.microsoft.com/office/spreadsheetml/2009/9/main" objectType="Radio" checked="Checked" firstButton="1" fmlaLink="$AV$94" lockText="1"/>
</file>

<file path=xl/ctrlProps/ctrlProp360.xml><?xml version="1.0" encoding="utf-8"?>
<formControlPr xmlns="http://schemas.microsoft.com/office/spreadsheetml/2009/9/main" objectType="Radio" lockText="1"/>
</file>

<file path=xl/ctrlProps/ctrlProp361.xml><?xml version="1.0" encoding="utf-8"?>
<formControlPr xmlns="http://schemas.microsoft.com/office/spreadsheetml/2009/9/main" objectType="Radio" lockText="1"/>
</file>

<file path=xl/ctrlProps/ctrlProp362.xml><?xml version="1.0" encoding="utf-8"?>
<formControlPr xmlns="http://schemas.microsoft.com/office/spreadsheetml/2009/9/main" objectType="Radio" firstButton="1" fmlaLink="$G$5" lockText="1"/>
</file>

<file path=xl/ctrlProps/ctrlProp363.xml><?xml version="1.0" encoding="utf-8"?>
<formControlPr xmlns="http://schemas.microsoft.com/office/spreadsheetml/2009/9/main" objectType="Radio" lockText="1"/>
</file>

<file path=xl/ctrlProps/ctrlProp364.xml><?xml version="1.0" encoding="utf-8"?>
<formControlPr xmlns="http://schemas.microsoft.com/office/spreadsheetml/2009/9/main" objectType="Radio" lockText="1"/>
</file>

<file path=xl/ctrlProps/ctrlProp365.xml><?xml version="1.0" encoding="utf-8"?>
<formControlPr xmlns="http://schemas.microsoft.com/office/spreadsheetml/2009/9/main" objectType="Radio" lockText="1"/>
</file>

<file path=xl/ctrlProps/ctrlProp366.xml><?xml version="1.0" encoding="utf-8"?>
<formControlPr xmlns="http://schemas.microsoft.com/office/spreadsheetml/2009/9/main" objectType="Radio" lockText="1"/>
</file>

<file path=xl/ctrlProps/ctrlProp367.xml><?xml version="1.0" encoding="utf-8"?>
<formControlPr xmlns="http://schemas.microsoft.com/office/spreadsheetml/2009/9/main" objectType="Radio" lockText="1"/>
</file>

<file path=xl/ctrlProps/ctrlProp368.xml><?xml version="1.0" encoding="utf-8"?>
<formControlPr xmlns="http://schemas.microsoft.com/office/spreadsheetml/2009/9/main" objectType="Radio" lockText="1"/>
</file>

<file path=xl/ctrlProps/ctrlProp369.xml><?xml version="1.0" encoding="utf-8"?>
<formControlPr xmlns="http://schemas.microsoft.com/office/spreadsheetml/2009/9/main" objectType="Radio" lockText="1"/>
</file>

<file path=xl/ctrlProps/ctrlProp37.xml><?xml version="1.0" encoding="utf-8"?>
<formControlPr xmlns="http://schemas.microsoft.com/office/spreadsheetml/2009/9/main" objectType="Radio" lockText="1"/>
</file>

<file path=xl/ctrlProps/ctrlProp370.xml><?xml version="1.0" encoding="utf-8"?>
<formControlPr xmlns="http://schemas.microsoft.com/office/spreadsheetml/2009/9/main" objectType="Radio" lockText="1"/>
</file>

<file path=xl/ctrlProps/ctrlProp371.xml><?xml version="1.0" encoding="utf-8"?>
<formControlPr xmlns="http://schemas.microsoft.com/office/spreadsheetml/2009/9/main" objectType="Radio" lockText="1"/>
</file>

<file path=xl/ctrlProps/ctrlProp372.xml><?xml version="1.0" encoding="utf-8"?>
<formControlPr xmlns="http://schemas.microsoft.com/office/spreadsheetml/2009/9/main" objectType="Radio" lockText="1"/>
</file>

<file path=xl/ctrlProps/ctrlProp373.xml><?xml version="1.0" encoding="utf-8"?>
<formControlPr xmlns="http://schemas.microsoft.com/office/spreadsheetml/2009/9/main" objectType="Radio" lockText="1"/>
</file>

<file path=xl/ctrlProps/ctrlProp374.xml><?xml version="1.0" encoding="utf-8"?>
<formControlPr xmlns="http://schemas.microsoft.com/office/spreadsheetml/2009/9/main" objectType="Radio" lockText="1"/>
</file>

<file path=xl/ctrlProps/ctrlProp375.xml><?xml version="1.0" encoding="utf-8"?>
<formControlPr xmlns="http://schemas.microsoft.com/office/spreadsheetml/2009/9/main" objectType="Radio" lockText="1"/>
</file>

<file path=xl/ctrlProps/ctrlProp376.xml><?xml version="1.0" encoding="utf-8"?>
<formControlPr xmlns="http://schemas.microsoft.com/office/spreadsheetml/2009/9/main" objectType="Radio" lockText="1"/>
</file>

<file path=xl/ctrlProps/ctrlProp377.xml><?xml version="1.0" encoding="utf-8"?>
<formControlPr xmlns="http://schemas.microsoft.com/office/spreadsheetml/2009/9/main" objectType="Radio" lockText="1"/>
</file>

<file path=xl/ctrlProps/ctrlProp378.xml><?xml version="1.0" encoding="utf-8"?>
<formControlPr xmlns="http://schemas.microsoft.com/office/spreadsheetml/2009/9/main" objectType="Radio" lockText="1"/>
</file>

<file path=xl/ctrlProps/ctrlProp379.xml><?xml version="1.0" encoding="utf-8"?>
<formControlPr xmlns="http://schemas.microsoft.com/office/spreadsheetml/2009/9/main" objectType="Radio" lockText="1"/>
</file>

<file path=xl/ctrlProps/ctrlProp38.xml><?xml version="1.0" encoding="utf-8"?>
<formControlPr xmlns="http://schemas.microsoft.com/office/spreadsheetml/2009/9/main" objectType="GBox" noThreeD="1"/>
</file>

<file path=xl/ctrlProps/ctrlProp380.xml><?xml version="1.0" encoding="utf-8"?>
<formControlPr xmlns="http://schemas.microsoft.com/office/spreadsheetml/2009/9/main" objectType="Radio" lockText="1"/>
</file>

<file path=xl/ctrlProps/ctrlProp381.xml><?xml version="1.0" encoding="utf-8"?>
<formControlPr xmlns="http://schemas.microsoft.com/office/spreadsheetml/2009/9/main" objectType="Radio" lockText="1"/>
</file>

<file path=xl/ctrlProps/ctrlProp382.xml><?xml version="1.0" encoding="utf-8"?>
<formControlPr xmlns="http://schemas.microsoft.com/office/spreadsheetml/2009/9/main" objectType="Radio" lockText="1"/>
</file>

<file path=xl/ctrlProps/ctrlProp383.xml><?xml version="1.0" encoding="utf-8"?>
<formControlPr xmlns="http://schemas.microsoft.com/office/spreadsheetml/2009/9/main" objectType="Radio" lockText="1"/>
</file>

<file path=xl/ctrlProps/ctrlProp384.xml><?xml version="1.0" encoding="utf-8"?>
<formControlPr xmlns="http://schemas.microsoft.com/office/spreadsheetml/2009/9/main" objectType="Radio" lockText="1"/>
</file>

<file path=xl/ctrlProps/ctrlProp385.xml><?xml version="1.0" encoding="utf-8"?>
<formControlPr xmlns="http://schemas.microsoft.com/office/spreadsheetml/2009/9/main" objectType="Radio" lockText="1"/>
</file>

<file path=xl/ctrlProps/ctrlProp386.xml><?xml version="1.0" encoding="utf-8"?>
<formControlPr xmlns="http://schemas.microsoft.com/office/spreadsheetml/2009/9/main" objectType="Radio" lockText="1"/>
</file>

<file path=xl/ctrlProps/ctrlProp387.xml><?xml version="1.0" encoding="utf-8"?>
<formControlPr xmlns="http://schemas.microsoft.com/office/spreadsheetml/2009/9/main" objectType="Radio" lockText="1"/>
</file>

<file path=xl/ctrlProps/ctrlProp388.xml><?xml version="1.0" encoding="utf-8"?>
<formControlPr xmlns="http://schemas.microsoft.com/office/spreadsheetml/2009/9/main" objectType="Radio" lockText="1"/>
</file>

<file path=xl/ctrlProps/ctrlProp389.xml><?xml version="1.0" encoding="utf-8"?>
<formControlPr xmlns="http://schemas.microsoft.com/office/spreadsheetml/2009/9/main" objectType="Radio" lockText="1"/>
</file>

<file path=xl/ctrlProps/ctrlProp39.xml><?xml version="1.0" encoding="utf-8"?>
<formControlPr xmlns="http://schemas.microsoft.com/office/spreadsheetml/2009/9/main" objectType="Radio" checked="Checked" firstButton="1" fmlaLink="$AV$96" lockText="1"/>
</file>

<file path=xl/ctrlProps/ctrlProp390.xml><?xml version="1.0" encoding="utf-8"?>
<formControlPr xmlns="http://schemas.microsoft.com/office/spreadsheetml/2009/9/main" objectType="Radio" lockText="1"/>
</file>

<file path=xl/ctrlProps/ctrlProp391.xml><?xml version="1.0" encoding="utf-8"?>
<formControlPr xmlns="http://schemas.microsoft.com/office/spreadsheetml/2009/9/main" objectType="Radio" lockText="1"/>
</file>

<file path=xl/ctrlProps/ctrlProp392.xml><?xml version="1.0" encoding="utf-8"?>
<formControlPr xmlns="http://schemas.microsoft.com/office/spreadsheetml/2009/9/main" objectType="Radio" lockText="1"/>
</file>

<file path=xl/ctrlProps/ctrlProp393.xml><?xml version="1.0" encoding="utf-8"?>
<formControlPr xmlns="http://schemas.microsoft.com/office/spreadsheetml/2009/9/main" objectType="Radio" lockText="1"/>
</file>

<file path=xl/ctrlProps/ctrlProp394.xml><?xml version="1.0" encoding="utf-8"?>
<formControlPr xmlns="http://schemas.microsoft.com/office/spreadsheetml/2009/9/main" objectType="Radio" lockText="1"/>
</file>

<file path=xl/ctrlProps/ctrlProp395.xml><?xml version="1.0" encoding="utf-8"?>
<formControlPr xmlns="http://schemas.microsoft.com/office/spreadsheetml/2009/9/main" objectType="Radio" lockText="1"/>
</file>

<file path=xl/ctrlProps/ctrlProp396.xml><?xml version="1.0" encoding="utf-8"?>
<formControlPr xmlns="http://schemas.microsoft.com/office/spreadsheetml/2009/9/main" objectType="Radio" lockText="1"/>
</file>

<file path=xl/ctrlProps/ctrlProp397.xml><?xml version="1.0" encoding="utf-8"?>
<formControlPr xmlns="http://schemas.microsoft.com/office/spreadsheetml/2009/9/main" objectType="Radio" lockText="1"/>
</file>

<file path=xl/ctrlProps/ctrlProp398.xml><?xml version="1.0" encoding="utf-8"?>
<formControlPr xmlns="http://schemas.microsoft.com/office/spreadsheetml/2009/9/main" objectType="Radio" lockText="1"/>
</file>

<file path=xl/ctrlProps/ctrlProp399.xml><?xml version="1.0" encoding="utf-8"?>
<formControlPr xmlns="http://schemas.microsoft.com/office/spreadsheetml/2009/9/main" objectType="Radio" lockText="1"/>
</file>

<file path=xl/ctrlProps/ctrlProp4.xml><?xml version="1.0" encoding="utf-8"?>
<formControlPr xmlns="http://schemas.microsoft.com/office/spreadsheetml/2009/9/main" objectType="CheckBox" checked="Checked" fmlaLink="$AV$18" lockText="1"/>
</file>

<file path=xl/ctrlProps/ctrlProp40.xml><?xml version="1.0" encoding="utf-8"?>
<formControlPr xmlns="http://schemas.microsoft.com/office/spreadsheetml/2009/9/main" objectType="Radio" lockText="1"/>
</file>

<file path=xl/ctrlProps/ctrlProp400.xml><?xml version="1.0" encoding="utf-8"?>
<formControlPr xmlns="http://schemas.microsoft.com/office/spreadsheetml/2009/9/main" objectType="Radio" lockText="1"/>
</file>

<file path=xl/ctrlProps/ctrlProp401.xml><?xml version="1.0" encoding="utf-8"?>
<formControlPr xmlns="http://schemas.microsoft.com/office/spreadsheetml/2009/9/main" objectType="Radio" lockText="1"/>
</file>

<file path=xl/ctrlProps/ctrlProp402.xml><?xml version="1.0" encoding="utf-8"?>
<formControlPr xmlns="http://schemas.microsoft.com/office/spreadsheetml/2009/9/main" objectType="Radio" lockText="1"/>
</file>

<file path=xl/ctrlProps/ctrlProp403.xml><?xml version="1.0" encoding="utf-8"?>
<formControlPr xmlns="http://schemas.microsoft.com/office/spreadsheetml/2009/9/main" objectType="Radio" lockText="1"/>
</file>

<file path=xl/ctrlProps/ctrlProp404.xml><?xml version="1.0" encoding="utf-8"?>
<formControlPr xmlns="http://schemas.microsoft.com/office/spreadsheetml/2009/9/main" objectType="Radio" lockText="1"/>
</file>

<file path=xl/ctrlProps/ctrlProp405.xml><?xml version="1.0" encoding="utf-8"?>
<formControlPr xmlns="http://schemas.microsoft.com/office/spreadsheetml/2009/9/main" objectType="Radio" lockText="1"/>
</file>

<file path=xl/ctrlProps/ctrlProp406.xml><?xml version="1.0" encoding="utf-8"?>
<formControlPr xmlns="http://schemas.microsoft.com/office/spreadsheetml/2009/9/main" objectType="Radio" lockText="1"/>
</file>

<file path=xl/ctrlProps/ctrlProp407.xml><?xml version="1.0" encoding="utf-8"?>
<formControlPr xmlns="http://schemas.microsoft.com/office/spreadsheetml/2009/9/main" objectType="Radio" lockText="1"/>
</file>

<file path=xl/ctrlProps/ctrlProp408.xml><?xml version="1.0" encoding="utf-8"?>
<formControlPr xmlns="http://schemas.microsoft.com/office/spreadsheetml/2009/9/main" objectType="Radio" lockText="1"/>
</file>

<file path=xl/ctrlProps/ctrlProp409.xml><?xml version="1.0" encoding="utf-8"?>
<formControlPr xmlns="http://schemas.microsoft.com/office/spreadsheetml/2009/9/main" objectType="Radio" lockText="1"/>
</file>

<file path=xl/ctrlProps/ctrlProp41.xml><?xml version="1.0" encoding="utf-8"?>
<formControlPr xmlns="http://schemas.microsoft.com/office/spreadsheetml/2009/9/main" objectType="GBox" noThreeD="1"/>
</file>

<file path=xl/ctrlProps/ctrlProp410.xml><?xml version="1.0" encoding="utf-8"?>
<formControlPr xmlns="http://schemas.microsoft.com/office/spreadsheetml/2009/9/main" objectType="Radio" lockText="1"/>
</file>

<file path=xl/ctrlProps/ctrlProp411.xml><?xml version="1.0" encoding="utf-8"?>
<formControlPr xmlns="http://schemas.microsoft.com/office/spreadsheetml/2009/9/main" objectType="Radio" lockText="1"/>
</file>

<file path=xl/ctrlProps/ctrlProp412.xml><?xml version="1.0" encoding="utf-8"?>
<formControlPr xmlns="http://schemas.microsoft.com/office/spreadsheetml/2009/9/main" objectType="Radio" lockText="1"/>
</file>

<file path=xl/ctrlProps/ctrlProp413.xml><?xml version="1.0" encoding="utf-8"?>
<formControlPr xmlns="http://schemas.microsoft.com/office/spreadsheetml/2009/9/main" objectType="Radio" lockText="1"/>
</file>

<file path=xl/ctrlProps/ctrlProp414.xml><?xml version="1.0" encoding="utf-8"?>
<formControlPr xmlns="http://schemas.microsoft.com/office/spreadsheetml/2009/9/main" objectType="Radio" lockText="1"/>
</file>

<file path=xl/ctrlProps/ctrlProp415.xml><?xml version="1.0" encoding="utf-8"?>
<formControlPr xmlns="http://schemas.microsoft.com/office/spreadsheetml/2009/9/main" objectType="Radio" lockText="1"/>
</file>

<file path=xl/ctrlProps/ctrlProp416.xml><?xml version="1.0" encoding="utf-8"?>
<formControlPr xmlns="http://schemas.microsoft.com/office/spreadsheetml/2009/9/main" objectType="Radio" lockText="1"/>
</file>

<file path=xl/ctrlProps/ctrlProp417.xml><?xml version="1.0" encoding="utf-8"?>
<formControlPr xmlns="http://schemas.microsoft.com/office/spreadsheetml/2009/9/main" objectType="Radio" lockText="1"/>
</file>

<file path=xl/ctrlProps/ctrlProp418.xml><?xml version="1.0" encoding="utf-8"?>
<formControlPr xmlns="http://schemas.microsoft.com/office/spreadsheetml/2009/9/main" objectType="Radio" lockText="1"/>
</file>

<file path=xl/ctrlProps/ctrlProp419.xml><?xml version="1.0" encoding="utf-8"?>
<formControlPr xmlns="http://schemas.microsoft.com/office/spreadsheetml/2009/9/main" objectType="Radio" lockText="1"/>
</file>

<file path=xl/ctrlProps/ctrlProp42.xml><?xml version="1.0" encoding="utf-8"?>
<formControlPr xmlns="http://schemas.microsoft.com/office/spreadsheetml/2009/9/main" objectType="Radio" checked="Checked" firstButton="1" fmlaLink="$AW$94" lockText="1"/>
</file>

<file path=xl/ctrlProps/ctrlProp420.xml><?xml version="1.0" encoding="utf-8"?>
<formControlPr xmlns="http://schemas.microsoft.com/office/spreadsheetml/2009/9/main" objectType="Radio" lockText="1"/>
</file>

<file path=xl/ctrlProps/ctrlProp421.xml><?xml version="1.0" encoding="utf-8"?>
<formControlPr xmlns="http://schemas.microsoft.com/office/spreadsheetml/2009/9/main" objectType="Radio" lockText="1"/>
</file>

<file path=xl/ctrlProps/ctrlProp422.xml><?xml version="1.0" encoding="utf-8"?>
<formControlPr xmlns="http://schemas.microsoft.com/office/spreadsheetml/2009/9/main" objectType="Radio" lockText="1"/>
</file>

<file path=xl/ctrlProps/ctrlProp423.xml><?xml version="1.0" encoding="utf-8"?>
<formControlPr xmlns="http://schemas.microsoft.com/office/spreadsheetml/2009/9/main" objectType="Radio" lockText="1"/>
</file>

<file path=xl/ctrlProps/ctrlProp424.xml><?xml version="1.0" encoding="utf-8"?>
<formControlPr xmlns="http://schemas.microsoft.com/office/spreadsheetml/2009/9/main" objectType="Radio" lockText="1"/>
</file>

<file path=xl/ctrlProps/ctrlProp425.xml><?xml version="1.0" encoding="utf-8"?>
<formControlPr xmlns="http://schemas.microsoft.com/office/spreadsheetml/2009/9/main" objectType="Radio" lockText="1"/>
</file>

<file path=xl/ctrlProps/ctrlProp426.xml><?xml version="1.0" encoding="utf-8"?>
<formControlPr xmlns="http://schemas.microsoft.com/office/spreadsheetml/2009/9/main" objectType="Radio" checked="Checked" lockText="1"/>
</file>

<file path=xl/ctrlProps/ctrlProp427.xml><?xml version="1.0" encoding="utf-8"?>
<formControlPr xmlns="http://schemas.microsoft.com/office/spreadsheetml/2009/9/main" objectType="Radio" lockText="1"/>
</file>

<file path=xl/ctrlProps/ctrlProp428.xml><?xml version="1.0" encoding="utf-8"?>
<formControlPr xmlns="http://schemas.microsoft.com/office/spreadsheetml/2009/9/main" objectType="Radio" lockText="1"/>
</file>

<file path=xl/ctrlProps/ctrlProp429.xml><?xml version="1.0" encoding="utf-8"?>
<formControlPr xmlns="http://schemas.microsoft.com/office/spreadsheetml/2009/9/main" objectType="Radio" lockText="1"/>
</file>

<file path=xl/ctrlProps/ctrlProp43.xml><?xml version="1.0" encoding="utf-8"?>
<formControlPr xmlns="http://schemas.microsoft.com/office/spreadsheetml/2009/9/main" objectType="Radio" lockText="1"/>
</file>

<file path=xl/ctrlProps/ctrlProp430.xml><?xml version="1.0" encoding="utf-8"?>
<formControlPr xmlns="http://schemas.microsoft.com/office/spreadsheetml/2009/9/main" objectType="Radio" lockText="1"/>
</file>

<file path=xl/ctrlProps/ctrlProp431.xml><?xml version="1.0" encoding="utf-8"?>
<formControlPr xmlns="http://schemas.microsoft.com/office/spreadsheetml/2009/9/main" objectType="Radio" lockText="1"/>
</file>

<file path=xl/ctrlProps/ctrlProp432.xml><?xml version="1.0" encoding="utf-8"?>
<formControlPr xmlns="http://schemas.microsoft.com/office/spreadsheetml/2009/9/main" objectType="Radio" lockText="1"/>
</file>

<file path=xl/ctrlProps/ctrlProp433.xml><?xml version="1.0" encoding="utf-8"?>
<formControlPr xmlns="http://schemas.microsoft.com/office/spreadsheetml/2009/9/main" objectType="Radio" lockText="1"/>
</file>

<file path=xl/ctrlProps/ctrlProp434.xml><?xml version="1.0" encoding="utf-8"?>
<formControlPr xmlns="http://schemas.microsoft.com/office/spreadsheetml/2009/9/main" objectType="Radio" lockText="1"/>
</file>

<file path=xl/ctrlProps/ctrlProp435.xml><?xml version="1.0" encoding="utf-8"?>
<formControlPr xmlns="http://schemas.microsoft.com/office/spreadsheetml/2009/9/main" objectType="Radio" lockText="1"/>
</file>

<file path=xl/ctrlProps/ctrlProp436.xml><?xml version="1.0" encoding="utf-8"?>
<formControlPr xmlns="http://schemas.microsoft.com/office/spreadsheetml/2009/9/main" objectType="Radio" lockText="1"/>
</file>

<file path=xl/ctrlProps/ctrlProp437.xml><?xml version="1.0" encoding="utf-8"?>
<formControlPr xmlns="http://schemas.microsoft.com/office/spreadsheetml/2009/9/main" objectType="Radio" lockText="1"/>
</file>

<file path=xl/ctrlProps/ctrlProp438.xml><?xml version="1.0" encoding="utf-8"?>
<formControlPr xmlns="http://schemas.microsoft.com/office/spreadsheetml/2009/9/main" objectType="Radio" lockText="1"/>
</file>

<file path=xl/ctrlProps/ctrlProp439.xml><?xml version="1.0" encoding="utf-8"?>
<formControlPr xmlns="http://schemas.microsoft.com/office/spreadsheetml/2009/9/main" objectType="Radio" lockText="1"/>
</file>

<file path=xl/ctrlProps/ctrlProp44.xml><?xml version="1.0" encoding="utf-8"?>
<formControlPr xmlns="http://schemas.microsoft.com/office/spreadsheetml/2009/9/main" objectType="Radio" checked="Checked" firstButton="1" fmlaLink="$AW$96" lockText="1"/>
</file>

<file path=xl/ctrlProps/ctrlProp440.xml><?xml version="1.0" encoding="utf-8"?>
<formControlPr xmlns="http://schemas.microsoft.com/office/spreadsheetml/2009/9/main" objectType="Radio" lockText="1"/>
</file>

<file path=xl/ctrlProps/ctrlProp441.xml><?xml version="1.0" encoding="utf-8"?>
<formControlPr xmlns="http://schemas.microsoft.com/office/spreadsheetml/2009/9/main" objectType="Radio" lockText="1"/>
</file>

<file path=xl/ctrlProps/ctrlProp442.xml><?xml version="1.0" encoding="utf-8"?>
<formControlPr xmlns="http://schemas.microsoft.com/office/spreadsheetml/2009/9/main" objectType="Radio" lockText="1"/>
</file>

<file path=xl/ctrlProps/ctrlProp443.xml><?xml version="1.0" encoding="utf-8"?>
<formControlPr xmlns="http://schemas.microsoft.com/office/spreadsheetml/2009/9/main" objectType="Radio" lockText="1"/>
</file>

<file path=xl/ctrlProps/ctrlProp444.xml><?xml version="1.0" encoding="utf-8"?>
<formControlPr xmlns="http://schemas.microsoft.com/office/spreadsheetml/2009/9/main" objectType="Radio" lockText="1"/>
</file>

<file path=xl/ctrlProps/ctrlProp445.xml><?xml version="1.0" encoding="utf-8"?>
<formControlPr xmlns="http://schemas.microsoft.com/office/spreadsheetml/2009/9/main" objectType="Radio" lockText="1"/>
</file>

<file path=xl/ctrlProps/ctrlProp446.xml><?xml version="1.0" encoding="utf-8"?>
<formControlPr xmlns="http://schemas.microsoft.com/office/spreadsheetml/2009/9/main" objectType="Radio" lockText="1"/>
</file>

<file path=xl/ctrlProps/ctrlProp447.xml><?xml version="1.0" encoding="utf-8"?>
<formControlPr xmlns="http://schemas.microsoft.com/office/spreadsheetml/2009/9/main" objectType="Radio" lockText="1"/>
</file>

<file path=xl/ctrlProps/ctrlProp448.xml><?xml version="1.0" encoding="utf-8"?>
<formControlPr xmlns="http://schemas.microsoft.com/office/spreadsheetml/2009/9/main" objectType="Radio" lockText="1"/>
</file>

<file path=xl/ctrlProps/ctrlProp449.xml><?xml version="1.0" encoding="utf-8"?>
<formControlPr xmlns="http://schemas.microsoft.com/office/spreadsheetml/2009/9/main" objectType="Radio" lockText="1"/>
</file>

<file path=xl/ctrlProps/ctrlProp45.xml><?xml version="1.0" encoding="utf-8"?>
<formControlPr xmlns="http://schemas.microsoft.com/office/spreadsheetml/2009/9/main" objectType="Radio" lockText="1"/>
</file>

<file path=xl/ctrlProps/ctrlProp450.xml><?xml version="1.0" encoding="utf-8"?>
<formControlPr xmlns="http://schemas.microsoft.com/office/spreadsheetml/2009/9/main" objectType="Radio" lockText="1"/>
</file>

<file path=xl/ctrlProps/ctrlProp451.xml><?xml version="1.0" encoding="utf-8"?>
<formControlPr xmlns="http://schemas.microsoft.com/office/spreadsheetml/2009/9/main" objectType="Radio" lockText="1"/>
</file>

<file path=xl/ctrlProps/ctrlProp452.xml><?xml version="1.0" encoding="utf-8"?>
<formControlPr xmlns="http://schemas.microsoft.com/office/spreadsheetml/2009/9/main" objectType="Radio" lockText="1"/>
</file>

<file path=xl/ctrlProps/ctrlProp453.xml><?xml version="1.0" encoding="utf-8"?>
<formControlPr xmlns="http://schemas.microsoft.com/office/spreadsheetml/2009/9/main" objectType="Radio" lockText="1"/>
</file>

<file path=xl/ctrlProps/ctrlProp454.xml><?xml version="1.0" encoding="utf-8"?>
<formControlPr xmlns="http://schemas.microsoft.com/office/spreadsheetml/2009/9/main" objectType="Radio" lockText="1"/>
</file>

<file path=xl/ctrlProps/ctrlProp455.xml><?xml version="1.0" encoding="utf-8"?>
<formControlPr xmlns="http://schemas.microsoft.com/office/spreadsheetml/2009/9/main" objectType="Radio" lockText="1"/>
</file>

<file path=xl/ctrlProps/ctrlProp456.xml><?xml version="1.0" encoding="utf-8"?>
<formControlPr xmlns="http://schemas.microsoft.com/office/spreadsheetml/2009/9/main" objectType="Radio" lockText="1"/>
</file>

<file path=xl/ctrlProps/ctrlProp457.xml><?xml version="1.0" encoding="utf-8"?>
<formControlPr xmlns="http://schemas.microsoft.com/office/spreadsheetml/2009/9/main" objectType="Radio" lockText="1"/>
</file>

<file path=xl/ctrlProps/ctrlProp458.xml><?xml version="1.0" encoding="utf-8"?>
<formControlPr xmlns="http://schemas.microsoft.com/office/spreadsheetml/2009/9/main" objectType="Radio" lockText="1"/>
</file>

<file path=xl/ctrlProps/ctrlProp459.xml><?xml version="1.0" encoding="utf-8"?>
<formControlPr xmlns="http://schemas.microsoft.com/office/spreadsheetml/2009/9/main" objectType="Radio" lockText="1"/>
</file>

<file path=xl/ctrlProps/ctrlProp46.xml><?xml version="1.0" encoding="utf-8"?>
<formControlPr xmlns="http://schemas.microsoft.com/office/spreadsheetml/2009/9/main" objectType="Radio" checked="Checked" firstButton="1" fmlaLink="$AX$94" lockText="1"/>
</file>

<file path=xl/ctrlProps/ctrlProp460.xml><?xml version="1.0" encoding="utf-8"?>
<formControlPr xmlns="http://schemas.microsoft.com/office/spreadsheetml/2009/9/main" objectType="Radio" lockText="1"/>
</file>

<file path=xl/ctrlProps/ctrlProp461.xml><?xml version="1.0" encoding="utf-8"?>
<formControlPr xmlns="http://schemas.microsoft.com/office/spreadsheetml/2009/9/main" objectType="Radio" lockText="1"/>
</file>

<file path=xl/ctrlProps/ctrlProp462.xml><?xml version="1.0" encoding="utf-8"?>
<formControlPr xmlns="http://schemas.microsoft.com/office/spreadsheetml/2009/9/main" objectType="Radio" lockText="1"/>
</file>

<file path=xl/ctrlProps/ctrlProp463.xml><?xml version="1.0" encoding="utf-8"?>
<formControlPr xmlns="http://schemas.microsoft.com/office/spreadsheetml/2009/9/main" objectType="Radio" lockText="1"/>
</file>

<file path=xl/ctrlProps/ctrlProp464.xml><?xml version="1.0" encoding="utf-8"?>
<formControlPr xmlns="http://schemas.microsoft.com/office/spreadsheetml/2009/9/main" objectType="Radio" lockText="1"/>
</file>

<file path=xl/ctrlProps/ctrlProp465.xml><?xml version="1.0" encoding="utf-8"?>
<formControlPr xmlns="http://schemas.microsoft.com/office/spreadsheetml/2009/9/main" objectType="Radio" lockText="1"/>
</file>

<file path=xl/ctrlProps/ctrlProp466.xml><?xml version="1.0" encoding="utf-8"?>
<formControlPr xmlns="http://schemas.microsoft.com/office/spreadsheetml/2009/9/main" objectType="Radio" lockText="1"/>
</file>

<file path=xl/ctrlProps/ctrlProp467.xml><?xml version="1.0" encoding="utf-8"?>
<formControlPr xmlns="http://schemas.microsoft.com/office/spreadsheetml/2009/9/main" objectType="Radio" lockText="1"/>
</file>

<file path=xl/ctrlProps/ctrlProp468.xml><?xml version="1.0" encoding="utf-8"?>
<formControlPr xmlns="http://schemas.microsoft.com/office/spreadsheetml/2009/9/main" objectType="Radio" lockText="1"/>
</file>

<file path=xl/ctrlProps/ctrlProp469.xml><?xml version="1.0" encoding="utf-8"?>
<formControlPr xmlns="http://schemas.microsoft.com/office/spreadsheetml/2009/9/main" objectType="Radio" lockText="1"/>
</file>

<file path=xl/ctrlProps/ctrlProp47.xml><?xml version="1.0" encoding="utf-8"?>
<formControlPr xmlns="http://schemas.microsoft.com/office/spreadsheetml/2009/9/main" objectType="Radio" lockText="1"/>
</file>

<file path=xl/ctrlProps/ctrlProp470.xml><?xml version="1.0" encoding="utf-8"?>
<formControlPr xmlns="http://schemas.microsoft.com/office/spreadsheetml/2009/9/main" objectType="Radio" lockText="1"/>
</file>

<file path=xl/ctrlProps/ctrlProp471.xml><?xml version="1.0" encoding="utf-8"?>
<formControlPr xmlns="http://schemas.microsoft.com/office/spreadsheetml/2009/9/main" objectType="Radio" lockText="1"/>
</file>

<file path=xl/ctrlProps/ctrlProp472.xml><?xml version="1.0" encoding="utf-8"?>
<formControlPr xmlns="http://schemas.microsoft.com/office/spreadsheetml/2009/9/main" objectType="Radio" lockText="1"/>
</file>

<file path=xl/ctrlProps/ctrlProp473.xml><?xml version="1.0" encoding="utf-8"?>
<formControlPr xmlns="http://schemas.microsoft.com/office/spreadsheetml/2009/9/main" objectType="Radio" lockText="1"/>
</file>

<file path=xl/ctrlProps/ctrlProp474.xml><?xml version="1.0" encoding="utf-8"?>
<formControlPr xmlns="http://schemas.microsoft.com/office/spreadsheetml/2009/9/main" objectType="Radio" lockText="1"/>
</file>

<file path=xl/ctrlProps/ctrlProp475.xml><?xml version="1.0" encoding="utf-8"?>
<formControlPr xmlns="http://schemas.microsoft.com/office/spreadsheetml/2009/9/main" objectType="Radio" lockText="1"/>
</file>

<file path=xl/ctrlProps/ctrlProp476.xml><?xml version="1.0" encoding="utf-8"?>
<formControlPr xmlns="http://schemas.microsoft.com/office/spreadsheetml/2009/9/main" objectType="Radio" lockText="1"/>
</file>

<file path=xl/ctrlProps/ctrlProp477.xml><?xml version="1.0" encoding="utf-8"?>
<formControlPr xmlns="http://schemas.microsoft.com/office/spreadsheetml/2009/9/main" objectType="Radio" lockText="1"/>
</file>

<file path=xl/ctrlProps/ctrlProp478.xml><?xml version="1.0" encoding="utf-8"?>
<formControlPr xmlns="http://schemas.microsoft.com/office/spreadsheetml/2009/9/main" objectType="Radio" lockText="1"/>
</file>

<file path=xl/ctrlProps/ctrlProp479.xml><?xml version="1.0" encoding="utf-8"?>
<formControlPr xmlns="http://schemas.microsoft.com/office/spreadsheetml/2009/9/main" objectType="Radio" lockText="1"/>
</file>

<file path=xl/ctrlProps/ctrlProp48.xml><?xml version="1.0" encoding="utf-8"?>
<formControlPr xmlns="http://schemas.microsoft.com/office/spreadsheetml/2009/9/main" objectType="Radio" checked="Checked" firstButton="1" fmlaLink="$AX$96" lockText="1"/>
</file>

<file path=xl/ctrlProps/ctrlProp480.xml><?xml version="1.0" encoding="utf-8"?>
<formControlPr xmlns="http://schemas.microsoft.com/office/spreadsheetml/2009/9/main" objectType="Radio" lockText="1"/>
</file>

<file path=xl/ctrlProps/ctrlProp481.xml><?xml version="1.0" encoding="utf-8"?>
<formControlPr xmlns="http://schemas.microsoft.com/office/spreadsheetml/2009/9/main" objectType="Radio" lockText="1"/>
</file>

<file path=xl/ctrlProps/ctrlProp482.xml><?xml version="1.0" encoding="utf-8"?>
<formControlPr xmlns="http://schemas.microsoft.com/office/spreadsheetml/2009/9/main" objectType="Radio" lockText="1"/>
</file>

<file path=xl/ctrlProps/ctrlProp483.xml><?xml version="1.0" encoding="utf-8"?>
<formControlPr xmlns="http://schemas.microsoft.com/office/spreadsheetml/2009/9/main" objectType="Radio" lockText="1"/>
</file>

<file path=xl/ctrlProps/ctrlProp484.xml><?xml version="1.0" encoding="utf-8"?>
<formControlPr xmlns="http://schemas.microsoft.com/office/spreadsheetml/2009/9/main" objectType="Radio" lockText="1"/>
</file>

<file path=xl/ctrlProps/ctrlProp485.xml><?xml version="1.0" encoding="utf-8"?>
<formControlPr xmlns="http://schemas.microsoft.com/office/spreadsheetml/2009/9/main" objectType="Radio" lockText="1"/>
</file>

<file path=xl/ctrlProps/ctrlProp486.xml><?xml version="1.0" encoding="utf-8"?>
<formControlPr xmlns="http://schemas.microsoft.com/office/spreadsheetml/2009/9/main" objectType="Radio" lockText="1"/>
</file>

<file path=xl/ctrlProps/ctrlProp487.xml><?xml version="1.0" encoding="utf-8"?>
<formControlPr xmlns="http://schemas.microsoft.com/office/spreadsheetml/2009/9/main" objectType="Radio" lockText="1"/>
</file>

<file path=xl/ctrlProps/ctrlProp488.xml><?xml version="1.0" encoding="utf-8"?>
<formControlPr xmlns="http://schemas.microsoft.com/office/spreadsheetml/2009/9/main" objectType="Radio" lockText="1"/>
</file>

<file path=xl/ctrlProps/ctrlProp489.xml><?xml version="1.0" encoding="utf-8"?>
<formControlPr xmlns="http://schemas.microsoft.com/office/spreadsheetml/2009/9/main" objectType="Radio" lockText="1"/>
</file>

<file path=xl/ctrlProps/ctrlProp49.xml><?xml version="1.0" encoding="utf-8"?>
<formControlPr xmlns="http://schemas.microsoft.com/office/spreadsheetml/2009/9/main" objectType="Radio" lockText="1"/>
</file>

<file path=xl/ctrlProps/ctrlProp490.xml><?xml version="1.0" encoding="utf-8"?>
<formControlPr xmlns="http://schemas.microsoft.com/office/spreadsheetml/2009/9/main" objectType="Radio" lockText="1"/>
</file>

<file path=xl/ctrlProps/ctrlProp491.xml><?xml version="1.0" encoding="utf-8"?>
<formControlPr xmlns="http://schemas.microsoft.com/office/spreadsheetml/2009/9/main" objectType="Radio" lockText="1"/>
</file>

<file path=xl/ctrlProps/ctrlProp492.xml><?xml version="1.0" encoding="utf-8"?>
<formControlPr xmlns="http://schemas.microsoft.com/office/spreadsheetml/2009/9/main" objectType="Radio" lockText="1"/>
</file>

<file path=xl/ctrlProps/ctrlProp493.xml><?xml version="1.0" encoding="utf-8"?>
<formControlPr xmlns="http://schemas.microsoft.com/office/spreadsheetml/2009/9/main" objectType="Radio" lockText="1"/>
</file>

<file path=xl/ctrlProps/ctrlProp494.xml><?xml version="1.0" encoding="utf-8"?>
<formControlPr xmlns="http://schemas.microsoft.com/office/spreadsheetml/2009/9/main" objectType="Radio" lockText="1"/>
</file>

<file path=xl/ctrlProps/ctrlProp495.xml><?xml version="1.0" encoding="utf-8"?>
<formControlPr xmlns="http://schemas.microsoft.com/office/spreadsheetml/2009/9/main" objectType="Radio" lockText="1"/>
</file>

<file path=xl/ctrlProps/ctrlProp496.xml><?xml version="1.0" encoding="utf-8"?>
<formControlPr xmlns="http://schemas.microsoft.com/office/spreadsheetml/2009/9/main" objectType="Radio" lockText="1"/>
</file>

<file path=xl/ctrlProps/ctrlProp497.xml><?xml version="1.0" encoding="utf-8"?>
<formControlPr xmlns="http://schemas.microsoft.com/office/spreadsheetml/2009/9/main" objectType="Radio" lockText="1"/>
</file>

<file path=xl/ctrlProps/ctrlProp498.xml><?xml version="1.0" encoding="utf-8"?>
<formControlPr xmlns="http://schemas.microsoft.com/office/spreadsheetml/2009/9/main" objectType="Radio" lockText="1"/>
</file>

<file path=xl/ctrlProps/ctrlProp499.xml><?xml version="1.0" encoding="utf-8"?>
<formControlPr xmlns="http://schemas.microsoft.com/office/spreadsheetml/2009/9/main" objectType="Radio" lockText="1"/>
</file>

<file path=xl/ctrlProps/ctrlProp5.xml><?xml version="1.0" encoding="utf-8"?>
<formControlPr xmlns="http://schemas.microsoft.com/office/spreadsheetml/2009/9/main" objectType="Radio" checked="Checked" firstButton="1" fmlaLink="$AV$108" lockText="1"/>
</file>

<file path=xl/ctrlProps/ctrlProp50.xml><?xml version="1.0" encoding="utf-8"?>
<formControlPr xmlns="http://schemas.microsoft.com/office/spreadsheetml/2009/9/main" objectType="GBox" noThreeD="1"/>
</file>

<file path=xl/ctrlProps/ctrlProp500.xml><?xml version="1.0" encoding="utf-8"?>
<formControlPr xmlns="http://schemas.microsoft.com/office/spreadsheetml/2009/9/main" objectType="Radio" firstButton="1" fmlaLink="$AV$48" lockText="1"/>
</file>

<file path=xl/ctrlProps/ctrlProp501.xml><?xml version="1.0" encoding="utf-8"?>
<formControlPr xmlns="http://schemas.microsoft.com/office/spreadsheetml/2009/9/main" objectType="Radio" lockText="1"/>
</file>

<file path=xl/ctrlProps/ctrlProp502.xml><?xml version="1.0" encoding="utf-8"?>
<formControlPr xmlns="http://schemas.microsoft.com/office/spreadsheetml/2009/9/main" objectType="GBox" noThreeD="1"/>
</file>

<file path=xl/ctrlProps/ctrlProp503.xml><?xml version="1.0" encoding="utf-8"?>
<formControlPr xmlns="http://schemas.microsoft.com/office/spreadsheetml/2009/9/main" objectType="CheckBox" fmlaLink="$AV$18" lockText="1"/>
</file>

<file path=xl/ctrlProps/ctrlProp504.xml><?xml version="1.0" encoding="utf-8"?>
<formControlPr xmlns="http://schemas.microsoft.com/office/spreadsheetml/2009/9/main" objectType="Radio" firstButton="1" fmlaLink="$AV$108" lockText="1"/>
</file>

<file path=xl/ctrlProps/ctrlProp505.xml><?xml version="1.0" encoding="utf-8"?>
<formControlPr xmlns="http://schemas.microsoft.com/office/spreadsheetml/2009/9/main" objectType="Radio" lockText="1"/>
</file>

<file path=xl/ctrlProps/ctrlProp506.xml><?xml version="1.0" encoding="utf-8"?>
<formControlPr xmlns="http://schemas.microsoft.com/office/spreadsheetml/2009/9/main" objectType="GBox" noThreeD="1"/>
</file>

<file path=xl/ctrlProps/ctrlProp507.xml><?xml version="1.0" encoding="utf-8"?>
<formControlPr xmlns="http://schemas.microsoft.com/office/spreadsheetml/2009/9/main" objectType="GBox" noThreeD="1"/>
</file>

<file path=xl/ctrlProps/ctrlProp508.xml><?xml version="1.0" encoding="utf-8"?>
<formControlPr xmlns="http://schemas.microsoft.com/office/spreadsheetml/2009/9/main" objectType="Radio" firstButton="1" fmlaLink="$AV$105" lockText="1"/>
</file>

<file path=xl/ctrlProps/ctrlProp509.xml><?xml version="1.0" encoding="utf-8"?>
<formControlPr xmlns="http://schemas.microsoft.com/office/spreadsheetml/2009/9/main" objectType="Radio" lockText="1"/>
</file>

<file path=xl/ctrlProps/ctrlProp51.xml><?xml version="1.0" encoding="utf-8"?>
<formControlPr xmlns="http://schemas.microsoft.com/office/spreadsheetml/2009/9/main" objectType="GBox" noThreeD="1"/>
</file>

<file path=xl/ctrlProps/ctrlProp510.xml><?xml version="1.0" encoding="utf-8"?>
<formControlPr xmlns="http://schemas.microsoft.com/office/spreadsheetml/2009/9/main" objectType="Radio" lockText="1"/>
</file>

<file path=xl/ctrlProps/ctrlProp511.xml><?xml version="1.0" encoding="utf-8"?>
<formControlPr xmlns="http://schemas.microsoft.com/office/spreadsheetml/2009/9/main" objectType="Radio" lockText="1"/>
</file>

<file path=xl/ctrlProps/ctrlProp512.xml><?xml version="1.0" encoding="utf-8"?>
<formControlPr xmlns="http://schemas.microsoft.com/office/spreadsheetml/2009/9/main" objectType="GBox" noThreeD="1"/>
</file>

<file path=xl/ctrlProps/ctrlProp513.xml><?xml version="1.0" encoding="utf-8"?>
<formControlPr xmlns="http://schemas.microsoft.com/office/spreadsheetml/2009/9/main" objectType="CheckBox" fmlaLink="$AV$91" lockText="1"/>
</file>

<file path=xl/ctrlProps/ctrlProp514.xml><?xml version="1.0" encoding="utf-8"?>
<formControlPr xmlns="http://schemas.microsoft.com/office/spreadsheetml/2009/9/main" objectType="CheckBox" fmlaLink="$BA$91" lockText="1"/>
</file>

<file path=xl/ctrlProps/ctrlProp515.xml><?xml version="1.0" encoding="utf-8"?>
<formControlPr xmlns="http://schemas.microsoft.com/office/spreadsheetml/2009/9/main" objectType="CheckBox" fmlaLink="$BC$91" lockText="1"/>
</file>

<file path=xl/ctrlProps/ctrlProp516.xml><?xml version="1.0" encoding="utf-8"?>
<formControlPr xmlns="http://schemas.microsoft.com/office/spreadsheetml/2009/9/main" objectType="CheckBox" fmlaLink="$AY$91" lockText="1"/>
</file>

<file path=xl/ctrlProps/ctrlProp517.xml><?xml version="1.0" encoding="utf-8"?>
<formControlPr xmlns="http://schemas.microsoft.com/office/spreadsheetml/2009/9/main" objectType="Radio" firstButton="1" fmlaLink="$AV$104" lockText="1"/>
</file>

<file path=xl/ctrlProps/ctrlProp518.xml><?xml version="1.0" encoding="utf-8"?>
<formControlPr xmlns="http://schemas.microsoft.com/office/spreadsheetml/2009/9/main" objectType="Radio" lockText="1"/>
</file>

<file path=xl/ctrlProps/ctrlProp519.xml><?xml version="1.0" encoding="utf-8"?>
<formControlPr xmlns="http://schemas.microsoft.com/office/spreadsheetml/2009/9/main" objectType="Radio" lockText="1"/>
</file>

<file path=xl/ctrlProps/ctrlProp52.xml><?xml version="1.0" encoding="utf-8"?>
<formControlPr xmlns="http://schemas.microsoft.com/office/spreadsheetml/2009/9/main" objectType="GBox" noThreeD="1"/>
</file>

<file path=xl/ctrlProps/ctrlProp520.xml><?xml version="1.0" encoding="utf-8"?>
<formControlPr xmlns="http://schemas.microsoft.com/office/spreadsheetml/2009/9/main" objectType="Radio" lockText="1"/>
</file>

<file path=xl/ctrlProps/ctrlProp521.xml><?xml version="1.0" encoding="utf-8"?>
<formControlPr xmlns="http://schemas.microsoft.com/office/spreadsheetml/2009/9/main" objectType="Radio" lockText="1"/>
</file>

<file path=xl/ctrlProps/ctrlProp522.xml><?xml version="1.0" encoding="utf-8"?>
<formControlPr xmlns="http://schemas.microsoft.com/office/spreadsheetml/2009/9/main" objectType="Radio" lockText="1"/>
</file>

<file path=xl/ctrlProps/ctrlProp523.xml><?xml version="1.0" encoding="utf-8"?>
<formControlPr xmlns="http://schemas.microsoft.com/office/spreadsheetml/2009/9/main" objectType="CheckBox" fmlaLink="$AV$69" lockText="1"/>
</file>

<file path=xl/ctrlProps/ctrlProp524.xml><?xml version="1.0" encoding="utf-8"?>
<formControlPr xmlns="http://schemas.microsoft.com/office/spreadsheetml/2009/9/main" objectType="CheckBox" fmlaLink="$AV$80" lockText="1"/>
</file>

<file path=xl/ctrlProps/ctrlProp525.xml><?xml version="1.0" encoding="utf-8"?>
<formControlPr xmlns="http://schemas.microsoft.com/office/spreadsheetml/2009/9/main" objectType="CheckBox" fmlaLink="$AX$80" lockText="1"/>
</file>

<file path=xl/ctrlProps/ctrlProp526.xml><?xml version="1.0" encoding="utf-8"?>
<formControlPr xmlns="http://schemas.microsoft.com/office/spreadsheetml/2009/9/main" objectType="CheckBox" fmlaLink="$AW$80" lockText="1"/>
</file>

<file path=xl/ctrlProps/ctrlProp527.xml><?xml version="1.0" encoding="utf-8"?>
<formControlPr xmlns="http://schemas.microsoft.com/office/spreadsheetml/2009/9/main" objectType="CheckBox" fmlaLink="$AY$80" lockText="1"/>
</file>

<file path=xl/ctrlProps/ctrlProp528.xml><?xml version="1.0" encoding="utf-8"?>
<formControlPr xmlns="http://schemas.microsoft.com/office/spreadsheetml/2009/9/main" objectType="CheckBox" fmlaLink="$AZ$80" lockText="1"/>
</file>

<file path=xl/ctrlProps/ctrlProp529.xml><?xml version="1.0" encoding="utf-8"?>
<formControlPr xmlns="http://schemas.microsoft.com/office/spreadsheetml/2009/9/main" objectType="CheckBox" fmlaLink="$BA$80" lockText="1"/>
</file>

<file path=xl/ctrlProps/ctrlProp53.xml><?xml version="1.0" encoding="utf-8"?>
<formControlPr xmlns="http://schemas.microsoft.com/office/spreadsheetml/2009/9/main" objectType="GBox" noThreeD="1"/>
</file>

<file path=xl/ctrlProps/ctrlProp530.xml><?xml version="1.0" encoding="utf-8"?>
<formControlPr xmlns="http://schemas.microsoft.com/office/spreadsheetml/2009/9/main" objectType="CheckBox" fmlaLink="$BB$80" lockText="1"/>
</file>

<file path=xl/ctrlProps/ctrlProp531.xml><?xml version="1.0" encoding="utf-8"?>
<formControlPr xmlns="http://schemas.microsoft.com/office/spreadsheetml/2009/9/main" objectType="CheckBox" fmlaLink="$BC$80" lockText="1"/>
</file>

<file path=xl/ctrlProps/ctrlProp532.xml><?xml version="1.0" encoding="utf-8"?>
<formControlPr xmlns="http://schemas.microsoft.com/office/spreadsheetml/2009/9/main" objectType="GBox" noThreeD="1"/>
</file>

<file path=xl/ctrlProps/ctrlProp533.xml><?xml version="1.0" encoding="utf-8"?>
<formControlPr xmlns="http://schemas.microsoft.com/office/spreadsheetml/2009/9/main" objectType="CheckBox" fmlaLink="$AZ$91" lockText="1"/>
</file>

<file path=xl/ctrlProps/ctrlProp534.xml><?xml version="1.0" encoding="utf-8"?>
<formControlPr xmlns="http://schemas.microsoft.com/office/spreadsheetml/2009/9/main" objectType="CheckBox" fmlaLink="$BB$91" lockText="1"/>
</file>

<file path=xl/ctrlProps/ctrlProp535.xml><?xml version="1.0" encoding="utf-8"?>
<formControlPr xmlns="http://schemas.microsoft.com/office/spreadsheetml/2009/9/main" objectType="Radio" checked="Checked" firstButton="1" fmlaLink="$AV$94" lockText="1"/>
</file>

<file path=xl/ctrlProps/ctrlProp536.xml><?xml version="1.0" encoding="utf-8"?>
<formControlPr xmlns="http://schemas.microsoft.com/office/spreadsheetml/2009/9/main" objectType="Radio" lockText="1"/>
</file>

<file path=xl/ctrlProps/ctrlProp537.xml><?xml version="1.0" encoding="utf-8"?>
<formControlPr xmlns="http://schemas.microsoft.com/office/spreadsheetml/2009/9/main" objectType="GBox" noThreeD="1"/>
</file>

<file path=xl/ctrlProps/ctrlProp538.xml><?xml version="1.0" encoding="utf-8"?>
<formControlPr xmlns="http://schemas.microsoft.com/office/spreadsheetml/2009/9/main" objectType="Radio" checked="Checked" firstButton="1" fmlaLink="$AV$96" lockText="1"/>
</file>

<file path=xl/ctrlProps/ctrlProp539.xml><?xml version="1.0" encoding="utf-8"?>
<formControlPr xmlns="http://schemas.microsoft.com/office/spreadsheetml/2009/9/main" objectType="Radio" lockText="1"/>
</file>

<file path=xl/ctrlProps/ctrlProp54.xml><?xml version="1.0" encoding="utf-8"?>
<formControlPr xmlns="http://schemas.microsoft.com/office/spreadsheetml/2009/9/main" objectType="Radio" checked="Checked" firstButton="1" fmlaLink="$AV$21" lockText="1"/>
</file>

<file path=xl/ctrlProps/ctrlProp540.xml><?xml version="1.0" encoding="utf-8"?>
<formControlPr xmlns="http://schemas.microsoft.com/office/spreadsheetml/2009/9/main" objectType="GBox" noThreeD="1"/>
</file>

<file path=xl/ctrlProps/ctrlProp541.xml><?xml version="1.0" encoding="utf-8"?>
<formControlPr xmlns="http://schemas.microsoft.com/office/spreadsheetml/2009/9/main" objectType="Radio" checked="Checked" firstButton="1" fmlaLink="$AW$94" lockText="1"/>
</file>

<file path=xl/ctrlProps/ctrlProp542.xml><?xml version="1.0" encoding="utf-8"?>
<formControlPr xmlns="http://schemas.microsoft.com/office/spreadsheetml/2009/9/main" objectType="Radio" lockText="1"/>
</file>

<file path=xl/ctrlProps/ctrlProp543.xml><?xml version="1.0" encoding="utf-8"?>
<formControlPr xmlns="http://schemas.microsoft.com/office/spreadsheetml/2009/9/main" objectType="Radio" checked="Checked" firstButton="1" fmlaLink="$AW$96" lockText="1"/>
</file>

<file path=xl/ctrlProps/ctrlProp544.xml><?xml version="1.0" encoding="utf-8"?>
<formControlPr xmlns="http://schemas.microsoft.com/office/spreadsheetml/2009/9/main" objectType="Radio" lockText="1"/>
</file>

<file path=xl/ctrlProps/ctrlProp545.xml><?xml version="1.0" encoding="utf-8"?>
<formControlPr xmlns="http://schemas.microsoft.com/office/spreadsheetml/2009/9/main" objectType="Radio" checked="Checked" firstButton="1" fmlaLink="$AX$94" lockText="1"/>
</file>

<file path=xl/ctrlProps/ctrlProp546.xml><?xml version="1.0" encoding="utf-8"?>
<formControlPr xmlns="http://schemas.microsoft.com/office/spreadsheetml/2009/9/main" objectType="Radio" lockText="1"/>
</file>

<file path=xl/ctrlProps/ctrlProp547.xml><?xml version="1.0" encoding="utf-8"?>
<formControlPr xmlns="http://schemas.microsoft.com/office/spreadsheetml/2009/9/main" objectType="Radio" checked="Checked" firstButton="1" fmlaLink="$AX$96" lockText="1"/>
</file>

<file path=xl/ctrlProps/ctrlProp548.xml><?xml version="1.0" encoding="utf-8"?>
<formControlPr xmlns="http://schemas.microsoft.com/office/spreadsheetml/2009/9/main" objectType="Radio" lockText="1"/>
</file>

<file path=xl/ctrlProps/ctrlProp549.xml><?xml version="1.0" encoding="utf-8"?>
<formControlPr xmlns="http://schemas.microsoft.com/office/spreadsheetml/2009/9/main" objectType="GBox" noThreeD="1"/>
</file>

<file path=xl/ctrlProps/ctrlProp55.xml><?xml version="1.0" encoding="utf-8"?>
<formControlPr xmlns="http://schemas.microsoft.com/office/spreadsheetml/2009/9/main" objectType="Radio" lockText="1"/>
</file>

<file path=xl/ctrlProps/ctrlProp550.xml><?xml version="1.0" encoding="utf-8"?>
<formControlPr xmlns="http://schemas.microsoft.com/office/spreadsheetml/2009/9/main" objectType="GBox" noThreeD="1"/>
</file>

<file path=xl/ctrlProps/ctrlProp551.xml><?xml version="1.0" encoding="utf-8"?>
<formControlPr xmlns="http://schemas.microsoft.com/office/spreadsheetml/2009/9/main" objectType="GBox" noThreeD="1"/>
</file>

<file path=xl/ctrlProps/ctrlProp552.xml><?xml version="1.0" encoding="utf-8"?>
<formControlPr xmlns="http://schemas.microsoft.com/office/spreadsheetml/2009/9/main" objectType="GBox" noThreeD="1"/>
</file>

<file path=xl/ctrlProps/ctrlProp553.xml><?xml version="1.0" encoding="utf-8"?>
<formControlPr xmlns="http://schemas.microsoft.com/office/spreadsheetml/2009/9/main" objectType="Radio" firstButton="1" fmlaLink="$AV$21" lockText="1"/>
</file>

<file path=xl/ctrlProps/ctrlProp554.xml><?xml version="1.0" encoding="utf-8"?>
<formControlPr xmlns="http://schemas.microsoft.com/office/spreadsheetml/2009/9/main" objectType="Radio" lockText="1"/>
</file>

<file path=xl/ctrlProps/ctrlProp555.xml><?xml version="1.0" encoding="utf-8"?>
<formControlPr xmlns="http://schemas.microsoft.com/office/spreadsheetml/2009/9/main" objectType="GBox" noThreeD="1"/>
</file>

<file path=xl/ctrlProps/ctrlProp556.xml><?xml version="1.0" encoding="utf-8"?>
<formControlPr xmlns="http://schemas.microsoft.com/office/spreadsheetml/2009/9/main" objectType="Radio" firstButton="1" fmlaLink="$AV$128" lockText="1"/>
</file>

<file path=xl/ctrlProps/ctrlProp557.xml><?xml version="1.0" encoding="utf-8"?>
<formControlPr xmlns="http://schemas.microsoft.com/office/spreadsheetml/2009/9/main" objectType="Radio" lockText="1"/>
</file>

<file path=xl/ctrlProps/ctrlProp558.xml><?xml version="1.0" encoding="utf-8"?>
<formControlPr xmlns="http://schemas.microsoft.com/office/spreadsheetml/2009/9/main" objectType="GBox" noThreeD="1"/>
</file>

<file path=xl/ctrlProps/ctrlProp559.xml><?xml version="1.0" encoding="utf-8"?>
<formControlPr xmlns="http://schemas.microsoft.com/office/spreadsheetml/2009/9/main" objectType="GBox" noThreeD="1"/>
</file>

<file path=xl/ctrlProps/ctrlProp56.xml><?xml version="1.0" encoding="utf-8"?>
<formControlPr xmlns="http://schemas.microsoft.com/office/spreadsheetml/2009/9/main" objectType="GBox" noThreeD="1"/>
</file>

<file path=xl/ctrlProps/ctrlProp560.xml><?xml version="1.0" encoding="utf-8"?>
<formControlPr xmlns="http://schemas.microsoft.com/office/spreadsheetml/2009/9/main" objectType="Radio" checked="Checked" firstButton="1" fmlaLink="$AV$12" lockText="1"/>
</file>

<file path=xl/ctrlProps/ctrlProp561.xml><?xml version="1.0" encoding="utf-8"?>
<formControlPr xmlns="http://schemas.microsoft.com/office/spreadsheetml/2009/9/main" objectType="Radio" lockText="1"/>
</file>

<file path=xl/ctrlProps/ctrlProp562.xml><?xml version="1.0" encoding="utf-8"?>
<formControlPr xmlns="http://schemas.microsoft.com/office/spreadsheetml/2009/9/main" objectType="GBox" noThreeD="1"/>
</file>

<file path=xl/ctrlProps/ctrlProp563.xml><?xml version="1.0" encoding="utf-8"?>
<formControlPr xmlns="http://schemas.microsoft.com/office/spreadsheetml/2009/9/main" objectType="Radio" firstButton="1" fmlaLink="$AV$13" lockText="1"/>
</file>

<file path=xl/ctrlProps/ctrlProp564.xml><?xml version="1.0" encoding="utf-8"?>
<formControlPr xmlns="http://schemas.microsoft.com/office/spreadsheetml/2009/9/main" objectType="Radio" lockText="1"/>
</file>

<file path=xl/ctrlProps/ctrlProp565.xml><?xml version="1.0" encoding="utf-8"?>
<formControlPr xmlns="http://schemas.microsoft.com/office/spreadsheetml/2009/9/main" objectType="CheckBox" fmlaLink="$AV$21" lockText="1"/>
</file>

<file path=xl/ctrlProps/ctrlProp566.xml><?xml version="1.0" encoding="utf-8"?>
<formControlPr xmlns="http://schemas.microsoft.com/office/spreadsheetml/2009/9/main" objectType="CheckBox" fmlaLink="$AV$22" lockText="1"/>
</file>

<file path=xl/ctrlProps/ctrlProp567.xml><?xml version="1.0" encoding="utf-8"?>
<formControlPr xmlns="http://schemas.microsoft.com/office/spreadsheetml/2009/9/main" objectType="CheckBox" fmlaLink="$AV$23" lockText="1"/>
</file>

<file path=xl/ctrlProps/ctrlProp568.xml><?xml version="1.0" encoding="utf-8"?>
<formControlPr xmlns="http://schemas.microsoft.com/office/spreadsheetml/2009/9/main" objectType="CheckBox" fmlaLink="$AV$20" lockText="1"/>
</file>

<file path=xl/ctrlProps/ctrlProp569.xml><?xml version="1.0" encoding="utf-8"?>
<formControlPr xmlns="http://schemas.microsoft.com/office/spreadsheetml/2009/9/main" objectType="CheckBox" fmlaLink="$AV$18" lockText="1"/>
</file>

<file path=xl/ctrlProps/ctrlProp57.xml><?xml version="1.0" encoding="utf-8"?>
<formControlPr xmlns="http://schemas.microsoft.com/office/spreadsheetml/2009/9/main" objectType="Radio" checked="Checked" firstButton="1" lockText="1"/>
</file>

<file path=xl/ctrlProps/ctrlProp570.xml><?xml version="1.0" encoding="utf-8"?>
<formControlPr xmlns="http://schemas.microsoft.com/office/spreadsheetml/2009/9/main" objectType="CheckBox" fmlaLink="$AV$29" lockText="1"/>
</file>

<file path=xl/ctrlProps/ctrlProp571.xml><?xml version="1.0" encoding="utf-8"?>
<formControlPr xmlns="http://schemas.microsoft.com/office/spreadsheetml/2009/9/main" objectType="CheckBox" fmlaLink="$AV$30" lockText="1"/>
</file>

<file path=xl/ctrlProps/ctrlProp572.xml><?xml version="1.0" encoding="utf-8"?>
<formControlPr xmlns="http://schemas.microsoft.com/office/spreadsheetml/2009/9/main" objectType="CheckBox" fmlaLink="$AV$31" lockText="1"/>
</file>

<file path=xl/ctrlProps/ctrlProp573.xml><?xml version="1.0" encoding="utf-8"?>
<formControlPr xmlns="http://schemas.microsoft.com/office/spreadsheetml/2009/9/main" objectType="CheckBox" fmlaLink="$AV$32" lockText="1"/>
</file>

<file path=xl/ctrlProps/ctrlProp574.xml><?xml version="1.0" encoding="utf-8"?>
<formControlPr xmlns="http://schemas.microsoft.com/office/spreadsheetml/2009/9/main" objectType="CheckBox" fmlaLink="$AV$33" lockText="1"/>
</file>

<file path=xl/ctrlProps/ctrlProp575.xml><?xml version="1.0" encoding="utf-8"?>
<formControlPr xmlns="http://schemas.microsoft.com/office/spreadsheetml/2009/9/main" objectType="CheckBox" fmlaLink="$AV$17" lockText="1"/>
</file>

<file path=xl/ctrlProps/ctrlProp576.xml><?xml version="1.0" encoding="utf-8"?>
<formControlPr xmlns="http://schemas.microsoft.com/office/spreadsheetml/2009/9/main" objectType="CheckBox" fmlaLink="$AV$44" lockText="1"/>
</file>

<file path=xl/ctrlProps/ctrlProp577.xml><?xml version="1.0" encoding="utf-8"?>
<formControlPr xmlns="http://schemas.microsoft.com/office/spreadsheetml/2009/9/main" objectType="CheckBox" fmlaLink="$AV$45" lockText="1"/>
</file>

<file path=xl/ctrlProps/ctrlProp578.xml><?xml version="1.0" encoding="utf-8"?>
<formControlPr xmlns="http://schemas.microsoft.com/office/spreadsheetml/2009/9/main" objectType="CheckBox" fmlaLink="$AV$47" lockText="1"/>
</file>

<file path=xl/ctrlProps/ctrlProp579.xml><?xml version="1.0" encoding="utf-8"?>
<formControlPr xmlns="http://schemas.microsoft.com/office/spreadsheetml/2009/9/main" objectType="CheckBox" fmlaLink="$AV$50" lockText="1"/>
</file>

<file path=xl/ctrlProps/ctrlProp58.xml><?xml version="1.0" encoding="utf-8"?>
<formControlPr xmlns="http://schemas.microsoft.com/office/spreadsheetml/2009/9/main" objectType="Radio" lockText="1"/>
</file>

<file path=xl/ctrlProps/ctrlProp580.xml><?xml version="1.0" encoding="utf-8"?>
<formControlPr xmlns="http://schemas.microsoft.com/office/spreadsheetml/2009/9/main" objectType="GBox" noThreeD="1"/>
</file>

<file path=xl/ctrlProps/ctrlProp581.xml><?xml version="1.0" encoding="utf-8"?>
<formControlPr xmlns="http://schemas.microsoft.com/office/spreadsheetml/2009/9/main" objectType="Radio" firstButton="1" fmlaLink="$AW$72" lockText="1"/>
</file>

<file path=xl/ctrlProps/ctrlProp582.xml><?xml version="1.0" encoding="utf-8"?>
<formControlPr xmlns="http://schemas.microsoft.com/office/spreadsheetml/2009/9/main" objectType="Radio" lockText="1"/>
</file>

<file path=xl/ctrlProps/ctrlProp583.xml><?xml version="1.0" encoding="utf-8"?>
<formControlPr xmlns="http://schemas.microsoft.com/office/spreadsheetml/2009/9/main" objectType="Radio" lockText="1"/>
</file>

<file path=xl/ctrlProps/ctrlProp584.xml><?xml version="1.0" encoding="utf-8"?>
<formControlPr xmlns="http://schemas.microsoft.com/office/spreadsheetml/2009/9/main" objectType="CheckBox" fmlaLink="$AV$60" lockText="1"/>
</file>

<file path=xl/ctrlProps/ctrlProp585.xml><?xml version="1.0" encoding="utf-8"?>
<formControlPr xmlns="http://schemas.microsoft.com/office/spreadsheetml/2009/9/main" objectType="CheckBox" fmlaLink="$AV$64" lockText="1"/>
</file>

<file path=xl/ctrlProps/ctrlProp586.xml><?xml version="1.0" encoding="utf-8"?>
<formControlPr xmlns="http://schemas.microsoft.com/office/spreadsheetml/2009/9/main" objectType="CheckBox" fmlaLink="$AV$65" lockText="1"/>
</file>

<file path=xl/ctrlProps/ctrlProp587.xml><?xml version="1.0" encoding="utf-8"?>
<formControlPr xmlns="http://schemas.microsoft.com/office/spreadsheetml/2009/9/main" objectType="CheckBox" fmlaLink="$AV$71" lockText="1"/>
</file>

<file path=xl/ctrlProps/ctrlProp588.xml><?xml version="1.0" encoding="utf-8"?>
<formControlPr xmlns="http://schemas.microsoft.com/office/spreadsheetml/2009/9/main" objectType="CheckBox" fmlaLink="$AV$75" lockText="1"/>
</file>

<file path=xl/ctrlProps/ctrlProp589.xml><?xml version="1.0" encoding="utf-8"?>
<formControlPr xmlns="http://schemas.microsoft.com/office/spreadsheetml/2009/9/main" objectType="CheckBox" fmlaLink="$AV$78" lockText="1"/>
</file>

<file path=xl/ctrlProps/ctrlProp59.xml><?xml version="1.0" encoding="utf-8"?>
<formControlPr xmlns="http://schemas.microsoft.com/office/spreadsheetml/2009/9/main" objectType="GBox" noThreeD="1"/>
</file>

<file path=xl/ctrlProps/ctrlProp590.xml><?xml version="1.0" encoding="utf-8"?>
<formControlPr xmlns="http://schemas.microsoft.com/office/spreadsheetml/2009/9/main" objectType="GBox" noThreeD="1"/>
</file>

<file path=xl/ctrlProps/ctrlProp591.xml><?xml version="1.0" encoding="utf-8"?>
<formControlPr xmlns="http://schemas.microsoft.com/office/spreadsheetml/2009/9/main" objectType="Radio" firstButton="1" fmlaLink="$AV$63" lockText="1"/>
</file>

<file path=xl/ctrlProps/ctrlProp592.xml><?xml version="1.0" encoding="utf-8"?>
<formControlPr xmlns="http://schemas.microsoft.com/office/spreadsheetml/2009/9/main" objectType="Radio" lockText="1"/>
</file>

<file path=xl/ctrlProps/ctrlProp593.xml><?xml version="1.0" encoding="utf-8"?>
<formControlPr xmlns="http://schemas.microsoft.com/office/spreadsheetml/2009/9/main" objectType="GBox" noThreeD="1"/>
</file>

<file path=xl/ctrlProps/ctrlProp594.xml><?xml version="1.0" encoding="utf-8"?>
<formControlPr xmlns="http://schemas.microsoft.com/office/spreadsheetml/2009/9/main" objectType="Radio" firstButton="1" fmlaLink="$AW$66" lockText="1"/>
</file>

<file path=xl/ctrlProps/ctrlProp595.xml><?xml version="1.0" encoding="utf-8"?>
<formControlPr xmlns="http://schemas.microsoft.com/office/spreadsheetml/2009/9/main" objectType="Radio" lockText="1"/>
</file>

<file path=xl/ctrlProps/ctrlProp596.xml><?xml version="1.0" encoding="utf-8"?>
<formControlPr xmlns="http://schemas.microsoft.com/office/spreadsheetml/2009/9/main" objectType="GBox" noThreeD="1"/>
</file>

<file path=xl/ctrlProps/ctrlProp597.xml><?xml version="1.0" encoding="utf-8"?>
<formControlPr xmlns="http://schemas.microsoft.com/office/spreadsheetml/2009/9/main" objectType="Radio" firstButton="1" fmlaLink="$AY$77" lockText="1"/>
</file>

<file path=xl/ctrlProps/ctrlProp598.xml><?xml version="1.0" encoding="utf-8"?>
<formControlPr xmlns="http://schemas.microsoft.com/office/spreadsheetml/2009/9/main" objectType="Radio" lockText="1"/>
</file>

<file path=xl/ctrlProps/ctrlProp599.xml><?xml version="1.0" encoding="utf-8"?>
<formControlPr xmlns="http://schemas.microsoft.com/office/spreadsheetml/2009/9/main" objectType="GBox" noThreeD="1"/>
</file>

<file path=xl/ctrlProps/ctrlProp6.xml><?xml version="1.0" encoding="utf-8"?>
<formControlPr xmlns="http://schemas.microsoft.com/office/spreadsheetml/2009/9/main" objectType="Radio" lockText="1"/>
</file>

<file path=xl/ctrlProps/ctrlProp60.xml><?xml version="1.0" encoding="utf-8"?>
<formControlPr xmlns="http://schemas.microsoft.com/office/spreadsheetml/2009/9/main" objectType="Radio" checked="Checked" firstButton="1" fmlaLink="$AV$128" lockText="1"/>
</file>

<file path=xl/ctrlProps/ctrlProp600.xml><?xml version="1.0" encoding="utf-8"?>
<formControlPr xmlns="http://schemas.microsoft.com/office/spreadsheetml/2009/9/main" objectType="Radio" checked="Checked" firstButton="1" fmlaLink="$AV$82" lockText="1"/>
</file>

<file path=xl/ctrlProps/ctrlProp601.xml><?xml version="1.0" encoding="utf-8"?>
<formControlPr xmlns="http://schemas.microsoft.com/office/spreadsheetml/2009/9/main" objectType="Radio" lockText="1"/>
</file>

<file path=xl/ctrlProps/ctrlProp602.xml><?xml version="1.0" encoding="utf-8"?>
<formControlPr xmlns="http://schemas.microsoft.com/office/spreadsheetml/2009/9/main" objectType="GBox" noThreeD="1"/>
</file>

<file path=xl/ctrlProps/ctrlProp603.xml><?xml version="1.0" encoding="utf-8"?>
<formControlPr xmlns="http://schemas.microsoft.com/office/spreadsheetml/2009/9/main" objectType="Radio" firstButton="1" fmlaLink="$AV$150" lockText="1"/>
</file>

<file path=xl/ctrlProps/ctrlProp604.xml><?xml version="1.0" encoding="utf-8"?>
<formControlPr xmlns="http://schemas.microsoft.com/office/spreadsheetml/2009/9/main" objectType="Radio" lockText="1"/>
</file>

<file path=xl/ctrlProps/ctrlProp605.xml><?xml version="1.0" encoding="utf-8"?>
<formControlPr xmlns="http://schemas.microsoft.com/office/spreadsheetml/2009/9/main" objectType="Radio" lockText="1"/>
</file>

<file path=xl/ctrlProps/ctrlProp606.xml><?xml version="1.0" encoding="utf-8"?>
<formControlPr xmlns="http://schemas.microsoft.com/office/spreadsheetml/2009/9/main" objectType="GBox" noThreeD="1"/>
</file>

<file path=xl/ctrlProps/ctrlProp607.xml><?xml version="1.0" encoding="utf-8"?>
<formControlPr xmlns="http://schemas.microsoft.com/office/spreadsheetml/2009/9/main" objectType="Radio" checked="Checked" firstButton="1" fmlaLink="$AV$154" lockText="1"/>
</file>

<file path=xl/ctrlProps/ctrlProp608.xml><?xml version="1.0" encoding="utf-8"?>
<formControlPr xmlns="http://schemas.microsoft.com/office/spreadsheetml/2009/9/main" objectType="Radio" lockText="1"/>
</file>

<file path=xl/ctrlProps/ctrlProp609.xml><?xml version="1.0" encoding="utf-8"?>
<formControlPr xmlns="http://schemas.microsoft.com/office/spreadsheetml/2009/9/main" objectType="GBox" noThreeD="1"/>
</file>

<file path=xl/ctrlProps/ctrlProp61.xml><?xml version="1.0" encoding="utf-8"?>
<formControlPr xmlns="http://schemas.microsoft.com/office/spreadsheetml/2009/9/main" objectType="Radio" lockText="1"/>
</file>

<file path=xl/ctrlProps/ctrlProp610.xml><?xml version="1.0" encoding="utf-8"?>
<formControlPr xmlns="http://schemas.microsoft.com/office/spreadsheetml/2009/9/main" objectType="Radio" firstButton="1" fmlaLink="$AV$156" lockText="1"/>
</file>

<file path=xl/ctrlProps/ctrlProp611.xml><?xml version="1.0" encoding="utf-8"?>
<formControlPr xmlns="http://schemas.microsoft.com/office/spreadsheetml/2009/9/main" objectType="Radio" lockText="1"/>
</file>

<file path=xl/ctrlProps/ctrlProp612.xml><?xml version="1.0" encoding="utf-8"?>
<formControlPr xmlns="http://schemas.microsoft.com/office/spreadsheetml/2009/9/main" objectType="GBox" noThreeD="1"/>
</file>

<file path=xl/ctrlProps/ctrlProp613.xml><?xml version="1.0" encoding="utf-8"?>
<formControlPr xmlns="http://schemas.microsoft.com/office/spreadsheetml/2009/9/main" objectType="Radio" firstButton="1" fmlaLink="$AW$156" lockText="1"/>
</file>

<file path=xl/ctrlProps/ctrlProp614.xml><?xml version="1.0" encoding="utf-8"?>
<formControlPr xmlns="http://schemas.microsoft.com/office/spreadsheetml/2009/9/main" objectType="Radio" lockText="1"/>
</file>

<file path=xl/ctrlProps/ctrlProp615.xml><?xml version="1.0" encoding="utf-8"?>
<formControlPr xmlns="http://schemas.microsoft.com/office/spreadsheetml/2009/9/main" objectType="GBox" noThreeD="1"/>
</file>

<file path=xl/ctrlProps/ctrlProp616.xml><?xml version="1.0" encoding="utf-8"?>
<formControlPr xmlns="http://schemas.microsoft.com/office/spreadsheetml/2009/9/main" objectType="Radio" firstButton="1" fmlaLink="$AV$157" lockText="1"/>
</file>

<file path=xl/ctrlProps/ctrlProp617.xml><?xml version="1.0" encoding="utf-8"?>
<formControlPr xmlns="http://schemas.microsoft.com/office/spreadsheetml/2009/9/main" objectType="Radio" lockText="1"/>
</file>

<file path=xl/ctrlProps/ctrlProp618.xml><?xml version="1.0" encoding="utf-8"?>
<formControlPr xmlns="http://schemas.microsoft.com/office/spreadsheetml/2009/9/main" objectType="GBox" noThreeD="1"/>
</file>

<file path=xl/ctrlProps/ctrlProp619.xml><?xml version="1.0" encoding="utf-8"?>
<formControlPr xmlns="http://schemas.microsoft.com/office/spreadsheetml/2009/9/main" objectType="GBox" noThreeD="1"/>
</file>

<file path=xl/ctrlProps/ctrlProp62.xml><?xml version="1.0" encoding="utf-8"?>
<formControlPr xmlns="http://schemas.microsoft.com/office/spreadsheetml/2009/9/main" objectType="GBox" noThreeD="1"/>
</file>

<file path=xl/ctrlProps/ctrlProp620.xml><?xml version="1.0" encoding="utf-8"?>
<formControlPr xmlns="http://schemas.microsoft.com/office/spreadsheetml/2009/9/main" objectType="Radio" firstButton="1" fmlaLink="$AV$158" lockText="1"/>
</file>

<file path=xl/ctrlProps/ctrlProp621.xml><?xml version="1.0" encoding="utf-8"?>
<formControlPr xmlns="http://schemas.microsoft.com/office/spreadsheetml/2009/9/main" objectType="Radio" checked="Checked" lockText="1"/>
</file>

<file path=xl/ctrlProps/ctrlProp622.xml><?xml version="1.0" encoding="utf-8"?>
<formControlPr xmlns="http://schemas.microsoft.com/office/spreadsheetml/2009/9/main" objectType="Radio" lockText="1"/>
</file>

<file path=xl/ctrlProps/ctrlProp623.xml><?xml version="1.0" encoding="utf-8"?>
<formControlPr xmlns="http://schemas.microsoft.com/office/spreadsheetml/2009/9/main" objectType="GBox" noThreeD="1"/>
</file>

<file path=xl/ctrlProps/ctrlProp624.xml><?xml version="1.0" encoding="utf-8"?>
<formControlPr xmlns="http://schemas.microsoft.com/office/spreadsheetml/2009/9/main" objectType="Radio" firstButton="1" fmlaLink="$AV$84" lockText="1"/>
</file>

<file path=xl/ctrlProps/ctrlProp625.xml><?xml version="1.0" encoding="utf-8"?>
<formControlPr xmlns="http://schemas.microsoft.com/office/spreadsheetml/2009/9/main" objectType="Radio" lockText="1"/>
</file>

<file path=xl/ctrlProps/ctrlProp626.xml><?xml version="1.0" encoding="utf-8"?>
<formControlPr xmlns="http://schemas.microsoft.com/office/spreadsheetml/2009/9/main" objectType="Radio" lockText="1"/>
</file>

<file path=xl/ctrlProps/ctrlProp627.xml><?xml version="1.0" encoding="utf-8"?>
<formControlPr xmlns="http://schemas.microsoft.com/office/spreadsheetml/2009/9/main" objectType="GBox" noThreeD="1"/>
</file>

<file path=xl/ctrlProps/ctrlProp628.xml><?xml version="1.0" encoding="utf-8"?>
<formControlPr xmlns="http://schemas.microsoft.com/office/spreadsheetml/2009/9/main" objectType="Radio" firstButton="1" fmlaLink="$AV$87" lockText="1"/>
</file>

<file path=xl/ctrlProps/ctrlProp629.xml><?xml version="1.0" encoding="utf-8"?>
<formControlPr xmlns="http://schemas.microsoft.com/office/spreadsheetml/2009/9/main" objectType="Radio" lockText="1"/>
</file>

<file path=xl/ctrlProps/ctrlProp63.xml><?xml version="1.0" encoding="utf-8"?>
<formControlPr xmlns="http://schemas.microsoft.com/office/spreadsheetml/2009/9/main" objectType="GBox" noThreeD="1"/>
</file>

<file path=xl/ctrlProps/ctrlProp630.xml><?xml version="1.0" encoding="utf-8"?>
<formControlPr xmlns="http://schemas.microsoft.com/office/spreadsheetml/2009/9/main" objectType="CheckBox" fmlaLink="$AV$175" lockText="1"/>
</file>

<file path=xl/ctrlProps/ctrlProp631.xml><?xml version="1.0" encoding="utf-8"?>
<formControlPr xmlns="http://schemas.microsoft.com/office/spreadsheetml/2009/9/main" objectType="CheckBox" fmlaLink="$AV$80" lockText="1"/>
</file>

<file path=xl/ctrlProps/ctrlProp632.xml><?xml version="1.0" encoding="utf-8"?>
<formControlPr xmlns="http://schemas.microsoft.com/office/spreadsheetml/2009/9/main" objectType="GBox" noThreeD="1"/>
</file>

<file path=xl/ctrlProps/ctrlProp633.xml><?xml version="1.0" encoding="utf-8"?>
<formControlPr xmlns="http://schemas.microsoft.com/office/spreadsheetml/2009/9/main" objectType="Radio" firstButton="1" fmlaLink="$BA$79" lockText="1"/>
</file>

<file path=xl/ctrlProps/ctrlProp634.xml><?xml version="1.0" encoding="utf-8"?>
<formControlPr xmlns="http://schemas.microsoft.com/office/spreadsheetml/2009/9/main" objectType="Radio" lockText="1"/>
</file>

<file path=xl/ctrlProps/ctrlProp635.xml><?xml version="1.0" encoding="utf-8"?>
<formControlPr xmlns="http://schemas.microsoft.com/office/spreadsheetml/2009/9/main" objectType="CheckBox" fmlaLink="$AV$89" lockText="1"/>
</file>

<file path=xl/ctrlProps/ctrlProp636.xml><?xml version="1.0" encoding="utf-8"?>
<formControlPr xmlns="http://schemas.microsoft.com/office/spreadsheetml/2009/9/main" objectType="GBox" noThreeD="1"/>
</file>

<file path=xl/ctrlProps/ctrlProp637.xml><?xml version="1.0" encoding="utf-8"?>
<formControlPr xmlns="http://schemas.microsoft.com/office/spreadsheetml/2009/9/main" objectType="Radio" checked="Checked" firstButton="1" fmlaLink="$AV$159" lockText="1"/>
</file>

<file path=xl/ctrlProps/ctrlProp638.xml><?xml version="1.0" encoding="utf-8"?>
<formControlPr xmlns="http://schemas.microsoft.com/office/spreadsheetml/2009/9/main" objectType="Radio" lockText="1"/>
</file>

<file path=xl/ctrlProps/ctrlProp639.xml><?xml version="1.0" encoding="utf-8"?>
<formControlPr xmlns="http://schemas.microsoft.com/office/spreadsheetml/2009/9/main" objectType="CheckBox" fmlaLink="$AV$34" lockText="1"/>
</file>

<file path=xl/ctrlProps/ctrlProp64.xml><?xml version="1.0" encoding="utf-8"?>
<formControlPr xmlns="http://schemas.microsoft.com/office/spreadsheetml/2009/9/main" objectType="Radio" checked="Checked" firstButton="1" fmlaLink="$AV$12" lockText="1"/>
</file>

<file path=xl/ctrlProps/ctrlProp640.xml><?xml version="1.0" encoding="utf-8"?>
<formControlPr xmlns="http://schemas.microsoft.com/office/spreadsheetml/2009/9/main" objectType="Radio" firstButton="1" fmlaLink="$G$5" lockText="1"/>
</file>

<file path=xl/ctrlProps/ctrlProp641.xml><?xml version="1.0" encoding="utf-8"?>
<formControlPr xmlns="http://schemas.microsoft.com/office/spreadsheetml/2009/9/main" objectType="Radio" lockText="1"/>
</file>

<file path=xl/ctrlProps/ctrlProp642.xml><?xml version="1.0" encoding="utf-8"?>
<formControlPr xmlns="http://schemas.microsoft.com/office/spreadsheetml/2009/9/main" objectType="Radio" lockText="1"/>
</file>

<file path=xl/ctrlProps/ctrlProp643.xml><?xml version="1.0" encoding="utf-8"?>
<formControlPr xmlns="http://schemas.microsoft.com/office/spreadsheetml/2009/9/main" objectType="Radio" lockText="1"/>
</file>

<file path=xl/ctrlProps/ctrlProp644.xml><?xml version="1.0" encoding="utf-8"?>
<formControlPr xmlns="http://schemas.microsoft.com/office/spreadsheetml/2009/9/main" objectType="Radio" lockText="1"/>
</file>

<file path=xl/ctrlProps/ctrlProp645.xml><?xml version="1.0" encoding="utf-8"?>
<formControlPr xmlns="http://schemas.microsoft.com/office/spreadsheetml/2009/9/main" objectType="Radio" lockText="1"/>
</file>

<file path=xl/ctrlProps/ctrlProp646.xml><?xml version="1.0" encoding="utf-8"?>
<formControlPr xmlns="http://schemas.microsoft.com/office/spreadsheetml/2009/9/main" objectType="Radio" lockText="1"/>
</file>

<file path=xl/ctrlProps/ctrlProp647.xml><?xml version="1.0" encoding="utf-8"?>
<formControlPr xmlns="http://schemas.microsoft.com/office/spreadsheetml/2009/9/main" objectType="Radio" lockText="1"/>
</file>

<file path=xl/ctrlProps/ctrlProp648.xml><?xml version="1.0" encoding="utf-8"?>
<formControlPr xmlns="http://schemas.microsoft.com/office/spreadsheetml/2009/9/main" objectType="Radio" lockText="1"/>
</file>

<file path=xl/ctrlProps/ctrlProp649.xml><?xml version="1.0" encoding="utf-8"?>
<formControlPr xmlns="http://schemas.microsoft.com/office/spreadsheetml/2009/9/main" objectType="Radio" lockText="1"/>
</file>

<file path=xl/ctrlProps/ctrlProp65.xml><?xml version="1.0" encoding="utf-8"?>
<formControlPr xmlns="http://schemas.microsoft.com/office/spreadsheetml/2009/9/main" objectType="Radio" firstButton="1" lockText="1"/>
</file>

<file path=xl/ctrlProps/ctrlProp650.xml><?xml version="1.0" encoding="utf-8"?>
<formControlPr xmlns="http://schemas.microsoft.com/office/spreadsheetml/2009/9/main" objectType="Radio" lockText="1"/>
</file>

<file path=xl/ctrlProps/ctrlProp651.xml><?xml version="1.0" encoding="utf-8"?>
<formControlPr xmlns="http://schemas.microsoft.com/office/spreadsheetml/2009/9/main" objectType="Radio" lockText="1"/>
</file>

<file path=xl/ctrlProps/ctrlProp652.xml><?xml version="1.0" encoding="utf-8"?>
<formControlPr xmlns="http://schemas.microsoft.com/office/spreadsheetml/2009/9/main" objectType="Radio" lockText="1"/>
</file>

<file path=xl/ctrlProps/ctrlProp653.xml><?xml version="1.0" encoding="utf-8"?>
<formControlPr xmlns="http://schemas.microsoft.com/office/spreadsheetml/2009/9/main" objectType="Radio" lockText="1"/>
</file>

<file path=xl/ctrlProps/ctrlProp654.xml><?xml version="1.0" encoding="utf-8"?>
<formControlPr xmlns="http://schemas.microsoft.com/office/spreadsheetml/2009/9/main" objectType="Radio" lockText="1"/>
</file>

<file path=xl/ctrlProps/ctrlProp655.xml><?xml version="1.0" encoding="utf-8"?>
<formControlPr xmlns="http://schemas.microsoft.com/office/spreadsheetml/2009/9/main" objectType="Radio" lockText="1"/>
</file>

<file path=xl/ctrlProps/ctrlProp656.xml><?xml version="1.0" encoding="utf-8"?>
<formControlPr xmlns="http://schemas.microsoft.com/office/spreadsheetml/2009/9/main" objectType="Radio" lockText="1"/>
</file>

<file path=xl/ctrlProps/ctrlProp657.xml><?xml version="1.0" encoding="utf-8"?>
<formControlPr xmlns="http://schemas.microsoft.com/office/spreadsheetml/2009/9/main" objectType="Radio" lockText="1"/>
</file>

<file path=xl/ctrlProps/ctrlProp658.xml><?xml version="1.0" encoding="utf-8"?>
<formControlPr xmlns="http://schemas.microsoft.com/office/spreadsheetml/2009/9/main" objectType="Radio" lockText="1"/>
</file>

<file path=xl/ctrlProps/ctrlProp659.xml><?xml version="1.0" encoding="utf-8"?>
<formControlPr xmlns="http://schemas.microsoft.com/office/spreadsheetml/2009/9/main" objectType="Radio" lockText="1"/>
</file>

<file path=xl/ctrlProps/ctrlProp66.xml><?xml version="1.0" encoding="utf-8"?>
<formControlPr xmlns="http://schemas.microsoft.com/office/spreadsheetml/2009/9/main" objectType="CheckBox" fmlaLink="$AV$21" lockText="1"/>
</file>

<file path=xl/ctrlProps/ctrlProp660.xml><?xml version="1.0" encoding="utf-8"?>
<formControlPr xmlns="http://schemas.microsoft.com/office/spreadsheetml/2009/9/main" objectType="Radio" lockText="1"/>
</file>

<file path=xl/ctrlProps/ctrlProp661.xml><?xml version="1.0" encoding="utf-8"?>
<formControlPr xmlns="http://schemas.microsoft.com/office/spreadsheetml/2009/9/main" objectType="Radio" lockText="1"/>
</file>

<file path=xl/ctrlProps/ctrlProp662.xml><?xml version="1.0" encoding="utf-8"?>
<formControlPr xmlns="http://schemas.microsoft.com/office/spreadsheetml/2009/9/main" objectType="Radio" lockText="1"/>
</file>

<file path=xl/ctrlProps/ctrlProp663.xml><?xml version="1.0" encoding="utf-8"?>
<formControlPr xmlns="http://schemas.microsoft.com/office/spreadsheetml/2009/9/main" objectType="Radio" lockText="1"/>
</file>

<file path=xl/ctrlProps/ctrlProp664.xml><?xml version="1.0" encoding="utf-8"?>
<formControlPr xmlns="http://schemas.microsoft.com/office/spreadsheetml/2009/9/main" objectType="Radio" lockText="1"/>
</file>

<file path=xl/ctrlProps/ctrlProp665.xml><?xml version="1.0" encoding="utf-8"?>
<formControlPr xmlns="http://schemas.microsoft.com/office/spreadsheetml/2009/9/main" objectType="Radio" lockText="1"/>
</file>

<file path=xl/ctrlProps/ctrlProp666.xml><?xml version="1.0" encoding="utf-8"?>
<formControlPr xmlns="http://schemas.microsoft.com/office/spreadsheetml/2009/9/main" objectType="Radio" lockText="1"/>
</file>

<file path=xl/ctrlProps/ctrlProp667.xml><?xml version="1.0" encoding="utf-8"?>
<formControlPr xmlns="http://schemas.microsoft.com/office/spreadsheetml/2009/9/main" objectType="Radio" lockText="1"/>
</file>

<file path=xl/ctrlProps/ctrlProp668.xml><?xml version="1.0" encoding="utf-8"?>
<formControlPr xmlns="http://schemas.microsoft.com/office/spreadsheetml/2009/9/main" objectType="Radio" lockText="1"/>
</file>

<file path=xl/ctrlProps/ctrlProp669.xml><?xml version="1.0" encoding="utf-8"?>
<formControlPr xmlns="http://schemas.microsoft.com/office/spreadsheetml/2009/9/main" objectType="Radio" lockText="1"/>
</file>

<file path=xl/ctrlProps/ctrlProp67.xml><?xml version="1.0" encoding="utf-8"?>
<formControlPr xmlns="http://schemas.microsoft.com/office/spreadsheetml/2009/9/main" objectType="CheckBox" fmlaLink="$AV$22" lockText="1"/>
</file>

<file path=xl/ctrlProps/ctrlProp670.xml><?xml version="1.0" encoding="utf-8"?>
<formControlPr xmlns="http://schemas.microsoft.com/office/spreadsheetml/2009/9/main" objectType="Radio" lockText="1"/>
</file>

<file path=xl/ctrlProps/ctrlProp671.xml><?xml version="1.0" encoding="utf-8"?>
<formControlPr xmlns="http://schemas.microsoft.com/office/spreadsheetml/2009/9/main" objectType="Radio" lockText="1"/>
</file>

<file path=xl/ctrlProps/ctrlProp672.xml><?xml version="1.0" encoding="utf-8"?>
<formControlPr xmlns="http://schemas.microsoft.com/office/spreadsheetml/2009/9/main" objectType="Radio" lockText="1"/>
</file>

<file path=xl/ctrlProps/ctrlProp673.xml><?xml version="1.0" encoding="utf-8"?>
<formControlPr xmlns="http://schemas.microsoft.com/office/spreadsheetml/2009/9/main" objectType="Radio" lockText="1"/>
</file>

<file path=xl/ctrlProps/ctrlProp674.xml><?xml version="1.0" encoding="utf-8"?>
<formControlPr xmlns="http://schemas.microsoft.com/office/spreadsheetml/2009/9/main" objectType="Radio" lockText="1"/>
</file>

<file path=xl/ctrlProps/ctrlProp675.xml><?xml version="1.0" encoding="utf-8"?>
<formControlPr xmlns="http://schemas.microsoft.com/office/spreadsheetml/2009/9/main" objectType="Radio" lockText="1"/>
</file>

<file path=xl/ctrlProps/ctrlProp676.xml><?xml version="1.0" encoding="utf-8"?>
<formControlPr xmlns="http://schemas.microsoft.com/office/spreadsheetml/2009/9/main" objectType="Radio" lockText="1"/>
</file>

<file path=xl/ctrlProps/ctrlProp677.xml><?xml version="1.0" encoding="utf-8"?>
<formControlPr xmlns="http://schemas.microsoft.com/office/spreadsheetml/2009/9/main" objectType="Radio" lockText="1"/>
</file>

<file path=xl/ctrlProps/ctrlProp678.xml><?xml version="1.0" encoding="utf-8"?>
<formControlPr xmlns="http://schemas.microsoft.com/office/spreadsheetml/2009/9/main" objectType="Radio" lockText="1"/>
</file>

<file path=xl/ctrlProps/ctrlProp679.xml><?xml version="1.0" encoding="utf-8"?>
<formControlPr xmlns="http://schemas.microsoft.com/office/spreadsheetml/2009/9/main" objectType="Radio" lockText="1"/>
</file>

<file path=xl/ctrlProps/ctrlProp68.xml><?xml version="1.0" encoding="utf-8"?>
<formControlPr xmlns="http://schemas.microsoft.com/office/spreadsheetml/2009/9/main" objectType="CheckBox" fmlaLink="$AV$23" lockText="1"/>
</file>

<file path=xl/ctrlProps/ctrlProp680.xml><?xml version="1.0" encoding="utf-8"?>
<formControlPr xmlns="http://schemas.microsoft.com/office/spreadsheetml/2009/9/main" objectType="Radio" lockText="1"/>
</file>

<file path=xl/ctrlProps/ctrlProp681.xml><?xml version="1.0" encoding="utf-8"?>
<formControlPr xmlns="http://schemas.microsoft.com/office/spreadsheetml/2009/9/main" objectType="Radio" lockText="1"/>
</file>

<file path=xl/ctrlProps/ctrlProp682.xml><?xml version="1.0" encoding="utf-8"?>
<formControlPr xmlns="http://schemas.microsoft.com/office/spreadsheetml/2009/9/main" objectType="Radio" lockText="1"/>
</file>

<file path=xl/ctrlProps/ctrlProp683.xml><?xml version="1.0" encoding="utf-8"?>
<formControlPr xmlns="http://schemas.microsoft.com/office/spreadsheetml/2009/9/main" objectType="Radio" lockText="1"/>
</file>

<file path=xl/ctrlProps/ctrlProp684.xml><?xml version="1.0" encoding="utf-8"?>
<formControlPr xmlns="http://schemas.microsoft.com/office/spreadsheetml/2009/9/main" objectType="Radio" lockText="1"/>
</file>

<file path=xl/ctrlProps/ctrlProp685.xml><?xml version="1.0" encoding="utf-8"?>
<formControlPr xmlns="http://schemas.microsoft.com/office/spreadsheetml/2009/9/main" objectType="Radio" lockText="1"/>
</file>

<file path=xl/ctrlProps/ctrlProp686.xml><?xml version="1.0" encoding="utf-8"?>
<formControlPr xmlns="http://schemas.microsoft.com/office/spreadsheetml/2009/9/main" objectType="Radio" lockText="1"/>
</file>

<file path=xl/ctrlProps/ctrlProp687.xml><?xml version="1.0" encoding="utf-8"?>
<formControlPr xmlns="http://schemas.microsoft.com/office/spreadsheetml/2009/9/main" objectType="Radio" lockText="1"/>
</file>

<file path=xl/ctrlProps/ctrlProp688.xml><?xml version="1.0" encoding="utf-8"?>
<formControlPr xmlns="http://schemas.microsoft.com/office/spreadsheetml/2009/9/main" objectType="Radio" lockText="1"/>
</file>

<file path=xl/ctrlProps/ctrlProp689.xml><?xml version="1.0" encoding="utf-8"?>
<formControlPr xmlns="http://schemas.microsoft.com/office/spreadsheetml/2009/9/main" objectType="Radio" lockText="1"/>
</file>

<file path=xl/ctrlProps/ctrlProp69.xml><?xml version="1.0" encoding="utf-8"?>
<formControlPr xmlns="http://schemas.microsoft.com/office/spreadsheetml/2009/9/main" objectType="CheckBox" fmlaLink="$AV$20" lockText="1"/>
</file>

<file path=xl/ctrlProps/ctrlProp690.xml><?xml version="1.0" encoding="utf-8"?>
<formControlPr xmlns="http://schemas.microsoft.com/office/spreadsheetml/2009/9/main" objectType="Radio" lockText="1"/>
</file>

<file path=xl/ctrlProps/ctrlProp691.xml><?xml version="1.0" encoding="utf-8"?>
<formControlPr xmlns="http://schemas.microsoft.com/office/spreadsheetml/2009/9/main" objectType="Radio" lockText="1"/>
</file>

<file path=xl/ctrlProps/ctrlProp692.xml><?xml version="1.0" encoding="utf-8"?>
<formControlPr xmlns="http://schemas.microsoft.com/office/spreadsheetml/2009/9/main" objectType="Radio" lockText="1"/>
</file>

<file path=xl/ctrlProps/ctrlProp693.xml><?xml version="1.0" encoding="utf-8"?>
<formControlPr xmlns="http://schemas.microsoft.com/office/spreadsheetml/2009/9/main" objectType="Radio" lockText="1"/>
</file>

<file path=xl/ctrlProps/ctrlProp694.xml><?xml version="1.0" encoding="utf-8"?>
<formControlPr xmlns="http://schemas.microsoft.com/office/spreadsheetml/2009/9/main" objectType="Radio" lockText="1"/>
</file>

<file path=xl/ctrlProps/ctrlProp695.xml><?xml version="1.0" encoding="utf-8"?>
<formControlPr xmlns="http://schemas.microsoft.com/office/spreadsheetml/2009/9/main" objectType="Radio" lockText="1"/>
</file>

<file path=xl/ctrlProps/ctrlProp696.xml><?xml version="1.0" encoding="utf-8"?>
<formControlPr xmlns="http://schemas.microsoft.com/office/spreadsheetml/2009/9/main" objectType="Radio" lockText="1"/>
</file>

<file path=xl/ctrlProps/ctrlProp697.xml><?xml version="1.0" encoding="utf-8"?>
<formControlPr xmlns="http://schemas.microsoft.com/office/spreadsheetml/2009/9/main" objectType="Radio" lockText="1"/>
</file>

<file path=xl/ctrlProps/ctrlProp698.xml><?xml version="1.0" encoding="utf-8"?>
<formControlPr xmlns="http://schemas.microsoft.com/office/spreadsheetml/2009/9/main" objectType="Radio" lockText="1"/>
</file>

<file path=xl/ctrlProps/ctrlProp699.xml><?xml version="1.0" encoding="utf-8"?>
<formControlPr xmlns="http://schemas.microsoft.com/office/spreadsheetml/2009/9/main" objectType="Radio" lockText="1"/>
</file>

<file path=xl/ctrlProps/ctrlProp7.xml><?xml version="1.0" encoding="utf-8"?>
<formControlPr xmlns="http://schemas.microsoft.com/office/spreadsheetml/2009/9/main" objectType="GBox" noThreeD="1"/>
</file>

<file path=xl/ctrlProps/ctrlProp70.xml><?xml version="1.0" encoding="utf-8"?>
<formControlPr xmlns="http://schemas.microsoft.com/office/spreadsheetml/2009/9/main" objectType="CheckBox" checked="Checked" fmlaLink="$AV$18" lockText="1"/>
</file>

<file path=xl/ctrlProps/ctrlProp700.xml><?xml version="1.0" encoding="utf-8"?>
<formControlPr xmlns="http://schemas.microsoft.com/office/spreadsheetml/2009/9/main" objectType="Radio" lockText="1"/>
</file>

<file path=xl/ctrlProps/ctrlProp701.xml><?xml version="1.0" encoding="utf-8"?>
<formControlPr xmlns="http://schemas.microsoft.com/office/spreadsheetml/2009/9/main" objectType="Radio" lockText="1"/>
</file>

<file path=xl/ctrlProps/ctrlProp702.xml><?xml version="1.0" encoding="utf-8"?>
<formControlPr xmlns="http://schemas.microsoft.com/office/spreadsheetml/2009/9/main" objectType="Radio" lockText="1"/>
</file>

<file path=xl/ctrlProps/ctrlProp703.xml><?xml version="1.0" encoding="utf-8"?>
<formControlPr xmlns="http://schemas.microsoft.com/office/spreadsheetml/2009/9/main" objectType="Radio" lockText="1"/>
</file>

<file path=xl/ctrlProps/ctrlProp704.xml><?xml version="1.0" encoding="utf-8"?>
<formControlPr xmlns="http://schemas.microsoft.com/office/spreadsheetml/2009/9/main" objectType="Radio" lockText="1"/>
</file>

<file path=xl/ctrlProps/ctrlProp705.xml><?xml version="1.0" encoding="utf-8"?>
<formControlPr xmlns="http://schemas.microsoft.com/office/spreadsheetml/2009/9/main" objectType="Radio" lockText="1"/>
</file>

<file path=xl/ctrlProps/ctrlProp706.xml><?xml version="1.0" encoding="utf-8"?>
<formControlPr xmlns="http://schemas.microsoft.com/office/spreadsheetml/2009/9/main" objectType="Radio" lockText="1"/>
</file>

<file path=xl/ctrlProps/ctrlProp707.xml><?xml version="1.0" encoding="utf-8"?>
<formControlPr xmlns="http://schemas.microsoft.com/office/spreadsheetml/2009/9/main" objectType="Radio" lockText="1"/>
</file>

<file path=xl/ctrlProps/ctrlProp708.xml><?xml version="1.0" encoding="utf-8"?>
<formControlPr xmlns="http://schemas.microsoft.com/office/spreadsheetml/2009/9/main" objectType="Radio" lockText="1"/>
</file>

<file path=xl/ctrlProps/ctrlProp709.xml><?xml version="1.0" encoding="utf-8"?>
<formControlPr xmlns="http://schemas.microsoft.com/office/spreadsheetml/2009/9/main" objectType="Radio" lockText="1"/>
</file>

<file path=xl/ctrlProps/ctrlProp71.xml><?xml version="1.0" encoding="utf-8"?>
<formControlPr xmlns="http://schemas.microsoft.com/office/spreadsheetml/2009/9/main" objectType="CheckBox" checked="Checked" fmlaLink="$AV$29" lockText="1"/>
</file>

<file path=xl/ctrlProps/ctrlProp710.xml><?xml version="1.0" encoding="utf-8"?>
<formControlPr xmlns="http://schemas.microsoft.com/office/spreadsheetml/2009/9/main" objectType="Radio" lockText="1"/>
</file>

<file path=xl/ctrlProps/ctrlProp711.xml><?xml version="1.0" encoding="utf-8"?>
<formControlPr xmlns="http://schemas.microsoft.com/office/spreadsheetml/2009/9/main" objectType="Radio" lockText="1"/>
</file>

<file path=xl/ctrlProps/ctrlProp712.xml><?xml version="1.0" encoding="utf-8"?>
<formControlPr xmlns="http://schemas.microsoft.com/office/spreadsheetml/2009/9/main" objectType="Radio" lockText="1"/>
</file>

<file path=xl/ctrlProps/ctrlProp713.xml><?xml version="1.0" encoding="utf-8"?>
<formControlPr xmlns="http://schemas.microsoft.com/office/spreadsheetml/2009/9/main" objectType="Radio" lockText="1"/>
</file>

<file path=xl/ctrlProps/ctrlProp714.xml><?xml version="1.0" encoding="utf-8"?>
<formControlPr xmlns="http://schemas.microsoft.com/office/spreadsheetml/2009/9/main" objectType="Radio" lockText="1"/>
</file>

<file path=xl/ctrlProps/ctrlProp715.xml><?xml version="1.0" encoding="utf-8"?>
<formControlPr xmlns="http://schemas.microsoft.com/office/spreadsheetml/2009/9/main" objectType="Radio" lockText="1"/>
</file>

<file path=xl/ctrlProps/ctrlProp716.xml><?xml version="1.0" encoding="utf-8"?>
<formControlPr xmlns="http://schemas.microsoft.com/office/spreadsheetml/2009/9/main" objectType="Radio" lockText="1"/>
</file>

<file path=xl/ctrlProps/ctrlProp717.xml><?xml version="1.0" encoding="utf-8"?>
<formControlPr xmlns="http://schemas.microsoft.com/office/spreadsheetml/2009/9/main" objectType="Radio" lockText="1"/>
</file>

<file path=xl/ctrlProps/ctrlProp718.xml><?xml version="1.0" encoding="utf-8"?>
<formControlPr xmlns="http://schemas.microsoft.com/office/spreadsheetml/2009/9/main" objectType="Radio" lockText="1"/>
</file>

<file path=xl/ctrlProps/ctrlProp719.xml><?xml version="1.0" encoding="utf-8"?>
<formControlPr xmlns="http://schemas.microsoft.com/office/spreadsheetml/2009/9/main" objectType="Radio" lockText="1"/>
</file>

<file path=xl/ctrlProps/ctrlProp72.xml><?xml version="1.0" encoding="utf-8"?>
<formControlPr xmlns="http://schemas.microsoft.com/office/spreadsheetml/2009/9/main" objectType="CheckBox" checked="Checked" fmlaLink="$AV$30" lockText="1"/>
</file>

<file path=xl/ctrlProps/ctrlProp720.xml><?xml version="1.0" encoding="utf-8"?>
<formControlPr xmlns="http://schemas.microsoft.com/office/spreadsheetml/2009/9/main" objectType="Radio" lockText="1"/>
</file>

<file path=xl/ctrlProps/ctrlProp721.xml><?xml version="1.0" encoding="utf-8"?>
<formControlPr xmlns="http://schemas.microsoft.com/office/spreadsheetml/2009/9/main" objectType="Radio" lockText="1"/>
</file>

<file path=xl/ctrlProps/ctrlProp722.xml><?xml version="1.0" encoding="utf-8"?>
<formControlPr xmlns="http://schemas.microsoft.com/office/spreadsheetml/2009/9/main" objectType="Radio" lockText="1"/>
</file>

<file path=xl/ctrlProps/ctrlProp723.xml><?xml version="1.0" encoding="utf-8"?>
<formControlPr xmlns="http://schemas.microsoft.com/office/spreadsheetml/2009/9/main" objectType="Radio" lockText="1"/>
</file>

<file path=xl/ctrlProps/ctrlProp724.xml><?xml version="1.0" encoding="utf-8"?>
<formControlPr xmlns="http://schemas.microsoft.com/office/spreadsheetml/2009/9/main" objectType="Radio" lockText="1"/>
</file>

<file path=xl/ctrlProps/ctrlProp725.xml><?xml version="1.0" encoding="utf-8"?>
<formControlPr xmlns="http://schemas.microsoft.com/office/spreadsheetml/2009/9/main" objectType="Radio" lockText="1"/>
</file>

<file path=xl/ctrlProps/ctrlProp726.xml><?xml version="1.0" encoding="utf-8"?>
<formControlPr xmlns="http://schemas.microsoft.com/office/spreadsheetml/2009/9/main" objectType="Radio" lockText="1"/>
</file>

<file path=xl/ctrlProps/ctrlProp727.xml><?xml version="1.0" encoding="utf-8"?>
<formControlPr xmlns="http://schemas.microsoft.com/office/spreadsheetml/2009/9/main" objectType="Radio" lockText="1"/>
</file>

<file path=xl/ctrlProps/ctrlProp728.xml><?xml version="1.0" encoding="utf-8"?>
<formControlPr xmlns="http://schemas.microsoft.com/office/spreadsheetml/2009/9/main" objectType="Radio" lockText="1"/>
</file>

<file path=xl/ctrlProps/ctrlProp729.xml><?xml version="1.0" encoding="utf-8"?>
<formControlPr xmlns="http://schemas.microsoft.com/office/spreadsheetml/2009/9/main" objectType="Radio" lockText="1"/>
</file>

<file path=xl/ctrlProps/ctrlProp73.xml><?xml version="1.0" encoding="utf-8"?>
<formControlPr xmlns="http://schemas.microsoft.com/office/spreadsheetml/2009/9/main" objectType="CheckBox" checked="Checked" fmlaLink="$AV$31" lockText="1"/>
</file>

<file path=xl/ctrlProps/ctrlProp730.xml><?xml version="1.0" encoding="utf-8"?>
<formControlPr xmlns="http://schemas.microsoft.com/office/spreadsheetml/2009/9/main" objectType="Radio" firstButton="1" fmlaLink="$G$5" lockText="1"/>
</file>

<file path=xl/ctrlProps/ctrlProp731.xml><?xml version="1.0" encoding="utf-8"?>
<formControlPr xmlns="http://schemas.microsoft.com/office/spreadsheetml/2009/9/main" objectType="Radio" lockText="1"/>
</file>

<file path=xl/ctrlProps/ctrlProp732.xml><?xml version="1.0" encoding="utf-8"?>
<formControlPr xmlns="http://schemas.microsoft.com/office/spreadsheetml/2009/9/main" objectType="Radio" lockText="1"/>
</file>

<file path=xl/ctrlProps/ctrlProp733.xml><?xml version="1.0" encoding="utf-8"?>
<formControlPr xmlns="http://schemas.microsoft.com/office/spreadsheetml/2009/9/main" objectType="Radio" lockText="1"/>
</file>

<file path=xl/ctrlProps/ctrlProp734.xml><?xml version="1.0" encoding="utf-8"?>
<formControlPr xmlns="http://schemas.microsoft.com/office/spreadsheetml/2009/9/main" objectType="Radio" lockText="1"/>
</file>

<file path=xl/ctrlProps/ctrlProp735.xml><?xml version="1.0" encoding="utf-8"?>
<formControlPr xmlns="http://schemas.microsoft.com/office/spreadsheetml/2009/9/main" objectType="Radio" lockText="1"/>
</file>

<file path=xl/ctrlProps/ctrlProp736.xml><?xml version="1.0" encoding="utf-8"?>
<formControlPr xmlns="http://schemas.microsoft.com/office/spreadsheetml/2009/9/main" objectType="Radio" lockText="1"/>
</file>

<file path=xl/ctrlProps/ctrlProp737.xml><?xml version="1.0" encoding="utf-8"?>
<formControlPr xmlns="http://schemas.microsoft.com/office/spreadsheetml/2009/9/main" objectType="Radio" lockText="1"/>
</file>

<file path=xl/ctrlProps/ctrlProp738.xml><?xml version="1.0" encoding="utf-8"?>
<formControlPr xmlns="http://schemas.microsoft.com/office/spreadsheetml/2009/9/main" objectType="Radio" lockText="1"/>
</file>

<file path=xl/ctrlProps/ctrlProp739.xml><?xml version="1.0" encoding="utf-8"?>
<formControlPr xmlns="http://schemas.microsoft.com/office/spreadsheetml/2009/9/main" objectType="Radio" lockText="1"/>
</file>

<file path=xl/ctrlProps/ctrlProp74.xml><?xml version="1.0" encoding="utf-8"?>
<formControlPr xmlns="http://schemas.microsoft.com/office/spreadsheetml/2009/9/main" objectType="CheckBox" checked="Checked" fmlaLink="$AV$32" lockText="1"/>
</file>

<file path=xl/ctrlProps/ctrlProp740.xml><?xml version="1.0" encoding="utf-8"?>
<formControlPr xmlns="http://schemas.microsoft.com/office/spreadsheetml/2009/9/main" objectType="Radio" lockText="1"/>
</file>

<file path=xl/ctrlProps/ctrlProp741.xml><?xml version="1.0" encoding="utf-8"?>
<formControlPr xmlns="http://schemas.microsoft.com/office/spreadsheetml/2009/9/main" objectType="Radio" lockText="1"/>
</file>

<file path=xl/ctrlProps/ctrlProp742.xml><?xml version="1.0" encoding="utf-8"?>
<formControlPr xmlns="http://schemas.microsoft.com/office/spreadsheetml/2009/9/main" objectType="Radio" lockText="1"/>
</file>

<file path=xl/ctrlProps/ctrlProp743.xml><?xml version="1.0" encoding="utf-8"?>
<formControlPr xmlns="http://schemas.microsoft.com/office/spreadsheetml/2009/9/main" objectType="Radio" lockText="1"/>
</file>

<file path=xl/ctrlProps/ctrlProp744.xml><?xml version="1.0" encoding="utf-8"?>
<formControlPr xmlns="http://schemas.microsoft.com/office/spreadsheetml/2009/9/main" objectType="Radio" lockText="1"/>
</file>

<file path=xl/ctrlProps/ctrlProp745.xml><?xml version="1.0" encoding="utf-8"?>
<formControlPr xmlns="http://schemas.microsoft.com/office/spreadsheetml/2009/9/main" objectType="Radio" lockText="1"/>
</file>

<file path=xl/ctrlProps/ctrlProp746.xml><?xml version="1.0" encoding="utf-8"?>
<formControlPr xmlns="http://schemas.microsoft.com/office/spreadsheetml/2009/9/main" objectType="Radio" lockText="1"/>
</file>

<file path=xl/ctrlProps/ctrlProp747.xml><?xml version="1.0" encoding="utf-8"?>
<formControlPr xmlns="http://schemas.microsoft.com/office/spreadsheetml/2009/9/main" objectType="Radio" lockText="1"/>
</file>

<file path=xl/ctrlProps/ctrlProp748.xml><?xml version="1.0" encoding="utf-8"?>
<formControlPr xmlns="http://schemas.microsoft.com/office/spreadsheetml/2009/9/main" objectType="Radio" lockText="1"/>
</file>

<file path=xl/ctrlProps/ctrlProp749.xml><?xml version="1.0" encoding="utf-8"?>
<formControlPr xmlns="http://schemas.microsoft.com/office/spreadsheetml/2009/9/main" objectType="Radio" lockText="1"/>
</file>

<file path=xl/ctrlProps/ctrlProp75.xml><?xml version="1.0" encoding="utf-8"?>
<formControlPr xmlns="http://schemas.microsoft.com/office/spreadsheetml/2009/9/main" objectType="CheckBox" checked="Checked" fmlaLink="$AV$33" lockText="1"/>
</file>

<file path=xl/ctrlProps/ctrlProp750.xml><?xml version="1.0" encoding="utf-8"?>
<formControlPr xmlns="http://schemas.microsoft.com/office/spreadsheetml/2009/9/main" objectType="Radio" lockText="1"/>
</file>

<file path=xl/ctrlProps/ctrlProp751.xml><?xml version="1.0" encoding="utf-8"?>
<formControlPr xmlns="http://schemas.microsoft.com/office/spreadsheetml/2009/9/main" objectType="Radio" lockText="1"/>
</file>

<file path=xl/ctrlProps/ctrlProp752.xml><?xml version="1.0" encoding="utf-8"?>
<formControlPr xmlns="http://schemas.microsoft.com/office/spreadsheetml/2009/9/main" objectType="Radio" lockText="1"/>
</file>

<file path=xl/ctrlProps/ctrlProp753.xml><?xml version="1.0" encoding="utf-8"?>
<formControlPr xmlns="http://schemas.microsoft.com/office/spreadsheetml/2009/9/main" objectType="Radio" lockText="1"/>
</file>

<file path=xl/ctrlProps/ctrlProp754.xml><?xml version="1.0" encoding="utf-8"?>
<formControlPr xmlns="http://schemas.microsoft.com/office/spreadsheetml/2009/9/main" objectType="Radio" lockText="1"/>
</file>

<file path=xl/ctrlProps/ctrlProp755.xml><?xml version="1.0" encoding="utf-8"?>
<formControlPr xmlns="http://schemas.microsoft.com/office/spreadsheetml/2009/9/main" objectType="Radio" lockText="1"/>
</file>

<file path=xl/ctrlProps/ctrlProp756.xml><?xml version="1.0" encoding="utf-8"?>
<formControlPr xmlns="http://schemas.microsoft.com/office/spreadsheetml/2009/9/main" objectType="Radio" lockText="1"/>
</file>

<file path=xl/ctrlProps/ctrlProp757.xml><?xml version="1.0" encoding="utf-8"?>
<formControlPr xmlns="http://schemas.microsoft.com/office/spreadsheetml/2009/9/main" objectType="Radio" lockText="1"/>
</file>

<file path=xl/ctrlProps/ctrlProp758.xml><?xml version="1.0" encoding="utf-8"?>
<formControlPr xmlns="http://schemas.microsoft.com/office/spreadsheetml/2009/9/main" objectType="Radio" lockText="1"/>
</file>

<file path=xl/ctrlProps/ctrlProp759.xml><?xml version="1.0" encoding="utf-8"?>
<formControlPr xmlns="http://schemas.microsoft.com/office/spreadsheetml/2009/9/main" objectType="Radio" lockText="1"/>
</file>

<file path=xl/ctrlProps/ctrlProp76.xml><?xml version="1.0" encoding="utf-8"?>
<formControlPr xmlns="http://schemas.microsoft.com/office/spreadsheetml/2009/9/main" objectType="GBox" noThreeD="1"/>
</file>

<file path=xl/ctrlProps/ctrlProp760.xml><?xml version="1.0" encoding="utf-8"?>
<formControlPr xmlns="http://schemas.microsoft.com/office/spreadsheetml/2009/9/main" objectType="Radio" lockText="1"/>
</file>

<file path=xl/ctrlProps/ctrlProp761.xml><?xml version="1.0" encoding="utf-8"?>
<formControlPr xmlns="http://schemas.microsoft.com/office/spreadsheetml/2009/9/main" objectType="Radio" lockText="1"/>
</file>

<file path=xl/ctrlProps/ctrlProp762.xml><?xml version="1.0" encoding="utf-8"?>
<formControlPr xmlns="http://schemas.microsoft.com/office/spreadsheetml/2009/9/main" objectType="Radio" lockText="1"/>
</file>

<file path=xl/ctrlProps/ctrlProp763.xml><?xml version="1.0" encoding="utf-8"?>
<formControlPr xmlns="http://schemas.microsoft.com/office/spreadsheetml/2009/9/main" objectType="Radio" lockText="1"/>
</file>

<file path=xl/ctrlProps/ctrlProp764.xml><?xml version="1.0" encoding="utf-8"?>
<formControlPr xmlns="http://schemas.microsoft.com/office/spreadsheetml/2009/9/main" objectType="Radio" lockText="1"/>
</file>

<file path=xl/ctrlProps/ctrlProp765.xml><?xml version="1.0" encoding="utf-8"?>
<formControlPr xmlns="http://schemas.microsoft.com/office/spreadsheetml/2009/9/main" objectType="Radio" lockText="1"/>
</file>

<file path=xl/ctrlProps/ctrlProp766.xml><?xml version="1.0" encoding="utf-8"?>
<formControlPr xmlns="http://schemas.microsoft.com/office/spreadsheetml/2009/9/main" objectType="Radio" lockText="1"/>
</file>

<file path=xl/ctrlProps/ctrlProp767.xml><?xml version="1.0" encoding="utf-8"?>
<formControlPr xmlns="http://schemas.microsoft.com/office/spreadsheetml/2009/9/main" objectType="Radio" lockText="1"/>
</file>

<file path=xl/ctrlProps/ctrlProp768.xml><?xml version="1.0" encoding="utf-8"?>
<formControlPr xmlns="http://schemas.microsoft.com/office/spreadsheetml/2009/9/main" objectType="Radio" lockText="1"/>
</file>

<file path=xl/ctrlProps/ctrlProp769.xml><?xml version="1.0" encoding="utf-8"?>
<formControlPr xmlns="http://schemas.microsoft.com/office/spreadsheetml/2009/9/main" objectType="Radio" lockText="1"/>
</file>

<file path=xl/ctrlProps/ctrlProp77.xml><?xml version="1.0" encoding="utf-8"?>
<formControlPr xmlns="http://schemas.microsoft.com/office/spreadsheetml/2009/9/main" objectType="GBox" noThreeD="1"/>
</file>

<file path=xl/ctrlProps/ctrlProp770.xml><?xml version="1.0" encoding="utf-8"?>
<formControlPr xmlns="http://schemas.microsoft.com/office/spreadsheetml/2009/9/main" objectType="Radio" lockText="1"/>
</file>

<file path=xl/ctrlProps/ctrlProp771.xml><?xml version="1.0" encoding="utf-8"?>
<formControlPr xmlns="http://schemas.microsoft.com/office/spreadsheetml/2009/9/main" objectType="Radio" lockText="1"/>
</file>

<file path=xl/ctrlProps/ctrlProp772.xml><?xml version="1.0" encoding="utf-8"?>
<formControlPr xmlns="http://schemas.microsoft.com/office/spreadsheetml/2009/9/main" objectType="Radio" lockText="1"/>
</file>

<file path=xl/ctrlProps/ctrlProp773.xml><?xml version="1.0" encoding="utf-8"?>
<formControlPr xmlns="http://schemas.microsoft.com/office/spreadsheetml/2009/9/main" objectType="Radio" lockText="1"/>
</file>

<file path=xl/ctrlProps/ctrlProp774.xml><?xml version="1.0" encoding="utf-8"?>
<formControlPr xmlns="http://schemas.microsoft.com/office/spreadsheetml/2009/9/main" objectType="Radio" lockText="1"/>
</file>

<file path=xl/ctrlProps/ctrlProp775.xml><?xml version="1.0" encoding="utf-8"?>
<formControlPr xmlns="http://schemas.microsoft.com/office/spreadsheetml/2009/9/main" objectType="Radio" lockText="1"/>
</file>

<file path=xl/ctrlProps/ctrlProp776.xml><?xml version="1.0" encoding="utf-8"?>
<formControlPr xmlns="http://schemas.microsoft.com/office/spreadsheetml/2009/9/main" objectType="Radio" lockText="1"/>
</file>

<file path=xl/ctrlProps/ctrlProp777.xml><?xml version="1.0" encoding="utf-8"?>
<formControlPr xmlns="http://schemas.microsoft.com/office/spreadsheetml/2009/9/main" objectType="Radio" lockText="1"/>
</file>

<file path=xl/ctrlProps/ctrlProp778.xml><?xml version="1.0" encoding="utf-8"?>
<formControlPr xmlns="http://schemas.microsoft.com/office/spreadsheetml/2009/9/main" objectType="Radio" lockText="1"/>
</file>

<file path=xl/ctrlProps/ctrlProp779.xml><?xml version="1.0" encoding="utf-8"?>
<formControlPr xmlns="http://schemas.microsoft.com/office/spreadsheetml/2009/9/main" objectType="Radio" lockText="1"/>
</file>

<file path=xl/ctrlProps/ctrlProp78.xml><?xml version="1.0" encoding="utf-8"?>
<formControlPr xmlns="http://schemas.microsoft.com/office/spreadsheetml/2009/9/main" objectType="GBox" noThreeD="1"/>
</file>

<file path=xl/ctrlProps/ctrlProp780.xml><?xml version="1.0" encoding="utf-8"?>
<formControlPr xmlns="http://schemas.microsoft.com/office/spreadsheetml/2009/9/main" objectType="Radio" lockText="1"/>
</file>

<file path=xl/ctrlProps/ctrlProp781.xml><?xml version="1.0" encoding="utf-8"?>
<formControlPr xmlns="http://schemas.microsoft.com/office/spreadsheetml/2009/9/main" objectType="Radio" lockText="1"/>
</file>

<file path=xl/ctrlProps/ctrlProp782.xml><?xml version="1.0" encoding="utf-8"?>
<formControlPr xmlns="http://schemas.microsoft.com/office/spreadsheetml/2009/9/main" objectType="Radio" lockText="1"/>
</file>

<file path=xl/ctrlProps/ctrlProp783.xml><?xml version="1.0" encoding="utf-8"?>
<formControlPr xmlns="http://schemas.microsoft.com/office/spreadsheetml/2009/9/main" objectType="Radio" lockText="1"/>
</file>

<file path=xl/ctrlProps/ctrlProp784.xml><?xml version="1.0" encoding="utf-8"?>
<formControlPr xmlns="http://schemas.microsoft.com/office/spreadsheetml/2009/9/main" objectType="Radio" lockText="1"/>
</file>

<file path=xl/ctrlProps/ctrlProp785.xml><?xml version="1.0" encoding="utf-8"?>
<formControlPr xmlns="http://schemas.microsoft.com/office/spreadsheetml/2009/9/main" objectType="Radio" lockText="1"/>
</file>

<file path=xl/ctrlProps/ctrlProp786.xml><?xml version="1.0" encoding="utf-8"?>
<formControlPr xmlns="http://schemas.microsoft.com/office/spreadsheetml/2009/9/main" objectType="Radio" lockText="1"/>
</file>

<file path=xl/ctrlProps/ctrlProp787.xml><?xml version="1.0" encoding="utf-8"?>
<formControlPr xmlns="http://schemas.microsoft.com/office/spreadsheetml/2009/9/main" objectType="Radio" lockText="1"/>
</file>

<file path=xl/ctrlProps/ctrlProp788.xml><?xml version="1.0" encoding="utf-8"?>
<formControlPr xmlns="http://schemas.microsoft.com/office/spreadsheetml/2009/9/main" objectType="Radio" lockText="1"/>
</file>

<file path=xl/ctrlProps/ctrlProp789.xml><?xml version="1.0" encoding="utf-8"?>
<formControlPr xmlns="http://schemas.microsoft.com/office/spreadsheetml/2009/9/main" objectType="Radio" lockText="1"/>
</file>

<file path=xl/ctrlProps/ctrlProp79.xml><?xml version="1.0" encoding="utf-8"?>
<formControlPr xmlns="http://schemas.microsoft.com/office/spreadsheetml/2009/9/main" objectType="GBox" noThreeD="1"/>
</file>

<file path=xl/ctrlProps/ctrlProp790.xml><?xml version="1.0" encoding="utf-8"?>
<formControlPr xmlns="http://schemas.microsoft.com/office/spreadsheetml/2009/9/main" objectType="Radio" lockText="1"/>
</file>

<file path=xl/ctrlProps/ctrlProp791.xml><?xml version="1.0" encoding="utf-8"?>
<formControlPr xmlns="http://schemas.microsoft.com/office/spreadsheetml/2009/9/main" objectType="Radio" lockText="1"/>
</file>

<file path=xl/ctrlProps/ctrlProp792.xml><?xml version="1.0" encoding="utf-8"?>
<formControlPr xmlns="http://schemas.microsoft.com/office/spreadsheetml/2009/9/main" objectType="Radio" lockText="1"/>
</file>

<file path=xl/ctrlProps/ctrlProp793.xml><?xml version="1.0" encoding="utf-8"?>
<formControlPr xmlns="http://schemas.microsoft.com/office/spreadsheetml/2009/9/main" objectType="Radio" lockText="1"/>
</file>

<file path=xl/ctrlProps/ctrlProp794.xml><?xml version="1.0" encoding="utf-8"?>
<formControlPr xmlns="http://schemas.microsoft.com/office/spreadsheetml/2009/9/main" objectType="Radio" lockText="1"/>
</file>

<file path=xl/ctrlProps/ctrlProp795.xml><?xml version="1.0" encoding="utf-8"?>
<formControlPr xmlns="http://schemas.microsoft.com/office/spreadsheetml/2009/9/main" objectType="Radio" lockText="1"/>
</file>

<file path=xl/ctrlProps/ctrlProp796.xml><?xml version="1.0" encoding="utf-8"?>
<formControlPr xmlns="http://schemas.microsoft.com/office/spreadsheetml/2009/9/main" objectType="Radio" lockText="1"/>
</file>

<file path=xl/ctrlProps/ctrlProp797.xml><?xml version="1.0" encoding="utf-8"?>
<formControlPr xmlns="http://schemas.microsoft.com/office/spreadsheetml/2009/9/main" objectType="Radio" lockText="1"/>
</file>

<file path=xl/ctrlProps/ctrlProp798.xml><?xml version="1.0" encoding="utf-8"?>
<formControlPr xmlns="http://schemas.microsoft.com/office/spreadsheetml/2009/9/main" objectType="Radio" lockText="1"/>
</file>

<file path=xl/ctrlProps/ctrlProp799.xml><?xml version="1.0" encoding="utf-8"?>
<formControlPr xmlns="http://schemas.microsoft.com/office/spreadsheetml/2009/9/main" objectType="Radio" lockText="1"/>
</file>

<file path=xl/ctrlProps/ctrlProp8.xml><?xml version="1.0" encoding="utf-8"?>
<formControlPr xmlns="http://schemas.microsoft.com/office/spreadsheetml/2009/9/main" objectType="GBox" noThreeD="1"/>
</file>

<file path=xl/ctrlProps/ctrlProp80.xml><?xml version="1.0" encoding="utf-8"?>
<formControlPr xmlns="http://schemas.microsoft.com/office/spreadsheetml/2009/9/main" objectType="CheckBox" checked="Checked" fmlaLink="$AV$18" lockText="1"/>
</file>

<file path=xl/ctrlProps/ctrlProp800.xml><?xml version="1.0" encoding="utf-8"?>
<formControlPr xmlns="http://schemas.microsoft.com/office/spreadsheetml/2009/9/main" objectType="Radio" lockText="1"/>
</file>

<file path=xl/ctrlProps/ctrlProp801.xml><?xml version="1.0" encoding="utf-8"?>
<formControlPr xmlns="http://schemas.microsoft.com/office/spreadsheetml/2009/9/main" objectType="Radio" lockText="1"/>
</file>

<file path=xl/ctrlProps/ctrlProp802.xml><?xml version="1.0" encoding="utf-8"?>
<formControlPr xmlns="http://schemas.microsoft.com/office/spreadsheetml/2009/9/main" objectType="Radio" lockText="1"/>
</file>

<file path=xl/ctrlProps/ctrlProp803.xml><?xml version="1.0" encoding="utf-8"?>
<formControlPr xmlns="http://schemas.microsoft.com/office/spreadsheetml/2009/9/main" objectType="Radio" lockText="1"/>
</file>

<file path=xl/ctrlProps/ctrlProp804.xml><?xml version="1.0" encoding="utf-8"?>
<formControlPr xmlns="http://schemas.microsoft.com/office/spreadsheetml/2009/9/main" objectType="Radio" lockText="1"/>
</file>

<file path=xl/ctrlProps/ctrlProp805.xml><?xml version="1.0" encoding="utf-8"?>
<formControlPr xmlns="http://schemas.microsoft.com/office/spreadsheetml/2009/9/main" objectType="Radio" lockText="1"/>
</file>

<file path=xl/ctrlProps/ctrlProp806.xml><?xml version="1.0" encoding="utf-8"?>
<formControlPr xmlns="http://schemas.microsoft.com/office/spreadsheetml/2009/9/main" objectType="Radio" lockText="1"/>
</file>

<file path=xl/ctrlProps/ctrlProp807.xml><?xml version="1.0" encoding="utf-8"?>
<formControlPr xmlns="http://schemas.microsoft.com/office/spreadsheetml/2009/9/main" objectType="Radio" lockText="1"/>
</file>

<file path=xl/ctrlProps/ctrlProp808.xml><?xml version="1.0" encoding="utf-8"?>
<formControlPr xmlns="http://schemas.microsoft.com/office/spreadsheetml/2009/9/main" objectType="Radio" lockText="1"/>
</file>

<file path=xl/ctrlProps/ctrlProp809.xml><?xml version="1.0" encoding="utf-8"?>
<formControlPr xmlns="http://schemas.microsoft.com/office/spreadsheetml/2009/9/main" objectType="Radio" lockText="1"/>
</file>

<file path=xl/ctrlProps/ctrlProp81.xml><?xml version="1.0" encoding="utf-8"?>
<formControlPr xmlns="http://schemas.microsoft.com/office/spreadsheetml/2009/9/main" objectType="CheckBox" checked="Checked" fmlaLink="$AV$17" lockText="1"/>
</file>

<file path=xl/ctrlProps/ctrlProp810.xml><?xml version="1.0" encoding="utf-8"?>
<formControlPr xmlns="http://schemas.microsoft.com/office/spreadsheetml/2009/9/main" objectType="Radio" lockText="1"/>
</file>

<file path=xl/ctrlProps/ctrlProp811.xml><?xml version="1.0" encoding="utf-8"?>
<formControlPr xmlns="http://schemas.microsoft.com/office/spreadsheetml/2009/9/main" objectType="Radio" lockText="1"/>
</file>

<file path=xl/ctrlProps/ctrlProp812.xml><?xml version="1.0" encoding="utf-8"?>
<formControlPr xmlns="http://schemas.microsoft.com/office/spreadsheetml/2009/9/main" objectType="Radio" lockText="1"/>
</file>

<file path=xl/ctrlProps/ctrlProp813.xml><?xml version="1.0" encoding="utf-8"?>
<formControlPr xmlns="http://schemas.microsoft.com/office/spreadsheetml/2009/9/main" objectType="Radio" lockText="1"/>
</file>

<file path=xl/ctrlProps/ctrlProp814.xml><?xml version="1.0" encoding="utf-8"?>
<formControlPr xmlns="http://schemas.microsoft.com/office/spreadsheetml/2009/9/main" objectType="Radio" lockText="1"/>
</file>

<file path=xl/ctrlProps/ctrlProp815.xml><?xml version="1.0" encoding="utf-8"?>
<formControlPr xmlns="http://schemas.microsoft.com/office/spreadsheetml/2009/9/main" objectType="Radio" lockText="1"/>
</file>

<file path=xl/ctrlProps/ctrlProp816.xml><?xml version="1.0" encoding="utf-8"?>
<formControlPr xmlns="http://schemas.microsoft.com/office/spreadsheetml/2009/9/main" objectType="Radio" lockText="1"/>
</file>

<file path=xl/ctrlProps/ctrlProp817.xml><?xml version="1.0" encoding="utf-8"?>
<formControlPr xmlns="http://schemas.microsoft.com/office/spreadsheetml/2009/9/main" objectType="Radio" lockText="1"/>
</file>

<file path=xl/ctrlProps/ctrlProp818.xml><?xml version="1.0" encoding="utf-8"?>
<formControlPr xmlns="http://schemas.microsoft.com/office/spreadsheetml/2009/9/main" objectType="Radio" lockText="1"/>
</file>

<file path=xl/ctrlProps/ctrlProp819.xml><?xml version="1.0" encoding="utf-8"?>
<formControlPr xmlns="http://schemas.microsoft.com/office/spreadsheetml/2009/9/main" objectType="Radio" lockText="1"/>
</file>

<file path=xl/ctrlProps/ctrlProp82.xml><?xml version="1.0" encoding="utf-8"?>
<formControlPr xmlns="http://schemas.microsoft.com/office/spreadsheetml/2009/9/main" objectType="GBox" noThreeD="1"/>
</file>

<file path=xl/ctrlProps/ctrlProp820.xml><?xml version="1.0" encoding="utf-8"?>
<formControlPr xmlns="http://schemas.microsoft.com/office/spreadsheetml/2009/9/main" objectType="Radio" lockText="1"/>
</file>

<file path=xl/ctrlProps/ctrlProp821.xml><?xml version="1.0" encoding="utf-8"?>
<formControlPr xmlns="http://schemas.microsoft.com/office/spreadsheetml/2009/9/main" objectType="Radio" lockText="1"/>
</file>

<file path=xl/ctrlProps/ctrlProp822.xml><?xml version="1.0" encoding="utf-8"?>
<formControlPr xmlns="http://schemas.microsoft.com/office/spreadsheetml/2009/9/main" objectType="Radio" lockText="1"/>
</file>

<file path=xl/ctrlProps/ctrlProp823.xml><?xml version="1.0" encoding="utf-8"?>
<formControlPr xmlns="http://schemas.microsoft.com/office/spreadsheetml/2009/9/main" objectType="Radio" lockText="1"/>
</file>

<file path=xl/ctrlProps/ctrlProp824.xml><?xml version="1.0" encoding="utf-8"?>
<formControlPr xmlns="http://schemas.microsoft.com/office/spreadsheetml/2009/9/main" objectType="Radio" lockText="1"/>
</file>

<file path=xl/ctrlProps/ctrlProp825.xml><?xml version="1.0" encoding="utf-8"?>
<formControlPr xmlns="http://schemas.microsoft.com/office/spreadsheetml/2009/9/main" objectType="Radio" lockText="1"/>
</file>

<file path=xl/ctrlProps/ctrlProp826.xml><?xml version="1.0" encoding="utf-8"?>
<formControlPr xmlns="http://schemas.microsoft.com/office/spreadsheetml/2009/9/main" objectType="Radio" lockText="1"/>
</file>

<file path=xl/ctrlProps/ctrlProp827.xml><?xml version="1.0" encoding="utf-8"?>
<formControlPr xmlns="http://schemas.microsoft.com/office/spreadsheetml/2009/9/main" objectType="Radio" lockText="1"/>
</file>

<file path=xl/ctrlProps/ctrlProp828.xml><?xml version="1.0" encoding="utf-8"?>
<formControlPr xmlns="http://schemas.microsoft.com/office/spreadsheetml/2009/9/main" objectType="Radio" lockText="1"/>
</file>

<file path=xl/ctrlProps/ctrlProp829.xml><?xml version="1.0" encoding="utf-8"?>
<formControlPr xmlns="http://schemas.microsoft.com/office/spreadsheetml/2009/9/main" objectType="Radio" lockText="1"/>
</file>

<file path=xl/ctrlProps/ctrlProp83.xml><?xml version="1.0" encoding="utf-8"?>
<formControlPr xmlns="http://schemas.microsoft.com/office/spreadsheetml/2009/9/main" objectType="GBox" noThreeD="1"/>
</file>

<file path=xl/ctrlProps/ctrlProp830.xml><?xml version="1.0" encoding="utf-8"?>
<formControlPr xmlns="http://schemas.microsoft.com/office/spreadsheetml/2009/9/main" objectType="Radio" lockText="1"/>
</file>

<file path=xl/ctrlProps/ctrlProp831.xml><?xml version="1.0" encoding="utf-8"?>
<formControlPr xmlns="http://schemas.microsoft.com/office/spreadsheetml/2009/9/main" objectType="Radio" lockText="1"/>
</file>

<file path=xl/ctrlProps/ctrlProp832.xml><?xml version="1.0" encoding="utf-8"?>
<formControlPr xmlns="http://schemas.microsoft.com/office/spreadsheetml/2009/9/main" objectType="Radio" lockText="1"/>
</file>

<file path=xl/ctrlProps/ctrlProp833.xml><?xml version="1.0" encoding="utf-8"?>
<formControlPr xmlns="http://schemas.microsoft.com/office/spreadsheetml/2009/9/main" objectType="Radio" lockText="1"/>
</file>

<file path=xl/ctrlProps/ctrlProp834.xml><?xml version="1.0" encoding="utf-8"?>
<formControlPr xmlns="http://schemas.microsoft.com/office/spreadsheetml/2009/9/main" objectType="Radio" lockText="1"/>
</file>

<file path=xl/ctrlProps/ctrlProp835.xml><?xml version="1.0" encoding="utf-8"?>
<formControlPr xmlns="http://schemas.microsoft.com/office/spreadsheetml/2009/9/main" objectType="Radio" lockText="1"/>
</file>

<file path=xl/ctrlProps/ctrlProp836.xml><?xml version="1.0" encoding="utf-8"?>
<formControlPr xmlns="http://schemas.microsoft.com/office/spreadsheetml/2009/9/main" objectType="Radio" lockText="1"/>
</file>

<file path=xl/ctrlProps/ctrlProp837.xml><?xml version="1.0" encoding="utf-8"?>
<formControlPr xmlns="http://schemas.microsoft.com/office/spreadsheetml/2009/9/main" objectType="Radio" lockText="1"/>
</file>

<file path=xl/ctrlProps/ctrlProp838.xml><?xml version="1.0" encoding="utf-8"?>
<formControlPr xmlns="http://schemas.microsoft.com/office/spreadsheetml/2009/9/main" objectType="Radio" lockText="1"/>
</file>

<file path=xl/ctrlProps/ctrlProp839.xml><?xml version="1.0" encoding="utf-8"?>
<formControlPr xmlns="http://schemas.microsoft.com/office/spreadsheetml/2009/9/main" objectType="Radio" lockText="1"/>
</file>

<file path=xl/ctrlProps/ctrlProp84.xml><?xml version="1.0" encoding="utf-8"?>
<formControlPr xmlns="http://schemas.microsoft.com/office/spreadsheetml/2009/9/main" objectType="GBox" noThreeD="1"/>
</file>

<file path=xl/ctrlProps/ctrlProp840.xml><?xml version="1.0" encoding="utf-8"?>
<formControlPr xmlns="http://schemas.microsoft.com/office/spreadsheetml/2009/9/main" objectType="Radio" firstButton="1" fmlaLink="$G$5" lockText="1"/>
</file>

<file path=xl/ctrlProps/ctrlProp841.xml><?xml version="1.0" encoding="utf-8"?>
<formControlPr xmlns="http://schemas.microsoft.com/office/spreadsheetml/2009/9/main" objectType="Radio" lockText="1"/>
</file>

<file path=xl/ctrlProps/ctrlProp842.xml><?xml version="1.0" encoding="utf-8"?>
<formControlPr xmlns="http://schemas.microsoft.com/office/spreadsheetml/2009/9/main" objectType="Radio" lockText="1"/>
</file>

<file path=xl/ctrlProps/ctrlProp843.xml><?xml version="1.0" encoding="utf-8"?>
<formControlPr xmlns="http://schemas.microsoft.com/office/spreadsheetml/2009/9/main" objectType="Radio" lockText="1"/>
</file>

<file path=xl/ctrlProps/ctrlProp844.xml><?xml version="1.0" encoding="utf-8"?>
<formControlPr xmlns="http://schemas.microsoft.com/office/spreadsheetml/2009/9/main" objectType="Radio" lockText="1"/>
</file>

<file path=xl/ctrlProps/ctrlProp845.xml><?xml version="1.0" encoding="utf-8"?>
<formControlPr xmlns="http://schemas.microsoft.com/office/spreadsheetml/2009/9/main" objectType="Radio" lockText="1"/>
</file>

<file path=xl/ctrlProps/ctrlProp846.xml><?xml version="1.0" encoding="utf-8"?>
<formControlPr xmlns="http://schemas.microsoft.com/office/spreadsheetml/2009/9/main" objectType="Radio" lockText="1"/>
</file>

<file path=xl/ctrlProps/ctrlProp847.xml><?xml version="1.0" encoding="utf-8"?>
<formControlPr xmlns="http://schemas.microsoft.com/office/spreadsheetml/2009/9/main" objectType="Radio" lockText="1"/>
</file>

<file path=xl/ctrlProps/ctrlProp848.xml><?xml version="1.0" encoding="utf-8"?>
<formControlPr xmlns="http://schemas.microsoft.com/office/spreadsheetml/2009/9/main" objectType="Radio" lockText="1"/>
</file>

<file path=xl/ctrlProps/ctrlProp849.xml><?xml version="1.0" encoding="utf-8"?>
<formControlPr xmlns="http://schemas.microsoft.com/office/spreadsheetml/2009/9/main" objectType="Radio" lockText="1"/>
</file>

<file path=xl/ctrlProps/ctrlProp85.xml><?xml version="1.0" encoding="utf-8"?>
<formControlPr xmlns="http://schemas.microsoft.com/office/spreadsheetml/2009/9/main" objectType="GBox" noThreeD="1"/>
</file>

<file path=xl/ctrlProps/ctrlProp850.xml><?xml version="1.0" encoding="utf-8"?>
<formControlPr xmlns="http://schemas.microsoft.com/office/spreadsheetml/2009/9/main" objectType="Radio" lockText="1"/>
</file>

<file path=xl/ctrlProps/ctrlProp851.xml><?xml version="1.0" encoding="utf-8"?>
<formControlPr xmlns="http://schemas.microsoft.com/office/spreadsheetml/2009/9/main" objectType="Radio" lockText="1"/>
</file>

<file path=xl/ctrlProps/ctrlProp852.xml><?xml version="1.0" encoding="utf-8"?>
<formControlPr xmlns="http://schemas.microsoft.com/office/spreadsheetml/2009/9/main" objectType="Radio" lockText="1"/>
</file>

<file path=xl/ctrlProps/ctrlProp853.xml><?xml version="1.0" encoding="utf-8"?>
<formControlPr xmlns="http://schemas.microsoft.com/office/spreadsheetml/2009/9/main" objectType="Radio" lockText="1"/>
</file>

<file path=xl/ctrlProps/ctrlProp854.xml><?xml version="1.0" encoding="utf-8"?>
<formControlPr xmlns="http://schemas.microsoft.com/office/spreadsheetml/2009/9/main" objectType="Radio" lockText="1"/>
</file>

<file path=xl/ctrlProps/ctrlProp855.xml><?xml version="1.0" encoding="utf-8"?>
<formControlPr xmlns="http://schemas.microsoft.com/office/spreadsheetml/2009/9/main" objectType="Radio" lockText="1"/>
</file>

<file path=xl/ctrlProps/ctrlProp856.xml><?xml version="1.0" encoding="utf-8"?>
<formControlPr xmlns="http://schemas.microsoft.com/office/spreadsheetml/2009/9/main" objectType="Radio" lockText="1"/>
</file>

<file path=xl/ctrlProps/ctrlProp857.xml><?xml version="1.0" encoding="utf-8"?>
<formControlPr xmlns="http://schemas.microsoft.com/office/spreadsheetml/2009/9/main" objectType="Radio" lockText="1"/>
</file>

<file path=xl/ctrlProps/ctrlProp858.xml><?xml version="1.0" encoding="utf-8"?>
<formControlPr xmlns="http://schemas.microsoft.com/office/spreadsheetml/2009/9/main" objectType="Radio" lockText="1"/>
</file>

<file path=xl/ctrlProps/ctrlProp859.xml><?xml version="1.0" encoding="utf-8"?>
<formControlPr xmlns="http://schemas.microsoft.com/office/spreadsheetml/2009/9/main" objectType="Radio" lockText="1"/>
</file>

<file path=xl/ctrlProps/ctrlProp86.xml><?xml version="1.0" encoding="utf-8"?>
<formControlPr xmlns="http://schemas.microsoft.com/office/spreadsheetml/2009/9/main" objectType="CheckBox" checked="Checked" fmlaLink="$AV$34" lockText="1"/>
</file>

<file path=xl/ctrlProps/ctrlProp860.xml><?xml version="1.0" encoding="utf-8"?>
<formControlPr xmlns="http://schemas.microsoft.com/office/spreadsheetml/2009/9/main" objectType="Radio" lockText="1"/>
</file>

<file path=xl/ctrlProps/ctrlProp861.xml><?xml version="1.0" encoding="utf-8"?>
<formControlPr xmlns="http://schemas.microsoft.com/office/spreadsheetml/2009/9/main" objectType="Radio" lockText="1"/>
</file>

<file path=xl/ctrlProps/ctrlProp862.xml><?xml version="1.0" encoding="utf-8"?>
<formControlPr xmlns="http://schemas.microsoft.com/office/spreadsheetml/2009/9/main" objectType="Radio" lockText="1"/>
</file>

<file path=xl/ctrlProps/ctrlProp863.xml><?xml version="1.0" encoding="utf-8"?>
<formControlPr xmlns="http://schemas.microsoft.com/office/spreadsheetml/2009/9/main" objectType="Radio" lockText="1"/>
</file>

<file path=xl/ctrlProps/ctrlProp864.xml><?xml version="1.0" encoding="utf-8"?>
<formControlPr xmlns="http://schemas.microsoft.com/office/spreadsheetml/2009/9/main" objectType="Radio" lockText="1"/>
</file>

<file path=xl/ctrlProps/ctrlProp865.xml><?xml version="1.0" encoding="utf-8"?>
<formControlPr xmlns="http://schemas.microsoft.com/office/spreadsheetml/2009/9/main" objectType="Radio" lockText="1"/>
</file>

<file path=xl/ctrlProps/ctrlProp866.xml><?xml version="1.0" encoding="utf-8"?>
<formControlPr xmlns="http://schemas.microsoft.com/office/spreadsheetml/2009/9/main" objectType="Radio" lockText="1"/>
</file>

<file path=xl/ctrlProps/ctrlProp867.xml><?xml version="1.0" encoding="utf-8"?>
<formControlPr xmlns="http://schemas.microsoft.com/office/spreadsheetml/2009/9/main" objectType="Radio" lockText="1"/>
</file>

<file path=xl/ctrlProps/ctrlProp868.xml><?xml version="1.0" encoding="utf-8"?>
<formControlPr xmlns="http://schemas.microsoft.com/office/spreadsheetml/2009/9/main" objectType="Radio" lockText="1"/>
</file>

<file path=xl/ctrlProps/ctrlProp869.xml><?xml version="1.0" encoding="utf-8"?>
<formControlPr xmlns="http://schemas.microsoft.com/office/spreadsheetml/2009/9/main" objectType="Radio" lockText="1"/>
</file>

<file path=xl/ctrlProps/ctrlProp87.xml><?xml version="1.0" encoding="utf-8"?>
<formControlPr xmlns="http://schemas.microsoft.com/office/spreadsheetml/2009/9/main" objectType="CheckBox" checked="Checked" fmlaLink="$AV$50" lockText="1"/>
</file>

<file path=xl/ctrlProps/ctrlProp870.xml><?xml version="1.0" encoding="utf-8"?>
<formControlPr xmlns="http://schemas.microsoft.com/office/spreadsheetml/2009/9/main" objectType="Radio" lockText="1"/>
</file>

<file path=xl/ctrlProps/ctrlProp871.xml><?xml version="1.0" encoding="utf-8"?>
<formControlPr xmlns="http://schemas.microsoft.com/office/spreadsheetml/2009/9/main" objectType="Radio" lockText="1"/>
</file>

<file path=xl/ctrlProps/ctrlProp872.xml><?xml version="1.0" encoding="utf-8"?>
<formControlPr xmlns="http://schemas.microsoft.com/office/spreadsheetml/2009/9/main" objectType="Radio" lockText="1"/>
</file>

<file path=xl/ctrlProps/ctrlProp873.xml><?xml version="1.0" encoding="utf-8"?>
<formControlPr xmlns="http://schemas.microsoft.com/office/spreadsheetml/2009/9/main" objectType="Radio" lockText="1"/>
</file>

<file path=xl/ctrlProps/ctrlProp874.xml><?xml version="1.0" encoding="utf-8"?>
<formControlPr xmlns="http://schemas.microsoft.com/office/spreadsheetml/2009/9/main" objectType="Radio" lockText="1"/>
</file>

<file path=xl/ctrlProps/ctrlProp875.xml><?xml version="1.0" encoding="utf-8"?>
<formControlPr xmlns="http://schemas.microsoft.com/office/spreadsheetml/2009/9/main" objectType="Radio" lockText="1"/>
</file>

<file path=xl/ctrlProps/ctrlProp876.xml><?xml version="1.0" encoding="utf-8"?>
<formControlPr xmlns="http://schemas.microsoft.com/office/spreadsheetml/2009/9/main" objectType="Radio" lockText="1"/>
</file>

<file path=xl/ctrlProps/ctrlProp877.xml><?xml version="1.0" encoding="utf-8"?>
<formControlPr xmlns="http://schemas.microsoft.com/office/spreadsheetml/2009/9/main" objectType="Radio" lockText="1"/>
</file>

<file path=xl/ctrlProps/ctrlProp878.xml><?xml version="1.0" encoding="utf-8"?>
<formControlPr xmlns="http://schemas.microsoft.com/office/spreadsheetml/2009/9/main" objectType="Radio" lockText="1"/>
</file>

<file path=xl/ctrlProps/ctrlProp879.xml><?xml version="1.0" encoding="utf-8"?>
<formControlPr xmlns="http://schemas.microsoft.com/office/spreadsheetml/2009/9/main" objectType="Radio" lockText="1"/>
</file>

<file path=xl/ctrlProps/ctrlProp88.xml><?xml version="1.0" encoding="utf-8"?>
<formControlPr xmlns="http://schemas.microsoft.com/office/spreadsheetml/2009/9/main" objectType="CheckBox" checked="Checked" fmlaLink="$AV$50" lockText="1"/>
</file>

<file path=xl/ctrlProps/ctrlProp880.xml><?xml version="1.0" encoding="utf-8"?>
<formControlPr xmlns="http://schemas.microsoft.com/office/spreadsheetml/2009/9/main" objectType="Radio" lockText="1"/>
</file>

<file path=xl/ctrlProps/ctrlProp881.xml><?xml version="1.0" encoding="utf-8"?>
<formControlPr xmlns="http://schemas.microsoft.com/office/spreadsheetml/2009/9/main" objectType="Radio" lockText="1"/>
</file>

<file path=xl/ctrlProps/ctrlProp882.xml><?xml version="1.0" encoding="utf-8"?>
<formControlPr xmlns="http://schemas.microsoft.com/office/spreadsheetml/2009/9/main" objectType="Radio" lockText="1"/>
</file>

<file path=xl/ctrlProps/ctrlProp883.xml><?xml version="1.0" encoding="utf-8"?>
<formControlPr xmlns="http://schemas.microsoft.com/office/spreadsheetml/2009/9/main" objectType="Radio" lockText="1"/>
</file>

<file path=xl/ctrlProps/ctrlProp884.xml><?xml version="1.0" encoding="utf-8"?>
<formControlPr xmlns="http://schemas.microsoft.com/office/spreadsheetml/2009/9/main" objectType="Radio" lockText="1"/>
</file>

<file path=xl/ctrlProps/ctrlProp885.xml><?xml version="1.0" encoding="utf-8"?>
<formControlPr xmlns="http://schemas.microsoft.com/office/spreadsheetml/2009/9/main" objectType="Radio" lockText="1"/>
</file>

<file path=xl/ctrlProps/ctrlProp886.xml><?xml version="1.0" encoding="utf-8"?>
<formControlPr xmlns="http://schemas.microsoft.com/office/spreadsheetml/2009/9/main" objectType="Radio" lockText="1"/>
</file>

<file path=xl/ctrlProps/ctrlProp887.xml><?xml version="1.0" encoding="utf-8"?>
<formControlPr xmlns="http://schemas.microsoft.com/office/spreadsheetml/2009/9/main" objectType="Radio" lockText="1"/>
</file>

<file path=xl/ctrlProps/ctrlProp888.xml><?xml version="1.0" encoding="utf-8"?>
<formControlPr xmlns="http://schemas.microsoft.com/office/spreadsheetml/2009/9/main" objectType="Radio" lockText="1"/>
</file>

<file path=xl/ctrlProps/ctrlProp889.xml><?xml version="1.0" encoding="utf-8"?>
<formControlPr xmlns="http://schemas.microsoft.com/office/spreadsheetml/2009/9/main" objectType="Radio" lockText="1"/>
</file>

<file path=xl/ctrlProps/ctrlProp89.xml><?xml version="1.0" encoding="utf-8"?>
<formControlPr xmlns="http://schemas.microsoft.com/office/spreadsheetml/2009/9/main" objectType="CheckBox" checked="Checked" fmlaLink="$AV$50" lockText="1"/>
</file>

<file path=xl/ctrlProps/ctrlProp890.xml><?xml version="1.0" encoding="utf-8"?>
<formControlPr xmlns="http://schemas.microsoft.com/office/spreadsheetml/2009/9/main" objectType="Radio" lockText="1"/>
</file>

<file path=xl/ctrlProps/ctrlProp891.xml><?xml version="1.0" encoding="utf-8"?>
<formControlPr xmlns="http://schemas.microsoft.com/office/spreadsheetml/2009/9/main" objectType="Radio" lockText="1"/>
</file>

<file path=xl/ctrlProps/ctrlProp892.xml><?xml version="1.0" encoding="utf-8"?>
<formControlPr xmlns="http://schemas.microsoft.com/office/spreadsheetml/2009/9/main" objectType="Radio" lockText="1"/>
</file>

<file path=xl/ctrlProps/ctrlProp893.xml><?xml version="1.0" encoding="utf-8"?>
<formControlPr xmlns="http://schemas.microsoft.com/office/spreadsheetml/2009/9/main" objectType="Radio" lockText="1"/>
</file>

<file path=xl/ctrlProps/ctrlProp894.xml><?xml version="1.0" encoding="utf-8"?>
<formControlPr xmlns="http://schemas.microsoft.com/office/spreadsheetml/2009/9/main" objectType="Radio" lockText="1"/>
</file>

<file path=xl/ctrlProps/ctrlProp895.xml><?xml version="1.0" encoding="utf-8"?>
<formControlPr xmlns="http://schemas.microsoft.com/office/spreadsheetml/2009/9/main" objectType="Radio" lockText="1"/>
</file>

<file path=xl/ctrlProps/ctrlProp896.xml><?xml version="1.0" encoding="utf-8"?>
<formControlPr xmlns="http://schemas.microsoft.com/office/spreadsheetml/2009/9/main" objectType="Radio" lockText="1"/>
</file>

<file path=xl/ctrlProps/ctrlProp897.xml><?xml version="1.0" encoding="utf-8"?>
<formControlPr xmlns="http://schemas.microsoft.com/office/spreadsheetml/2009/9/main" objectType="Radio" lockText="1"/>
</file>

<file path=xl/ctrlProps/ctrlProp898.xml><?xml version="1.0" encoding="utf-8"?>
<formControlPr xmlns="http://schemas.microsoft.com/office/spreadsheetml/2009/9/main" objectType="Radio" lockText="1"/>
</file>

<file path=xl/ctrlProps/ctrlProp899.xml><?xml version="1.0" encoding="utf-8"?>
<formControlPr xmlns="http://schemas.microsoft.com/office/spreadsheetml/2009/9/main" objectType="Radio" lockText="1"/>
</file>

<file path=xl/ctrlProps/ctrlProp9.xml><?xml version="1.0" encoding="utf-8"?>
<formControlPr xmlns="http://schemas.microsoft.com/office/spreadsheetml/2009/9/main" objectType="Radio" firstButton="1" fmlaLink="$AV$105" lockText="1"/>
</file>

<file path=xl/ctrlProps/ctrlProp90.xml><?xml version="1.0" encoding="utf-8"?>
<formControlPr xmlns="http://schemas.microsoft.com/office/spreadsheetml/2009/9/main" objectType="CheckBox" checked="Checked" fmlaLink="$AV$50" lockText="1"/>
</file>

<file path=xl/ctrlProps/ctrlProp900.xml><?xml version="1.0" encoding="utf-8"?>
<formControlPr xmlns="http://schemas.microsoft.com/office/spreadsheetml/2009/9/main" objectType="Radio" lockText="1"/>
</file>

<file path=xl/ctrlProps/ctrlProp901.xml><?xml version="1.0" encoding="utf-8"?>
<formControlPr xmlns="http://schemas.microsoft.com/office/spreadsheetml/2009/9/main" objectType="Radio" lockText="1"/>
</file>

<file path=xl/ctrlProps/ctrlProp902.xml><?xml version="1.0" encoding="utf-8"?>
<formControlPr xmlns="http://schemas.microsoft.com/office/spreadsheetml/2009/9/main" objectType="Radio" lockText="1"/>
</file>

<file path=xl/ctrlProps/ctrlProp903.xml><?xml version="1.0" encoding="utf-8"?>
<formControlPr xmlns="http://schemas.microsoft.com/office/spreadsheetml/2009/9/main" objectType="Radio" lockText="1"/>
</file>

<file path=xl/ctrlProps/ctrlProp904.xml><?xml version="1.0" encoding="utf-8"?>
<formControlPr xmlns="http://schemas.microsoft.com/office/spreadsheetml/2009/9/main" objectType="Radio" lockText="1"/>
</file>

<file path=xl/ctrlProps/ctrlProp905.xml><?xml version="1.0" encoding="utf-8"?>
<formControlPr xmlns="http://schemas.microsoft.com/office/spreadsheetml/2009/9/main" objectType="Radio" lockText="1"/>
</file>

<file path=xl/ctrlProps/ctrlProp906.xml><?xml version="1.0" encoding="utf-8"?>
<formControlPr xmlns="http://schemas.microsoft.com/office/spreadsheetml/2009/9/main" objectType="Radio" lockText="1"/>
</file>

<file path=xl/ctrlProps/ctrlProp907.xml><?xml version="1.0" encoding="utf-8"?>
<formControlPr xmlns="http://schemas.microsoft.com/office/spreadsheetml/2009/9/main" objectType="Radio" lockText="1"/>
</file>

<file path=xl/ctrlProps/ctrlProp908.xml><?xml version="1.0" encoding="utf-8"?>
<formControlPr xmlns="http://schemas.microsoft.com/office/spreadsheetml/2009/9/main" objectType="Radio" lockText="1"/>
</file>

<file path=xl/ctrlProps/ctrlProp909.xml><?xml version="1.0" encoding="utf-8"?>
<formControlPr xmlns="http://schemas.microsoft.com/office/spreadsheetml/2009/9/main" objectType="Radio" lockText="1"/>
</file>

<file path=xl/ctrlProps/ctrlProp91.xml><?xml version="1.0" encoding="utf-8"?>
<formControlPr xmlns="http://schemas.microsoft.com/office/spreadsheetml/2009/9/main" objectType="CheckBox" checked="Checked" fmlaLink="$AV$50" lockText="1"/>
</file>

<file path=xl/ctrlProps/ctrlProp910.xml><?xml version="1.0" encoding="utf-8"?>
<formControlPr xmlns="http://schemas.microsoft.com/office/spreadsheetml/2009/9/main" objectType="Radio" lockText="1"/>
</file>

<file path=xl/ctrlProps/ctrlProp911.xml><?xml version="1.0" encoding="utf-8"?>
<formControlPr xmlns="http://schemas.microsoft.com/office/spreadsheetml/2009/9/main" objectType="Radio" lockText="1"/>
</file>

<file path=xl/ctrlProps/ctrlProp912.xml><?xml version="1.0" encoding="utf-8"?>
<formControlPr xmlns="http://schemas.microsoft.com/office/spreadsheetml/2009/9/main" objectType="Radio" lockText="1"/>
</file>

<file path=xl/ctrlProps/ctrlProp913.xml><?xml version="1.0" encoding="utf-8"?>
<formControlPr xmlns="http://schemas.microsoft.com/office/spreadsheetml/2009/9/main" objectType="Radio" lockText="1"/>
</file>

<file path=xl/ctrlProps/ctrlProp914.xml><?xml version="1.0" encoding="utf-8"?>
<formControlPr xmlns="http://schemas.microsoft.com/office/spreadsheetml/2009/9/main" objectType="Radio" lockText="1"/>
</file>

<file path=xl/ctrlProps/ctrlProp915.xml><?xml version="1.0" encoding="utf-8"?>
<formControlPr xmlns="http://schemas.microsoft.com/office/spreadsheetml/2009/9/main" objectType="Radio" lockText="1"/>
</file>

<file path=xl/ctrlProps/ctrlProp916.xml><?xml version="1.0" encoding="utf-8"?>
<formControlPr xmlns="http://schemas.microsoft.com/office/spreadsheetml/2009/9/main" objectType="Radio" lockText="1"/>
</file>

<file path=xl/ctrlProps/ctrlProp917.xml><?xml version="1.0" encoding="utf-8"?>
<formControlPr xmlns="http://schemas.microsoft.com/office/spreadsheetml/2009/9/main" objectType="Radio" lockText="1"/>
</file>

<file path=xl/ctrlProps/ctrlProp918.xml><?xml version="1.0" encoding="utf-8"?>
<formControlPr xmlns="http://schemas.microsoft.com/office/spreadsheetml/2009/9/main" objectType="Radio" lockText="1"/>
</file>

<file path=xl/ctrlProps/ctrlProp919.xml><?xml version="1.0" encoding="utf-8"?>
<formControlPr xmlns="http://schemas.microsoft.com/office/spreadsheetml/2009/9/main" objectType="Radio" lockText="1"/>
</file>

<file path=xl/ctrlProps/ctrlProp92.xml><?xml version="1.0" encoding="utf-8"?>
<formControlPr xmlns="http://schemas.microsoft.com/office/spreadsheetml/2009/9/main" objectType="CheckBox" checked="Checked" fmlaLink="$AV$50" lockText="1"/>
</file>

<file path=xl/ctrlProps/ctrlProp920.xml><?xml version="1.0" encoding="utf-8"?>
<formControlPr xmlns="http://schemas.microsoft.com/office/spreadsheetml/2009/9/main" objectType="Radio" lockText="1"/>
</file>

<file path=xl/ctrlProps/ctrlProp921.xml><?xml version="1.0" encoding="utf-8"?>
<formControlPr xmlns="http://schemas.microsoft.com/office/spreadsheetml/2009/9/main" objectType="Radio" lockText="1"/>
</file>

<file path=xl/ctrlProps/ctrlProp922.xml><?xml version="1.0" encoding="utf-8"?>
<formControlPr xmlns="http://schemas.microsoft.com/office/spreadsheetml/2009/9/main" objectType="Radio" lockText="1"/>
</file>

<file path=xl/ctrlProps/ctrlProp923.xml><?xml version="1.0" encoding="utf-8"?>
<formControlPr xmlns="http://schemas.microsoft.com/office/spreadsheetml/2009/9/main" objectType="Radio" lockText="1"/>
</file>

<file path=xl/ctrlProps/ctrlProp924.xml><?xml version="1.0" encoding="utf-8"?>
<formControlPr xmlns="http://schemas.microsoft.com/office/spreadsheetml/2009/9/main" objectType="Radio" lockText="1"/>
</file>

<file path=xl/ctrlProps/ctrlProp925.xml><?xml version="1.0" encoding="utf-8"?>
<formControlPr xmlns="http://schemas.microsoft.com/office/spreadsheetml/2009/9/main" objectType="Radio" lockText="1"/>
</file>

<file path=xl/ctrlProps/ctrlProp926.xml><?xml version="1.0" encoding="utf-8"?>
<formControlPr xmlns="http://schemas.microsoft.com/office/spreadsheetml/2009/9/main" objectType="Radio" lockText="1"/>
</file>

<file path=xl/ctrlProps/ctrlProp927.xml><?xml version="1.0" encoding="utf-8"?>
<formControlPr xmlns="http://schemas.microsoft.com/office/spreadsheetml/2009/9/main" objectType="Radio" lockText="1"/>
</file>

<file path=xl/ctrlProps/ctrlProp928.xml><?xml version="1.0" encoding="utf-8"?>
<formControlPr xmlns="http://schemas.microsoft.com/office/spreadsheetml/2009/9/main" objectType="Radio" lockText="1"/>
</file>

<file path=xl/ctrlProps/ctrlProp929.xml><?xml version="1.0" encoding="utf-8"?>
<formControlPr xmlns="http://schemas.microsoft.com/office/spreadsheetml/2009/9/main" objectType="Radio" lockText="1"/>
</file>

<file path=xl/ctrlProps/ctrlProp93.xml><?xml version="1.0" encoding="utf-8"?>
<formControlPr xmlns="http://schemas.microsoft.com/office/spreadsheetml/2009/9/main" objectType="GBox" noThreeD="1"/>
</file>

<file path=xl/ctrlProps/ctrlProp930.xml><?xml version="1.0" encoding="utf-8"?>
<formControlPr xmlns="http://schemas.microsoft.com/office/spreadsheetml/2009/9/main" objectType="Radio" lockText="1"/>
</file>

<file path=xl/ctrlProps/ctrlProp931.xml><?xml version="1.0" encoding="utf-8"?>
<formControlPr xmlns="http://schemas.microsoft.com/office/spreadsheetml/2009/9/main" objectType="Radio" lockText="1"/>
</file>

<file path=xl/ctrlProps/ctrlProp932.xml><?xml version="1.0" encoding="utf-8"?>
<formControlPr xmlns="http://schemas.microsoft.com/office/spreadsheetml/2009/9/main" objectType="Radio" lockText="1"/>
</file>

<file path=xl/ctrlProps/ctrlProp933.xml><?xml version="1.0" encoding="utf-8"?>
<formControlPr xmlns="http://schemas.microsoft.com/office/spreadsheetml/2009/9/main" objectType="Radio" lockText="1"/>
</file>

<file path=xl/ctrlProps/ctrlProp934.xml><?xml version="1.0" encoding="utf-8"?>
<formControlPr xmlns="http://schemas.microsoft.com/office/spreadsheetml/2009/9/main" objectType="Radio" lockText="1"/>
</file>

<file path=xl/ctrlProps/ctrlProp935.xml><?xml version="1.0" encoding="utf-8"?>
<formControlPr xmlns="http://schemas.microsoft.com/office/spreadsheetml/2009/9/main" objectType="Radio" lockText="1"/>
</file>

<file path=xl/ctrlProps/ctrlProp936.xml><?xml version="1.0" encoding="utf-8"?>
<formControlPr xmlns="http://schemas.microsoft.com/office/spreadsheetml/2009/9/main" objectType="Radio" lockText="1"/>
</file>

<file path=xl/ctrlProps/ctrlProp937.xml><?xml version="1.0" encoding="utf-8"?>
<formControlPr xmlns="http://schemas.microsoft.com/office/spreadsheetml/2009/9/main" objectType="Radio" lockText="1"/>
</file>

<file path=xl/ctrlProps/ctrlProp938.xml><?xml version="1.0" encoding="utf-8"?>
<formControlPr xmlns="http://schemas.microsoft.com/office/spreadsheetml/2009/9/main" objectType="Radio" lockText="1"/>
</file>

<file path=xl/ctrlProps/ctrlProp939.xml><?xml version="1.0" encoding="utf-8"?>
<formControlPr xmlns="http://schemas.microsoft.com/office/spreadsheetml/2009/9/main" objectType="Radio" lockText="1"/>
</file>

<file path=xl/ctrlProps/ctrlProp94.xml><?xml version="1.0" encoding="utf-8"?>
<formControlPr xmlns="http://schemas.microsoft.com/office/spreadsheetml/2009/9/main" objectType="Radio" checked="Checked" firstButton="1" fmlaLink="$AW$72" lockText="1"/>
</file>

<file path=xl/ctrlProps/ctrlProp940.xml><?xml version="1.0" encoding="utf-8"?>
<formControlPr xmlns="http://schemas.microsoft.com/office/spreadsheetml/2009/9/main" objectType="Radio" lockText="1"/>
</file>

<file path=xl/ctrlProps/ctrlProp941.xml><?xml version="1.0" encoding="utf-8"?>
<formControlPr xmlns="http://schemas.microsoft.com/office/spreadsheetml/2009/9/main" objectType="Radio" lockText="1"/>
</file>

<file path=xl/ctrlProps/ctrlProp942.xml><?xml version="1.0" encoding="utf-8"?>
<formControlPr xmlns="http://schemas.microsoft.com/office/spreadsheetml/2009/9/main" objectType="Radio" lockText="1"/>
</file>

<file path=xl/ctrlProps/ctrlProp943.xml><?xml version="1.0" encoding="utf-8"?>
<formControlPr xmlns="http://schemas.microsoft.com/office/spreadsheetml/2009/9/main" objectType="Radio" lockText="1"/>
</file>

<file path=xl/ctrlProps/ctrlProp944.xml><?xml version="1.0" encoding="utf-8"?>
<formControlPr xmlns="http://schemas.microsoft.com/office/spreadsheetml/2009/9/main" objectType="Radio" lockText="1"/>
</file>

<file path=xl/ctrlProps/ctrlProp945.xml><?xml version="1.0" encoding="utf-8"?>
<formControlPr xmlns="http://schemas.microsoft.com/office/spreadsheetml/2009/9/main" objectType="Radio" lockText="1"/>
</file>

<file path=xl/ctrlProps/ctrlProp946.xml><?xml version="1.0" encoding="utf-8"?>
<formControlPr xmlns="http://schemas.microsoft.com/office/spreadsheetml/2009/9/main" objectType="Radio" lockText="1"/>
</file>

<file path=xl/ctrlProps/ctrlProp947.xml><?xml version="1.0" encoding="utf-8"?>
<formControlPr xmlns="http://schemas.microsoft.com/office/spreadsheetml/2009/9/main" objectType="Radio" lockText="1"/>
</file>

<file path=xl/ctrlProps/ctrlProp948.xml><?xml version="1.0" encoding="utf-8"?>
<formControlPr xmlns="http://schemas.microsoft.com/office/spreadsheetml/2009/9/main" objectType="Radio" lockText="1"/>
</file>

<file path=xl/ctrlProps/ctrlProp949.xml><?xml version="1.0" encoding="utf-8"?>
<formControlPr xmlns="http://schemas.microsoft.com/office/spreadsheetml/2009/9/main" objectType="Radio" lockText="1"/>
</file>

<file path=xl/ctrlProps/ctrlProp95.xml><?xml version="1.0" encoding="utf-8"?>
<formControlPr xmlns="http://schemas.microsoft.com/office/spreadsheetml/2009/9/main" objectType="Radio" lockText="1"/>
</file>

<file path=xl/ctrlProps/ctrlProp950.xml><?xml version="1.0" encoding="utf-8"?>
<formControlPr xmlns="http://schemas.microsoft.com/office/spreadsheetml/2009/9/main" objectType="Radio" lockText="1"/>
</file>

<file path=xl/ctrlProps/ctrlProp951.xml><?xml version="1.0" encoding="utf-8"?>
<formControlPr xmlns="http://schemas.microsoft.com/office/spreadsheetml/2009/9/main" objectType="Radio" lockText="1"/>
</file>

<file path=xl/ctrlProps/ctrlProp952.xml><?xml version="1.0" encoding="utf-8"?>
<formControlPr xmlns="http://schemas.microsoft.com/office/spreadsheetml/2009/9/main" objectType="Radio" lockText="1"/>
</file>

<file path=xl/ctrlProps/ctrlProp953.xml><?xml version="1.0" encoding="utf-8"?>
<formControlPr xmlns="http://schemas.microsoft.com/office/spreadsheetml/2009/9/main" objectType="Radio" lockText="1"/>
</file>

<file path=xl/ctrlProps/ctrlProp954.xml><?xml version="1.0" encoding="utf-8"?>
<formControlPr xmlns="http://schemas.microsoft.com/office/spreadsheetml/2009/9/main" objectType="Radio" lockText="1"/>
</file>

<file path=xl/ctrlProps/ctrlProp955.xml><?xml version="1.0" encoding="utf-8"?>
<formControlPr xmlns="http://schemas.microsoft.com/office/spreadsheetml/2009/9/main" objectType="Radio" lockText="1"/>
</file>

<file path=xl/ctrlProps/ctrlProp956.xml><?xml version="1.0" encoding="utf-8"?>
<formControlPr xmlns="http://schemas.microsoft.com/office/spreadsheetml/2009/9/main" objectType="Radio" lockText="1"/>
</file>

<file path=xl/ctrlProps/ctrlProp957.xml><?xml version="1.0" encoding="utf-8"?>
<formControlPr xmlns="http://schemas.microsoft.com/office/spreadsheetml/2009/9/main" objectType="Radio" lockText="1"/>
</file>

<file path=xl/ctrlProps/ctrlProp958.xml><?xml version="1.0" encoding="utf-8"?>
<formControlPr xmlns="http://schemas.microsoft.com/office/spreadsheetml/2009/9/main" objectType="Radio" lockText="1"/>
</file>

<file path=xl/ctrlProps/ctrlProp959.xml><?xml version="1.0" encoding="utf-8"?>
<formControlPr xmlns="http://schemas.microsoft.com/office/spreadsheetml/2009/9/main" objectType="Radio" lockText="1"/>
</file>

<file path=xl/ctrlProps/ctrlProp96.xml><?xml version="1.0" encoding="utf-8"?>
<formControlPr xmlns="http://schemas.microsoft.com/office/spreadsheetml/2009/9/main" objectType="Radio" lockText="1"/>
</file>

<file path=xl/ctrlProps/ctrlProp960.xml><?xml version="1.0" encoding="utf-8"?>
<formControlPr xmlns="http://schemas.microsoft.com/office/spreadsheetml/2009/9/main" objectType="Radio" lockText="1"/>
</file>

<file path=xl/ctrlProps/ctrlProp961.xml><?xml version="1.0" encoding="utf-8"?>
<formControlPr xmlns="http://schemas.microsoft.com/office/spreadsheetml/2009/9/main" objectType="Radio" lockText="1"/>
</file>

<file path=xl/ctrlProps/ctrlProp962.xml><?xml version="1.0" encoding="utf-8"?>
<formControlPr xmlns="http://schemas.microsoft.com/office/spreadsheetml/2009/9/main" objectType="Radio" lockText="1"/>
</file>

<file path=xl/ctrlProps/ctrlProp963.xml><?xml version="1.0" encoding="utf-8"?>
<formControlPr xmlns="http://schemas.microsoft.com/office/spreadsheetml/2009/9/main" objectType="Radio" lockText="1"/>
</file>

<file path=xl/ctrlProps/ctrlProp964.xml><?xml version="1.0" encoding="utf-8"?>
<formControlPr xmlns="http://schemas.microsoft.com/office/spreadsheetml/2009/9/main" objectType="Radio" lockText="1"/>
</file>

<file path=xl/ctrlProps/ctrlProp965.xml><?xml version="1.0" encoding="utf-8"?>
<formControlPr xmlns="http://schemas.microsoft.com/office/spreadsheetml/2009/9/main" objectType="Radio" lockText="1"/>
</file>

<file path=xl/ctrlProps/ctrlProp966.xml><?xml version="1.0" encoding="utf-8"?>
<formControlPr xmlns="http://schemas.microsoft.com/office/spreadsheetml/2009/9/main" objectType="Radio" lockText="1"/>
</file>

<file path=xl/ctrlProps/ctrlProp967.xml><?xml version="1.0" encoding="utf-8"?>
<formControlPr xmlns="http://schemas.microsoft.com/office/spreadsheetml/2009/9/main" objectType="Radio" lockText="1"/>
</file>

<file path=xl/ctrlProps/ctrlProp968.xml><?xml version="1.0" encoding="utf-8"?>
<formControlPr xmlns="http://schemas.microsoft.com/office/spreadsheetml/2009/9/main" objectType="Radio" lockText="1"/>
</file>

<file path=xl/ctrlProps/ctrlProp969.xml><?xml version="1.0" encoding="utf-8"?>
<formControlPr xmlns="http://schemas.microsoft.com/office/spreadsheetml/2009/9/main" objectType="Radio" lockText="1"/>
</file>

<file path=xl/ctrlProps/ctrlProp97.xml><?xml version="1.0" encoding="utf-8"?>
<formControlPr xmlns="http://schemas.microsoft.com/office/spreadsheetml/2009/9/main" objectType="CheckBox" checked="Checked" fmlaLink="$AV$71" lockText="1"/>
</file>

<file path=xl/ctrlProps/ctrlProp970.xml><?xml version="1.0" encoding="utf-8"?>
<formControlPr xmlns="http://schemas.microsoft.com/office/spreadsheetml/2009/9/main" objectType="Radio" lockText="1"/>
</file>

<file path=xl/ctrlProps/ctrlProp971.xml><?xml version="1.0" encoding="utf-8"?>
<formControlPr xmlns="http://schemas.microsoft.com/office/spreadsheetml/2009/9/main" objectType="Radio" lockText="1"/>
</file>

<file path=xl/ctrlProps/ctrlProp972.xml><?xml version="1.0" encoding="utf-8"?>
<formControlPr xmlns="http://schemas.microsoft.com/office/spreadsheetml/2009/9/main" objectType="Radio" lockText="1"/>
</file>

<file path=xl/ctrlProps/ctrlProp973.xml><?xml version="1.0" encoding="utf-8"?>
<formControlPr xmlns="http://schemas.microsoft.com/office/spreadsheetml/2009/9/main" objectType="Radio" lockText="1"/>
</file>

<file path=xl/ctrlProps/ctrlProp974.xml><?xml version="1.0" encoding="utf-8"?>
<formControlPr xmlns="http://schemas.microsoft.com/office/spreadsheetml/2009/9/main" objectType="Radio" lockText="1"/>
</file>

<file path=xl/ctrlProps/ctrlProp975.xml><?xml version="1.0" encoding="utf-8"?>
<formControlPr xmlns="http://schemas.microsoft.com/office/spreadsheetml/2009/9/main" objectType="Radio" lockText="1"/>
</file>

<file path=xl/ctrlProps/ctrlProp976.xml><?xml version="1.0" encoding="utf-8"?>
<formControlPr xmlns="http://schemas.microsoft.com/office/spreadsheetml/2009/9/main" objectType="Radio" lockText="1"/>
</file>

<file path=xl/ctrlProps/ctrlProp977.xml><?xml version="1.0" encoding="utf-8"?>
<formControlPr xmlns="http://schemas.microsoft.com/office/spreadsheetml/2009/9/main" objectType="Radio" lockText="1"/>
</file>

<file path=xl/ctrlProps/ctrlProp978.xml><?xml version="1.0" encoding="utf-8"?>
<formControlPr xmlns="http://schemas.microsoft.com/office/spreadsheetml/2009/9/main" objectType="CheckBox" fmlaLink="$I$10" lockText="1"/>
</file>

<file path=xl/ctrlProps/ctrlProp979.xml><?xml version="1.0" encoding="utf-8"?>
<formControlPr xmlns="http://schemas.microsoft.com/office/spreadsheetml/2009/9/main" objectType="CheckBox" fmlaLink="$I$12" lockText="1"/>
</file>

<file path=xl/ctrlProps/ctrlProp98.xml><?xml version="1.0" encoding="utf-8"?>
<formControlPr xmlns="http://schemas.microsoft.com/office/spreadsheetml/2009/9/main" objectType="CheckBox" checked="Checked" fmlaLink="$AV$78" lockText="1"/>
</file>

<file path=xl/ctrlProps/ctrlProp980.xml><?xml version="1.0" encoding="utf-8"?>
<formControlPr xmlns="http://schemas.microsoft.com/office/spreadsheetml/2009/9/main" objectType="CheckBox" fmlaLink="$I$14" lockText="1"/>
</file>

<file path=xl/ctrlProps/ctrlProp981.xml><?xml version="1.0" encoding="utf-8"?>
<formControlPr xmlns="http://schemas.microsoft.com/office/spreadsheetml/2009/9/main" objectType="CheckBox" fmlaLink="$I$16" lockText="1"/>
</file>

<file path=xl/ctrlProps/ctrlProp982.xml><?xml version="1.0" encoding="utf-8"?>
<formControlPr xmlns="http://schemas.microsoft.com/office/spreadsheetml/2009/9/main" objectType="CheckBox" fmlaLink="$I$18" lockText="1"/>
</file>

<file path=xl/ctrlProps/ctrlProp983.xml><?xml version="1.0" encoding="utf-8"?>
<formControlPr xmlns="http://schemas.microsoft.com/office/spreadsheetml/2009/9/main" objectType="CheckBox" fmlaLink="$I$20" lockText="1"/>
</file>

<file path=xl/ctrlProps/ctrlProp984.xml><?xml version="1.0" encoding="utf-8"?>
<formControlPr xmlns="http://schemas.microsoft.com/office/spreadsheetml/2009/9/main" objectType="CheckBox" fmlaLink="$I$22" lockText="1"/>
</file>

<file path=xl/ctrlProps/ctrlProp985.xml><?xml version="1.0" encoding="utf-8"?>
<formControlPr xmlns="http://schemas.microsoft.com/office/spreadsheetml/2009/9/main" objectType="CheckBox" fmlaLink="$I$26" lockText="1"/>
</file>

<file path=xl/ctrlProps/ctrlProp986.xml><?xml version="1.0" encoding="utf-8"?>
<formControlPr xmlns="http://schemas.microsoft.com/office/spreadsheetml/2009/9/main" objectType="CheckBox" fmlaLink="$I$28" lockText="1"/>
</file>

<file path=xl/ctrlProps/ctrlProp987.xml><?xml version="1.0" encoding="utf-8"?>
<formControlPr xmlns="http://schemas.microsoft.com/office/spreadsheetml/2009/9/main" objectType="CheckBox" fmlaLink="$I$30" lockText="1"/>
</file>

<file path=xl/ctrlProps/ctrlProp988.xml><?xml version="1.0" encoding="utf-8"?>
<formControlPr xmlns="http://schemas.microsoft.com/office/spreadsheetml/2009/9/main" objectType="CheckBox" fmlaLink="$I$32" lockText="1"/>
</file>

<file path=xl/ctrlProps/ctrlProp989.xml><?xml version="1.0" encoding="utf-8"?>
<formControlPr xmlns="http://schemas.microsoft.com/office/spreadsheetml/2009/9/main" objectType="CheckBox" fmlaLink="$I$34" lockText="1"/>
</file>

<file path=xl/ctrlProps/ctrlProp99.xml><?xml version="1.0" encoding="utf-8"?>
<formControlPr xmlns="http://schemas.microsoft.com/office/spreadsheetml/2009/9/main" objectType="GBox" noThreeD="1"/>
</file>

<file path=xl/ctrlProps/ctrlProp990.xml><?xml version="1.0" encoding="utf-8"?>
<formControlPr xmlns="http://schemas.microsoft.com/office/spreadsheetml/2009/9/main" objectType="CheckBox" fmlaLink="$I$8"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jpe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jpe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17</xdr:col>
      <xdr:colOff>0</xdr:colOff>
      <xdr:row>139</xdr:row>
      <xdr:rowOff>112058</xdr:rowOff>
    </xdr:from>
    <xdr:to>
      <xdr:col>31</xdr:col>
      <xdr:colOff>165516</xdr:colOff>
      <xdr:row>141</xdr:row>
      <xdr:rowOff>137633</xdr:rowOff>
    </xdr:to>
    <xdr:pic>
      <xdr:nvPicPr>
        <xdr:cNvPr id="2" name="図 1"/>
        <xdr:cNvPicPr>
          <a:picLocks noChangeAspect="1"/>
        </xdr:cNvPicPr>
      </xdr:nvPicPr>
      <xdr:blipFill>
        <a:blip xmlns:r="http://schemas.openxmlformats.org/officeDocument/2006/relationships" r:embed="rId1"/>
        <a:stretch>
          <a:fillRect/>
        </a:stretch>
      </xdr:blipFill>
      <xdr:spPr>
        <a:xfrm>
          <a:off x="4371975" y="33306683"/>
          <a:ext cx="3765966" cy="482774"/>
        </a:xfrm>
        <a:prstGeom prst="rect">
          <a:avLst/>
        </a:prstGeom>
      </xdr:spPr>
    </xdr:pic>
    <xdr:clientData/>
  </xdr:twoCellAnchor>
  <mc:AlternateContent xmlns:mc="http://schemas.openxmlformats.org/markup-compatibility/2006">
    <mc:Choice xmlns:a14="http://schemas.microsoft.com/office/drawing/2010/main" Requires="a14">
      <xdr:twoCellAnchor>
        <xdr:from>
          <xdr:col>32</xdr:col>
          <xdr:colOff>203200</xdr:colOff>
          <xdr:row>47</xdr:row>
          <xdr:rowOff>12700</xdr:rowOff>
        </xdr:from>
        <xdr:to>
          <xdr:col>33</xdr:col>
          <xdr:colOff>209550</xdr:colOff>
          <xdr:row>48</xdr:row>
          <xdr:rowOff>0</xdr:rowOff>
        </xdr:to>
        <xdr:sp macro="" textlink="">
          <xdr:nvSpPr>
            <xdr:cNvPr id="76801" name="Option Button 1" hidden="1">
              <a:extLst>
                <a:ext uri="{63B3BB69-23CF-44E3-9099-C40C66FF867C}">
                  <a14:compatExt spid="_x0000_s76801"/>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35</xdr:col>
          <xdr:colOff>171450</xdr:colOff>
          <xdr:row>47</xdr:row>
          <xdr:rowOff>12700</xdr:rowOff>
        </xdr:from>
        <xdr:to>
          <xdr:col>37</xdr:col>
          <xdr:colOff>12700</xdr:colOff>
          <xdr:row>48</xdr:row>
          <xdr:rowOff>0</xdr:rowOff>
        </xdr:to>
        <xdr:sp macro="" textlink="">
          <xdr:nvSpPr>
            <xdr:cNvPr id="76802" name="Option Button 2" hidden="1">
              <a:extLst>
                <a:ext uri="{63B3BB69-23CF-44E3-9099-C40C66FF867C}">
                  <a14:compatExt spid="_x0000_s76802"/>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47</xdr:row>
          <xdr:rowOff>0</xdr:rowOff>
        </xdr:from>
        <xdr:to>
          <xdr:col>46</xdr:col>
          <xdr:colOff>12700</xdr:colOff>
          <xdr:row>48</xdr:row>
          <xdr:rowOff>0</xdr:rowOff>
        </xdr:to>
        <xdr:sp macro="" textlink="">
          <xdr:nvSpPr>
            <xdr:cNvPr id="76803" name="Group Box 3" hidden="1">
              <a:extLst>
                <a:ext uri="{63B3BB69-23CF-44E3-9099-C40C66FF867C}">
                  <a14:compatExt spid="_x0000_s768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165100</xdr:colOff>
          <xdr:row>16</xdr:row>
          <xdr:rowOff>12700</xdr:rowOff>
        </xdr:from>
        <xdr:to>
          <xdr:col>10</xdr:col>
          <xdr:colOff>107950</xdr:colOff>
          <xdr:row>16</xdr:row>
          <xdr:rowOff>203200</xdr:rowOff>
        </xdr:to>
        <xdr:sp macro="" textlink="">
          <xdr:nvSpPr>
            <xdr:cNvPr id="76804" name="Check Box 4" hidden="1">
              <a:extLst>
                <a:ext uri="{63B3BB69-23CF-44E3-9099-C40C66FF867C}">
                  <a14:compatExt spid="_x0000_s768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127000</xdr:colOff>
          <xdr:row>107</xdr:row>
          <xdr:rowOff>127000</xdr:rowOff>
        </xdr:from>
        <xdr:to>
          <xdr:col>9</xdr:col>
          <xdr:colOff>203200</xdr:colOff>
          <xdr:row>108</xdr:row>
          <xdr:rowOff>114300</xdr:rowOff>
        </xdr:to>
        <xdr:sp macro="" textlink="">
          <xdr:nvSpPr>
            <xdr:cNvPr id="76805" name="Option Button 5" hidden="1">
              <a:extLst>
                <a:ext uri="{63B3BB69-23CF-44E3-9099-C40C66FF867C}">
                  <a14:compatExt spid="_x0000_s76805"/>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38100</xdr:colOff>
          <xdr:row>107</xdr:row>
          <xdr:rowOff>127000</xdr:rowOff>
        </xdr:from>
        <xdr:to>
          <xdr:col>13</xdr:col>
          <xdr:colOff>114300</xdr:colOff>
          <xdr:row>108</xdr:row>
          <xdr:rowOff>107950</xdr:rowOff>
        </xdr:to>
        <xdr:sp macro="" textlink="">
          <xdr:nvSpPr>
            <xdr:cNvPr id="76806" name="Option Button 6" hidden="1">
              <a:extLst>
                <a:ext uri="{63B3BB69-23CF-44E3-9099-C40C66FF867C}">
                  <a14:compatExt spid="_x0000_s76806"/>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102</xdr:row>
          <xdr:rowOff>222250</xdr:rowOff>
        </xdr:from>
        <xdr:to>
          <xdr:col>27</xdr:col>
          <xdr:colOff>12700</xdr:colOff>
          <xdr:row>104</xdr:row>
          <xdr:rowOff>222250</xdr:rowOff>
        </xdr:to>
        <xdr:sp macro="" textlink="">
          <xdr:nvSpPr>
            <xdr:cNvPr id="76807" name="Group Box 7" hidden="1">
              <a:extLst>
                <a:ext uri="{63B3BB69-23CF-44E3-9099-C40C66FF867C}">
                  <a14:compatExt spid="_x0000_s768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103</xdr:row>
          <xdr:rowOff>0</xdr:rowOff>
        </xdr:from>
        <xdr:to>
          <xdr:col>46</xdr:col>
          <xdr:colOff>0</xdr:colOff>
          <xdr:row>104</xdr:row>
          <xdr:rowOff>222250</xdr:rowOff>
        </xdr:to>
        <xdr:sp macro="" textlink="">
          <xdr:nvSpPr>
            <xdr:cNvPr id="76808" name="Group Box 8" hidden="1">
              <a:extLst>
                <a:ext uri="{63B3BB69-23CF-44E3-9099-C40C66FF867C}">
                  <a14:compatExt spid="_x0000_s768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40</xdr:col>
          <xdr:colOff>76200</xdr:colOff>
          <xdr:row>103</xdr:row>
          <xdr:rowOff>19050</xdr:rowOff>
        </xdr:from>
        <xdr:to>
          <xdr:col>41</xdr:col>
          <xdr:colOff>152400</xdr:colOff>
          <xdr:row>104</xdr:row>
          <xdr:rowOff>0</xdr:rowOff>
        </xdr:to>
        <xdr:sp macro="" textlink="">
          <xdr:nvSpPr>
            <xdr:cNvPr id="76809" name="Option Button 9" hidden="1">
              <a:extLst>
                <a:ext uri="{63B3BB69-23CF-44E3-9099-C40C66FF867C}">
                  <a14:compatExt spid="_x0000_s768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43</xdr:col>
          <xdr:colOff>76200</xdr:colOff>
          <xdr:row>103</xdr:row>
          <xdr:rowOff>12700</xdr:rowOff>
        </xdr:from>
        <xdr:to>
          <xdr:col>44</xdr:col>
          <xdr:colOff>152400</xdr:colOff>
          <xdr:row>104</xdr:row>
          <xdr:rowOff>0</xdr:rowOff>
        </xdr:to>
        <xdr:sp macro="" textlink="">
          <xdr:nvSpPr>
            <xdr:cNvPr id="76810" name="Option Button 10" hidden="1">
              <a:extLst>
                <a:ext uri="{63B3BB69-23CF-44E3-9099-C40C66FF867C}">
                  <a14:compatExt spid="_x0000_s768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40</xdr:col>
          <xdr:colOff>76200</xdr:colOff>
          <xdr:row>103</xdr:row>
          <xdr:rowOff>222250</xdr:rowOff>
        </xdr:from>
        <xdr:to>
          <xdr:col>41</xdr:col>
          <xdr:colOff>152400</xdr:colOff>
          <xdr:row>104</xdr:row>
          <xdr:rowOff>209550</xdr:rowOff>
        </xdr:to>
        <xdr:sp macro="" textlink="">
          <xdr:nvSpPr>
            <xdr:cNvPr id="76811" name="Option Button 11" hidden="1">
              <a:extLst>
                <a:ext uri="{63B3BB69-23CF-44E3-9099-C40C66FF867C}">
                  <a14:compatExt spid="_x0000_s768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43</xdr:col>
          <xdr:colOff>76200</xdr:colOff>
          <xdr:row>104</xdr:row>
          <xdr:rowOff>0</xdr:rowOff>
        </xdr:from>
        <xdr:to>
          <xdr:col>44</xdr:col>
          <xdr:colOff>152400</xdr:colOff>
          <xdr:row>104</xdr:row>
          <xdr:rowOff>222250</xdr:rowOff>
        </xdr:to>
        <xdr:sp macro="" textlink="">
          <xdr:nvSpPr>
            <xdr:cNvPr id="76812" name="Option Button 12" hidden="1">
              <a:extLst>
                <a:ext uri="{63B3BB69-23CF-44E3-9099-C40C66FF867C}">
                  <a14:compatExt spid="_x0000_s768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107</xdr:row>
          <xdr:rowOff>0</xdr:rowOff>
        </xdr:from>
        <xdr:to>
          <xdr:col>16</xdr:col>
          <xdr:colOff>0</xdr:colOff>
          <xdr:row>108</xdr:row>
          <xdr:rowOff>222250</xdr:rowOff>
        </xdr:to>
        <xdr:sp macro="" textlink="">
          <xdr:nvSpPr>
            <xdr:cNvPr id="76813" name="Group Box 13" hidden="1">
              <a:extLst>
                <a:ext uri="{63B3BB69-23CF-44E3-9099-C40C66FF867C}">
                  <a14:compatExt spid="_x0000_s768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165100</xdr:colOff>
          <xdr:row>90</xdr:row>
          <xdr:rowOff>12700</xdr:rowOff>
        </xdr:from>
        <xdr:to>
          <xdr:col>23</xdr:col>
          <xdr:colOff>12700</xdr:colOff>
          <xdr:row>90</xdr:row>
          <xdr:rowOff>209550</xdr:rowOff>
        </xdr:to>
        <xdr:sp macro="" textlink="">
          <xdr:nvSpPr>
            <xdr:cNvPr id="76814" name="Check Box 14" hidden="1">
              <a:extLst>
                <a:ext uri="{63B3BB69-23CF-44E3-9099-C40C66FF867C}">
                  <a14:compatExt spid="_x0000_s768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184150</xdr:colOff>
          <xdr:row>90</xdr:row>
          <xdr:rowOff>12700</xdr:rowOff>
        </xdr:from>
        <xdr:to>
          <xdr:col>14</xdr:col>
          <xdr:colOff>31750</xdr:colOff>
          <xdr:row>90</xdr:row>
          <xdr:rowOff>209550</xdr:rowOff>
        </xdr:to>
        <xdr:sp macro="" textlink="">
          <xdr:nvSpPr>
            <xdr:cNvPr id="76815" name="Check Box 15" hidden="1">
              <a:extLst>
                <a:ext uri="{63B3BB69-23CF-44E3-9099-C40C66FF867C}">
                  <a14:compatExt spid="_x0000_s768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209550</xdr:colOff>
          <xdr:row>90</xdr:row>
          <xdr:rowOff>12700</xdr:rowOff>
        </xdr:from>
        <xdr:to>
          <xdr:col>27</xdr:col>
          <xdr:colOff>50800</xdr:colOff>
          <xdr:row>90</xdr:row>
          <xdr:rowOff>209550</xdr:rowOff>
        </xdr:to>
        <xdr:sp macro="" textlink="">
          <xdr:nvSpPr>
            <xdr:cNvPr id="76816" name="Check Box 16" hidden="1">
              <a:extLst>
                <a:ext uri="{63B3BB69-23CF-44E3-9099-C40C66FF867C}">
                  <a14:compatExt spid="_x0000_s768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90</xdr:row>
          <xdr:rowOff>12700</xdr:rowOff>
        </xdr:from>
        <xdr:to>
          <xdr:col>32</xdr:col>
          <xdr:colOff>95250</xdr:colOff>
          <xdr:row>90</xdr:row>
          <xdr:rowOff>209550</xdr:rowOff>
        </xdr:to>
        <xdr:sp macro="" textlink="">
          <xdr:nvSpPr>
            <xdr:cNvPr id="76817" name="Check Box 17" hidden="1">
              <a:extLst>
                <a:ext uri="{63B3BB69-23CF-44E3-9099-C40C66FF867C}">
                  <a14:compatExt spid="_x0000_s768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69850</xdr:colOff>
          <xdr:row>103</xdr:row>
          <xdr:rowOff>12700</xdr:rowOff>
        </xdr:from>
        <xdr:to>
          <xdr:col>19</xdr:col>
          <xdr:colOff>165100</xdr:colOff>
          <xdr:row>103</xdr:row>
          <xdr:rowOff>222250</xdr:rowOff>
        </xdr:to>
        <xdr:sp macro="" textlink="">
          <xdr:nvSpPr>
            <xdr:cNvPr id="76818" name="Option Button 18" hidden="1">
              <a:extLst>
                <a:ext uri="{63B3BB69-23CF-44E3-9099-C40C66FF867C}">
                  <a14:compatExt spid="_x0000_s768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103</xdr:row>
          <xdr:rowOff>31750</xdr:rowOff>
        </xdr:from>
        <xdr:to>
          <xdr:col>22</xdr:col>
          <xdr:colOff>165100</xdr:colOff>
          <xdr:row>104</xdr:row>
          <xdr:rowOff>12700</xdr:rowOff>
        </xdr:to>
        <xdr:sp macro="" textlink="">
          <xdr:nvSpPr>
            <xdr:cNvPr id="76819" name="Option Button 19" hidden="1">
              <a:extLst>
                <a:ext uri="{63B3BB69-23CF-44E3-9099-C40C66FF867C}">
                  <a14:compatExt spid="_x0000_s768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50800</xdr:colOff>
          <xdr:row>103</xdr:row>
          <xdr:rowOff>12700</xdr:rowOff>
        </xdr:from>
        <xdr:to>
          <xdr:col>25</xdr:col>
          <xdr:colOff>146050</xdr:colOff>
          <xdr:row>103</xdr:row>
          <xdr:rowOff>222250</xdr:rowOff>
        </xdr:to>
        <xdr:sp macro="" textlink="">
          <xdr:nvSpPr>
            <xdr:cNvPr id="76820" name="Option Button 20" hidden="1">
              <a:extLst>
                <a:ext uri="{63B3BB69-23CF-44E3-9099-C40C66FF867C}">
                  <a14:compatExt spid="_x0000_s768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69850</xdr:colOff>
          <xdr:row>104</xdr:row>
          <xdr:rowOff>19050</xdr:rowOff>
        </xdr:from>
        <xdr:to>
          <xdr:col>19</xdr:col>
          <xdr:colOff>165100</xdr:colOff>
          <xdr:row>104</xdr:row>
          <xdr:rowOff>222250</xdr:rowOff>
        </xdr:to>
        <xdr:sp macro="" textlink="">
          <xdr:nvSpPr>
            <xdr:cNvPr id="76821" name="Option Button 21" hidden="1">
              <a:extLst>
                <a:ext uri="{63B3BB69-23CF-44E3-9099-C40C66FF867C}">
                  <a14:compatExt spid="_x0000_s768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104</xdr:row>
          <xdr:rowOff>19050</xdr:rowOff>
        </xdr:from>
        <xdr:to>
          <xdr:col>22</xdr:col>
          <xdr:colOff>165100</xdr:colOff>
          <xdr:row>104</xdr:row>
          <xdr:rowOff>209550</xdr:rowOff>
        </xdr:to>
        <xdr:sp macro="" textlink="">
          <xdr:nvSpPr>
            <xdr:cNvPr id="76822" name="Option Button 22" hidden="1">
              <a:extLst>
                <a:ext uri="{63B3BB69-23CF-44E3-9099-C40C66FF867C}">
                  <a14:compatExt spid="_x0000_s768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50800</xdr:colOff>
          <xdr:row>104</xdr:row>
          <xdr:rowOff>12700</xdr:rowOff>
        </xdr:from>
        <xdr:to>
          <xdr:col>25</xdr:col>
          <xdr:colOff>146050</xdr:colOff>
          <xdr:row>104</xdr:row>
          <xdr:rowOff>209550</xdr:rowOff>
        </xdr:to>
        <xdr:sp macro="" textlink="">
          <xdr:nvSpPr>
            <xdr:cNvPr id="76823" name="Option Button 23" hidden="1">
              <a:extLst>
                <a:ext uri="{63B3BB69-23CF-44E3-9099-C40C66FF867C}">
                  <a14:compatExt spid="_x0000_s76823"/>
                </a:ext>
              </a:extLst>
            </xdr:cNvPr>
            <xdr:cNvSpPr/>
          </xdr:nvSpPr>
          <xdr:spPr>
            <a:xfrm>
              <a:off x="0" y="0"/>
              <a:ext cx="0" cy="0"/>
            </a:xfrm>
            <a:prstGeom prst="rect">
              <a:avLst/>
            </a:prstGeom>
          </xdr:spPr>
        </xdr:sp>
        <xdr:clientData/>
      </xdr:twoCellAnchor>
    </mc:Choice>
    <mc:Fallback/>
  </mc:AlternateContent>
  <xdr:twoCellAnchor editAs="oneCell">
    <xdr:from>
      <xdr:col>2</xdr:col>
      <xdr:colOff>11205</xdr:colOff>
      <xdr:row>24</xdr:row>
      <xdr:rowOff>11205</xdr:rowOff>
    </xdr:from>
    <xdr:to>
      <xdr:col>11</xdr:col>
      <xdr:colOff>193588</xdr:colOff>
      <xdr:row>25</xdr:row>
      <xdr:rowOff>111087</xdr:rowOff>
    </xdr:to>
    <xdr:sp macro="" textlink="">
      <xdr:nvSpPr>
        <xdr:cNvPr id="26" name="角丸四角形 25"/>
        <xdr:cNvSpPr/>
      </xdr:nvSpPr>
      <xdr:spPr>
        <a:xfrm>
          <a:off x="525555" y="8288430"/>
          <a:ext cx="2496958" cy="328483"/>
        </a:xfrm>
        <a:prstGeom prst="roundRect">
          <a:avLst>
            <a:gd name="adj" fmla="val 50000"/>
          </a:avLst>
        </a:prstGeom>
        <a:solidFill>
          <a:schemeClr val="tx1"/>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1.</a:t>
          </a:r>
          <a:r>
            <a:rPr kumimoji="1"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申込者情報</a:t>
          </a:r>
        </a:p>
      </xdr:txBody>
    </xdr:sp>
    <xdr:clientData/>
  </xdr:twoCellAnchor>
  <xdr:twoCellAnchor editAs="oneCell">
    <xdr:from>
      <xdr:col>2</xdr:col>
      <xdr:colOff>11208</xdr:colOff>
      <xdr:row>45</xdr:row>
      <xdr:rowOff>11189</xdr:rowOff>
    </xdr:from>
    <xdr:to>
      <xdr:col>11</xdr:col>
      <xdr:colOff>193591</xdr:colOff>
      <xdr:row>46</xdr:row>
      <xdr:rowOff>111072</xdr:rowOff>
    </xdr:to>
    <xdr:sp macro="" textlink="">
      <xdr:nvSpPr>
        <xdr:cNvPr id="27" name="角丸四角形 26"/>
        <xdr:cNvSpPr/>
      </xdr:nvSpPr>
      <xdr:spPr>
        <a:xfrm>
          <a:off x="525558" y="13089014"/>
          <a:ext cx="2496958" cy="328483"/>
        </a:xfrm>
        <a:prstGeom prst="roundRect">
          <a:avLst>
            <a:gd name="adj" fmla="val 50000"/>
          </a:avLst>
        </a:prstGeom>
        <a:solidFill>
          <a:schemeClr val="tx1"/>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2.</a:t>
          </a:r>
          <a:r>
            <a:rPr kumimoji="1"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代表者様 情報</a:t>
          </a:r>
        </a:p>
      </xdr:txBody>
    </xdr:sp>
    <xdr:clientData/>
  </xdr:twoCellAnchor>
  <xdr:twoCellAnchor editAs="oneCell">
    <xdr:from>
      <xdr:col>2</xdr:col>
      <xdr:colOff>11195</xdr:colOff>
      <xdr:row>56</xdr:row>
      <xdr:rowOff>224115</xdr:rowOff>
    </xdr:from>
    <xdr:to>
      <xdr:col>11</xdr:col>
      <xdr:colOff>193578</xdr:colOff>
      <xdr:row>58</xdr:row>
      <xdr:rowOff>99880</xdr:rowOff>
    </xdr:to>
    <xdr:sp macro="" textlink="">
      <xdr:nvSpPr>
        <xdr:cNvPr id="28" name="角丸四角形 27"/>
        <xdr:cNvSpPr/>
      </xdr:nvSpPr>
      <xdr:spPr>
        <a:xfrm>
          <a:off x="525545" y="15816540"/>
          <a:ext cx="2496958" cy="332964"/>
        </a:xfrm>
        <a:prstGeom prst="roundRect">
          <a:avLst>
            <a:gd name="adj" fmla="val 50000"/>
          </a:avLst>
        </a:prstGeom>
        <a:solidFill>
          <a:schemeClr val="tx1"/>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3.</a:t>
          </a:r>
          <a:r>
            <a:rPr kumimoji="1"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お取扱い商品・サービス</a:t>
          </a:r>
        </a:p>
      </xdr:txBody>
    </xdr:sp>
    <xdr:clientData/>
  </xdr:twoCellAnchor>
  <mc:AlternateContent xmlns:mc="http://schemas.openxmlformats.org/markup-compatibility/2006">
    <mc:Choice xmlns:a14="http://schemas.microsoft.com/office/drawing/2010/main" Requires="a14">
      <xdr:twoCellAnchor editAs="oneCell">
        <xdr:from>
          <xdr:col>8</xdr:col>
          <xdr:colOff>69850</xdr:colOff>
          <xdr:row>68</xdr:row>
          <xdr:rowOff>19050</xdr:rowOff>
        </xdr:from>
        <xdr:to>
          <xdr:col>9</xdr:col>
          <xdr:colOff>165100</xdr:colOff>
          <xdr:row>69</xdr:row>
          <xdr:rowOff>0</xdr:rowOff>
        </xdr:to>
        <xdr:sp macro="" textlink="">
          <xdr:nvSpPr>
            <xdr:cNvPr id="76824" name="Check Box 24" hidden="1">
              <a:extLst>
                <a:ext uri="{63B3BB69-23CF-44E3-9099-C40C66FF867C}">
                  <a14:compatExt spid="_x0000_s76824"/>
                </a:ext>
              </a:extLst>
            </xdr:cNvPr>
            <xdr:cNvSpPr/>
          </xdr:nvSpPr>
          <xdr:spPr>
            <a:xfrm>
              <a:off x="0" y="0"/>
              <a:ext cx="0" cy="0"/>
            </a:xfrm>
            <a:prstGeom prst="rect">
              <a:avLst/>
            </a:prstGeom>
          </xdr:spPr>
        </xdr:sp>
        <xdr:clientData/>
      </xdr:twoCellAnchor>
    </mc:Choice>
    <mc:Fallback/>
  </mc:AlternateContent>
  <xdr:twoCellAnchor>
    <xdr:from>
      <xdr:col>23</xdr:col>
      <xdr:colOff>244911</xdr:colOff>
      <xdr:row>75</xdr:row>
      <xdr:rowOff>21292</xdr:rowOff>
    </xdr:from>
    <xdr:to>
      <xdr:col>36</xdr:col>
      <xdr:colOff>170352</xdr:colOff>
      <xdr:row>76</xdr:row>
      <xdr:rowOff>13174</xdr:rowOff>
    </xdr:to>
    <xdr:sp macro="" textlink="">
      <xdr:nvSpPr>
        <xdr:cNvPr id="30" name="テキスト ボックス 29"/>
        <xdr:cNvSpPr txBox="1"/>
      </xdr:nvSpPr>
      <xdr:spPr>
        <a:xfrm>
          <a:off x="6159936" y="19957117"/>
          <a:ext cx="3268716" cy="220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000" b="0">
              <a:solidFill>
                <a:srgbClr val="FF66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0">
              <a:solidFill>
                <a:srgbClr val="FF6600"/>
              </a:solidFill>
              <a:latin typeface="Meiryo UI" panose="020B0604030504040204" pitchFamily="50" charset="-128"/>
              <a:ea typeface="Meiryo UI" panose="020B0604030504040204" pitchFamily="50" charset="-128"/>
              <a:cs typeface="Meiryo UI" panose="020B0604030504040204" pitchFamily="50" charset="-128"/>
            </a:rPr>
            <a:t>カードご利用明細およびレシートに記載される表記です。</a:t>
          </a:r>
          <a:endParaRPr kumimoji="1" lang="en-US" altLang="ja-JP" sz="1000" b="0">
            <a:solidFill>
              <a:srgbClr val="FF66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25</xdr:col>
          <xdr:colOff>152400</xdr:colOff>
          <xdr:row>79</xdr:row>
          <xdr:rowOff>12700</xdr:rowOff>
        </xdr:from>
        <xdr:to>
          <xdr:col>27</xdr:col>
          <xdr:colOff>0</xdr:colOff>
          <xdr:row>79</xdr:row>
          <xdr:rowOff>222250</xdr:rowOff>
        </xdr:to>
        <xdr:sp macro="" textlink="">
          <xdr:nvSpPr>
            <xdr:cNvPr id="76825" name="Check Box 25" hidden="1">
              <a:extLst>
                <a:ext uri="{63B3BB69-23CF-44E3-9099-C40C66FF867C}">
                  <a14:compatExt spid="_x0000_s768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165100</xdr:colOff>
          <xdr:row>79</xdr:row>
          <xdr:rowOff>12700</xdr:rowOff>
        </xdr:from>
        <xdr:to>
          <xdr:col>31</xdr:col>
          <xdr:colOff>0</xdr:colOff>
          <xdr:row>79</xdr:row>
          <xdr:rowOff>222250</xdr:rowOff>
        </xdr:to>
        <xdr:sp macro="" textlink="">
          <xdr:nvSpPr>
            <xdr:cNvPr id="76826" name="Check Box 26" hidden="1">
              <a:extLst>
                <a:ext uri="{63B3BB69-23CF-44E3-9099-C40C66FF867C}">
                  <a14:compatExt spid="_x0000_s768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152400</xdr:colOff>
          <xdr:row>79</xdr:row>
          <xdr:rowOff>12700</xdr:rowOff>
        </xdr:from>
        <xdr:to>
          <xdr:col>28</xdr:col>
          <xdr:colOff>247650</xdr:colOff>
          <xdr:row>79</xdr:row>
          <xdr:rowOff>222250</xdr:rowOff>
        </xdr:to>
        <xdr:sp macro="" textlink="">
          <xdr:nvSpPr>
            <xdr:cNvPr id="76827" name="Check Box 27" hidden="1">
              <a:extLst>
                <a:ext uri="{63B3BB69-23CF-44E3-9099-C40C66FF867C}">
                  <a14:compatExt spid="_x0000_s768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165100</xdr:colOff>
          <xdr:row>79</xdr:row>
          <xdr:rowOff>12700</xdr:rowOff>
        </xdr:from>
        <xdr:to>
          <xdr:col>33</xdr:col>
          <xdr:colOff>0</xdr:colOff>
          <xdr:row>79</xdr:row>
          <xdr:rowOff>222250</xdr:rowOff>
        </xdr:to>
        <xdr:sp macro="" textlink="">
          <xdr:nvSpPr>
            <xdr:cNvPr id="76828" name="Check Box 28" hidden="1">
              <a:extLst>
                <a:ext uri="{63B3BB69-23CF-44E3-9099-C40C66FF867C}">
                  <a14:compatExt spid="_x0000_s768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165100</xdr:colOff>
          <xdr:row>79</xdr:row>
          <xdr:rowOff>12700</xdr:rowOff>
        </xdr:from>
        <xdr:to>
          <xdr:col>35</xdr:col>
          <xdr:colOff>0</xdr:colOff>
          <xdr:row>79</xdr:row>
          <xdr:rowOff>222250</xdr:rowOff>
        </xdr:to>
        <xdr:sp macro="" textlink="">
          <xdr:nvSpPr>
            <xdr:cNvPr id="76829" name="Check Box 29" hidden="1">
              <a:extLst>
                <a:ext uri="{63B3BB69-23CF-44E3-9099-C40C66FF867C}">
                  <a14:compatExt spid="_x0000_s768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165100</xdr:colOff>
          <xdr:row>79</xdr:row>
          <xdr:rowOff>12700</xdr:rowOff>
        </xdr:from>
        <xdr:to>
          <xdr:col>37</xdr:col>
          <xdr:colOff>0</xdr:colOff>
          <xdr:row>79</xdr:row>
          <xdr:rowOff>222250</xdr:rowOff>
        </xdr:to>
        <xdr:sp macro="" textlink="">
          <xdr:nvSpPr>
            <xdr:cNvPr id="76830" name="Check Box 30" hidden="1">
              <a:extLst>
                <a:ext uri="{63B3BB69-23CF-44E3-9099-C40C66FF867C}">
                  <a14:compatExt spid="_x0000_s768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165100</xdr:colOff>
          <xdr:row>79</xdr:row>
          <xdr:rowOff>12700</xdr:rowOff>
        </xdr:from>
        <xdr:to>
          <xdr:col>39</xdr:col>
          <xdr:colOff>0</xdr:colOff>
          <xdr:row>79</xdr:row>
          <xdr:rowOff>222250</xdr:rowOff>
        </xdr:to>
        <xdr:sp macro="" textlink="">
          <xdr:nvSpPr>
            <xdr:cNvPr id="76831" name="Check Box 31" hidden="1">
              <a:extLst>
                <a:ext uri="{63B3BB69-23CF-44E3-9099-C40C66FF867C}">
                  <a14:compatExt spid="_x0000_s768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165100</xdr:colOff>
          <xdr:row>79</xdr:row>
          <xdr:rowOff>12700</xdr:rowOff>
        </xdr:from>
        <xdr:to>
          <xdr:col>41</xdr:col>
          <xdr:colOff>19050</xdr:colOff>
          <xdr:row>79</xdr:row>
          <xdr:rowOff>222250</xdr:rowOff>
        </xdr:to>
        <xdr:sp macro="" textlink="">
          <xdr:nvSpPr>
            <xdr:cNvPr id="76832" name="Check Box 32" hidden="1">
              <a:extLst>
                <a:ext uri="{63B3BB69-23CF-44E3-9099-C40C66FF867C}">
                  <a14:compatExt spid="_x0000_s76832"/>
                </a:ext>
              </a:extLst>
            </xdr:cNvPr>
            <xdr:cNvSpPr/>
          </xdr:nvSpPr>
          <xdr:spPr>
            <a:xfrm>
              <a:off x="0" y="0"/>
              <a:ext cx="0" cy="0"/>
            </a:xfrm>
            <a:prstGeom prst="rect">
              <a:avLst/>
            </a:prstGeom>
          </xdr:spPr>
        </xdr:sp>
        <xdr:clientData/>
      </xdr:twoCellAnchor>
    </mc:Choice>
    <mc:Fallback/>
  </mc:AlternateContent>
  <xdr:twoCellAnchor editAs="oneCell">
    <xdr:from>
      <xdr:col>2</xdr:col>
      <xdr:colOff>11206</xdr:colOff>
      <xdr:row>101</xdr:row>
      <xdr:rowOff>11203</xdr:rowOff>
    </xdr:from>
    <xdr:to>
      <xdr:col>11</xdr:col>
      <xdr:colOff>194283</xdr:colOff>
      <xdr:row>102</xdr:row>
      <xdr:rowOff>111086</xdr:rowOff>
    </xdr:to>
    <xdr:sp macro="" textlink="">
      <xdr:nvSpPr>
        <xdr:cNvPr id="39" name="角丸四角形 38"/>
        <xdr:cNvSpPr/>
      </xdr:nvSpPr>
      <xdr:spPr>
        <a:xfrm>
          <a:off x="525556" y="25890628"/>
          <a:ext cx="2497652" cy="328484"/>
        </a:xfrm>
        <a:prstGeom prst="roundRect">
          <a:avLst>
            <a:gd name="adj" fmla="val 50000"/>
          </a:avLst>
        </a:prstGeom>
        <a:solidFill>
          <a:schemeClr val="tx1"/>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bg1"/>
              </a:solidFill>
              <a:latin typeface="+mj-ea"/>
              <a:ea typeface="+mj-ea"/>
            </a:rPr>
            <a:t>4.</a:t>
          </a:r>
          <a:r>
            <a:rPr kumimoji="1" lang="ja-JP" altLang="en-US" sz="1400" b="1">
              <a:solidFill>
                <a:schemeClr val="bg1"/>
              </a:solidFill>
              <a:latin typeface="+mj-ea"/>
              <a:ea typeface="+mj-ea"/>
            </a:rPr>
            <a:t>振込先 金融機関口座情報</a:t>
          </a:r>
        </a:p>
      </xdr:txBody>
    </xdr:sp>
    <xdr:clientData/>
  </xdr:twoCellAnchor>
  <xdr:twoCellAnchor editAs="oneCell">
    <xdr:from>
      <xdr:col>2</xdr:col>
      <xdr:colOff>0</xdr:colOff>
      <xdr:row>114</xdr:row>
      <xdr:rowOff>0</xdr:rowOff>
    </xdr:from>
    <xdr:to>
      <xdr:col>11</xdr:col>
      <xdr:colOff>183077</xdr:colOff>
      <xdr:row>115</xdr:row>
      <xdr:rowOff>99882</xdr:rowOff>
    </xdr:to>
    <xdr:sp macro="" textlink="">
      <xdr:nvSpPr>
        <xdr:cNvPr id="40" name="角丸四角形 39"/>
        <xdr:cNvSpPr/>
      </xdr:nvSpPr>
      <xdr:spPr>
        <a:xfrm>
          <a:off x="514350" y="28851225"/>
          <a:ext cx="2497652" cy="328481"/>
        </a:xfrm>
        <a:prstGeom prst="roundRect">
          <a:avLst>
            <a:gd name="adj" fmla="val 50000"/>
          </a:avLst>
        </a:prstGeom>
        <a:solidFill>
          <a:schemeClr val="tx1"/>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bg1"/>
              </a:solidFill>
              <a:latin typeface="+mj-ea"/>
              <a:ea typeface="+mj-ea"/>
            </a:rPr>
            <a:t>5.</a:t>
          </a:r>
          <a:r>
            <a:rPr kumimoji="1" lang="ja-JP" altLang="en-US" sz="1400" b="1">
              <a:solidFill>
                <a:schemeClr val="bg1"/>
              </a:solidFill>
              <a:latin typeface="+mj-ea"/>
              <a:ea typeface="+mj-ea"/>
            </a:rPr>
            <a:t>ご担当者様情報</a:t>
          </a:r>
        </a:p>
      </xdr:txBody>
    </xdr:sp>
    <xdr:clientData/>
  </xdr:twoCellAnchor>
  <mc:AlternateContent xmlns:mc="http://schemas.openxmlformats.org/markup-compatibility/2006">
    <mc:Choice xmlns:a14="http://schemas.microsoft.com/office/drawing/2010/main" Requires="a14">
      <xdr:twoCellAnchor editAs="oneCell">
        <xdr:from>
          <xdr:col>8</xdr:col>
          <xdr:colOff>0</xdr:colOff>
          <xdr:row>126</xdr:row>
          <xdr:rowOff>222250</xdr:rowOff>
        </xdr:from>
        <xdr:to>
          <xdr:col>45</xdr:col>
          <xdr:colOff>241300</xdr:colOff>
          <xdr:row>127</xdr:row>
          <xdr:rowOff>222250</xdr:rowOff>
        </xdr:to>
        <xdr:sp macro="" textlink="">
          <xdr:nvSpPr>
            <xdr:cNvPr id="76833" name="Group Box 33" hidden="1">
              <a:extLst>
                <a:ext uri="{63B3BB69-23CF-44E3-9099-C40C66FF867C}">
                  <a14:compatExt spid="_x0000_s768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90</xdr:row>
          <xdr:rowOff>0</xdr:rowOff>
        </xdr:from>
        <xdr:to>
          <xdr:col>10</xdr:col>
          <xdr:colOff>38100</xdr:colOff>
          <xdr:row>90</xdr:row>
          <xdr:rowOff>222250</xdr:rowOff>
        </xdr:to>
        <xdr:sp macro="" textlink="">
          <xdr:nvSpPr>
            <xdr:cNvPr id="76834" name="Check Box 34" hidden="1">
              <a:extLst>
                <a:ext uri="{63B3BB69-23CF-44E3-9099-C40C66FF867C}">
                  <a14:compatExt spid="_x0000_s768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90</xdr:row>
          <xdr:rowOff>0</xdr:rowOff>
        </xdr:from>
        <xdr:to>
          <xdr:col>18</xdr:col>
          <xdr:colOff>19050</xdr:colOff>
          <xdr:row>90</xdr:row>
          <xdr:rowOff>209550</xdr:rowOff>
        </xdr:to>
        <xdr:sp macro="" textlink="">
          <xdr:nvSpPr>
            <xdr:cNvPr id="76835" name="Check Box 35" hidden="1">
              <a:extLst>
                <a:ext uri="{63B3BB69-23CF-44E3-9099-C40C66FF867C}">
                  <a14:compatExt spid="_x0000_s768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92</xdr:row>
          <xdr:rowOff>127000</xdr:rowOff>
        </xdr:from>
        <xdr:to>
          <xdr:col>11</xdr:col>
          <xdr:colOff>50800</xdr:colOff>
          <xdr:row>93</xdr:row>
          <xdr:rowOff>107950</xdr:rowOff>
        </xdr:to>
        <xdr:sp macro="" textlink="">
          <xdr:nvSpPr>
            <xdr:cNvPr id="76836" name="Option Button 36" hidden="1">
              <a:extLst>
                <a:ext uri="{63B3BB69-23CF-44E3-9099-C40C66FF867C}">
                  <a14:compatExt spid="_x0000_s768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92</xdr:row>
          <xdr:rowOff>127000</xdr:rowOff>
        </xdr:from>
        <xdr:to>
          <xdr:col>15</xdr:col>
          <xdr:colOff>50800</xdr:colOff>
          <xdr:row>93</xdr:row>
          <xdr:rowOff>107950</xdr:rowOff>
        </xdr:to>
        <xdr:sp macro="" textlink="">
          <xdr:nvSpPr>
            <xdr:cNvPr id="76837" name="Option Button 37" hidden="1">
              <a:extLst>
                <a:ext uri="{63B3BB69-23CF-44E3-9099-C40C66FF867C}">
                  <a14:compatExt spid="_x0000_s768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92</xdr:row>
          <xdr:rowOff>0</xdr:rowOff>
        </xdr:from>
        <xdr:to>
          <xdr:col>17</xdr:col>
          <xdr:colOff>0</xdr:colOff>
          <xdr:row>94</xdr:row>
          <xdr:rowOff>0</xdr:rowOff>
        </xdr:to>
        <xdr:sp macro="" textlink="">
          <xdr:nvSpPr>
            <xdr:cNvPr id="76838" name="Group Box 38" hidden="1">
              <a:extLst>
                <a:ext uri="{63B3BB69-23CF-44E3-9099-C40C66FF867C}">
                  <a14:compatExt spid="_x0000_s768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31750</xdr:colOff>
          <xdr:row>94</xdr:row>
          <xdr:rowOff>114300</xdr:rowOff>
        </xdr:from>
        <xdr:to>
          <xdr:col>11</xdr:col>
          <xdr:colOff>50800</xdr:colOff>
          <xdr:row>95</xdr:row>
          <xdr:rowOff>95250</xdr:rowOff>
        </xdr:to>
        <xdr:sp macro="" textlink="">
          <xdr:nvSpPr>
            <xdr:cNvPr id="76839" name="Option Button 39" hidden="1">
              <a:extLst>
                <a:ext uri="{63B3BB69-23CF-44E3-9099-C40C66FF867C}">
                  <a14:compatExt spid="_x0000_s768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31750</xdr:colOff>
          <xdr:row>94</xdr:row>
          <xdr:rowOff>114300</xdr:rowOff>
        </xdr:from>
        <xdr:to>
          <xdr:col>15</xdr:col>
          <xdr:colOff>50800</xdr:colOff>
          <xdr:row>95</xdr:row>
          <xdr:rowOff>95250</xdr:rowOff>
        </xdr:to>
        <xdr:sp macro="" textlink="">
          <xdr:nvSpPr>
            <xdr:cNvPr id="76840" name="Option Button 40" hidden="1">
              <a:extLst>
                <a:ext uri="{63B3BB69-23CF-44E3-9099-C40C66FF867C}">
                  <a14:compatExt spid="_x0000_s768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94</xdr:row>
          <xdr:rowOff>0</xdr:rowOff>
        </xdr:from>
        <xdr:to>
          <xdr:col>17</xdr:col>
          <xdr:colOff>0</xdr:colOff>
          <xdr:row>96</xdr:row>
          <xdr:rowOff>0</xdr:rowOff>
        </xdr:to>
        <xdr:sp macro="" textlink="">
          <xdr:nvSpPr>
            <xdr:cNvPr id="76841" name="Group Box 41" hidden="1">
              <a:extLst>
                <a:ext uri="{63B3BB69-23CF-44E3-9099-C40C66FF867C}">
                  <a14:compatExt spid="_x0000_s768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92</xdr:row>
          <xdr:rowOff>127000</xdr:rowOff>
        </xdr:from>
        <xdr:to>
          <xdr:col>26</xdr:col>
          <xdr:colOff>69850</xdr:colOff>
          <xdr:row>93</xdr:row>
          <xdr:rowOff>107950</xdr:rowOff>
        </xdr:to>
        <xdr:sp macro="" textlink="">
          <xdr:nvSpPr>
            <xdr:cNvPr id="76842" name="Option Button 42" hidden="1">
              <a:extLst>
                <a:ext uri="{63B3BB69-23CF-44E3-9099-C40C66FF867C}">
                  <a14:compatExt spid="_x0000_s768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92</xdr:row>
          <xdr:rowOff>127000</xdr:rowOff>
        </xdr:from>
        <xdr:to>
          <xdr:col>30</xdr:col>
          <xdr:colOff>69850</xdr:colOff>
          <xdr:row>93</xdr:row>
          <xdr:rowOff>107950</xdr:rowOff>
        </xdr:to>
        <xdr:sp macro="" textlink="">
          <xdr:nvSpPr>
            <xdr:cNvPr id="76843" name="Option Button 43" hidden="1">
              <a:extLst>
                <a:ext uri="{63B3BB69-23CF-44E3-9099-C40C66FF867C}">
                  <a14:compatExt spid="_x0000_s768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94</xdr:row>
          <xdr:rowOff>114300</xdr:rowOff>
        </xdr:from>
        <xdr:to>
          <xdr:col>26</xdr:col>
          <xdr:colOff>69850</xdr:colOff>
          <xdr:row>95</xdr:row>
          <xdr:rowOff>95250</xdr:rowOff>
        </xdr:to>
        <xdr:sp macro="" textlink="">
          <xdr:nvSpPr>
            <xdr:cNvPr id="76844" name="Option Button 44" hidden="1">
              <a:extLst>
                <a:ext uri="{63B3BB69-23CF-44E3-9099-C40C66FF867C}">
                  <a14:compatExt spid="_x0000_s768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94</xdr:row>
          <xdr:rowOff>114300</xdr:rowOff>
        </xdr:from>
        <xdr:to>
          <xdr:col>30</xdr:col>
          <xdr:colOff>69850</xdr:colOff>
          <xdr:row>95</xdr:row>
          <xdr:rowOff>95250</xdr:rowOff>
        </xdr:to>
        <xdr:sp macro="" textlink="">
          <xdr:nvSpPr>
            <xdr:cNvPr id="76845" name="Option Button 45" hidden="1">
              <a:extLst>
                <a:ext uri="{63B3BB69-23CF-44E3-9099-C40C66FF867C}">
                  <a14:compatExt spid="_x0000_s768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92</xdr:row>
          <xdr:rowOff>127000</xdr:rowOff>
        </xdr:from>
        <xdr:to>
          <xdr:col>41</xdr:col>
          <xdr:colOff>69850</xdr:colOff>
          <xdr:row>93</xdr:row>
          <xdr:rowOff>107950</xdr:rowOff>
        </xdr:to>
        <xdr:sp macro="" textlink="">
          <xdr:nvSpPr>
            <xdr:cNvPr id="76846" name="Option Button 46" hidden="1">
              <a:extLst>
                <a:ext uri="{63B3BB69-23CF-44E3-9099-C40C66FF867C}">
                  <a14:compatExt spid="_x0000_s768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92</xdr:row>
          <xdr:rowOff>127000</xdr:rowOff>
        </xdr:from>
        <xdr:to>
          <xdr:col>45</xdr:col>
          <xdr:colOff>69850</xdr:colOff>
          <xdr:row>93</xdr:row>
          <xdr:rowOff>107950</xdr:rowOff>
        </xdr:to>
        <xdr:sp macro="" textlink="">
          <xdr:nvSpPr>
            <xdr:cNvPr id="76847" name="Option Button 47" hidden="1">
              <a:extLst>
                <a:ext uri="{63B3BB69-23CF-44E3-9099-C40C66FF867C}">
                  <a14:compatExt spid="_x0000_s768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94</xdr:row>
          <xdr:rowOff>114300</xdr:rowOff>
        </xdr:from>
        <xdr:to>
          <xdr:col>41</xdr:col>
          <xdr:colOff>69850</xdr:colOff>
          <xdr:row>95</xdr:row>
          <xdr:rowOff>95250</xdr:rowOff>
        </xdr:to>
        <xdr:sp macro="" textlink="">
          <xdr:nvSpPr>
            <xdr:cNvPr id="76848" name="Option Button 48" hidden="1">
              <a:extLst>
                <a:ext uri="{63B3BB69-23CF-44E3-9099-C40C66FF867C}">
                  <a14:compatExt spid="_x0000_s768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94</xdr:row>
          <xdr:rowOff>114300</xdr:rowOff>
        </xdr:from>
        <xdr:to>
          <xdr:col>45</xdr:col>
          <xdr:colOff>69850</xdr:colOff>
          <xdr:row>95</xdr:row>
          <xdr:rowOff>95250</xdr:rowOff>
        </xdr:to>
        <xdr:sp macro="" textlink="">
          <xdr:nvSpPr>
            <xdr:cNvPr id="76849" name="Option Button 49" hidden="1">
              <a:extLst>
                <a:ext uri="{63B3BB69-23CF-44E3-9099-C40C66FF867C}">
                  <a14:compatExt spid="_x0000_s768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92</xdr:row>
          <xdr:rowOff>0</xdr:rowOff>
        </xdr:from>
        <xdr:to>
          <xdr:col>32</xdr:col>
          <xdr:colOff>0</xdr:colOff>
          <xdr:row>94</xdr:row>
          <xdr:rowOff>0</xdr:rowOff>
        </xdr:to>
        <xdr:sp macro="" textlink="">
          <xdr:nvSpPr>
            <xdr:cNvPr id="76850" name="Group Box 50" hidden="1">
              <a:extLst>
                <a:ext uri="{63B3BB69-23CF-44E3-9099-C40C66FF867C}">
                  <a14:compatExt spid="_x0000_s768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94</xdr:row>
          <xdr:rowOff>0</xdr:rowOff>
        </xdr:from>
        <xdr:to>
          <xdr:col>32</xdr:col>
          <xdr:colOff>0</xdr:colOff>
          <xdr:row>96</xdr:row>
          <xdr:rowOff>0</xdr:rowOff>
        </xdr:to>
        <xdr:sp macro="" textlink="">
          <xdr:nvSpPr>
            <xdr:cNvPr id="76851" name="Group Box 51" hidden="1">
              <a:extLst>
                <a:ext uri="{63B3BB69-23CF-44E3-9099-C40C66FF867C}">
                  <a14:compatExt spid="_x0000_s768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92</xdr:row>
          <xdr:rowOff>0</xdr:rowOff>
        </xdr:from>
        <xdr:to>
          <xdr:col>46</xdr:col>
          <xdr:colOff>0</xdr:colOff>
          <xdr:row>94</xdr:row>
          <xdr:rowOff>0</xdr:rowOff>
        </xdr:to>
        <xdr:sp macro="" textlink="">
          <xdr:nvSpPr>
            <xdr:cNvPr id="76852" name="Group Box 52" hidden="1">
              <a:extLst>
                <a:ext uri="{63B3BB69-23CF-44E3-9099-C40C66FF867C}">
                  <a14:compatExt spid="_x0000_s768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94</xdr:row>
          <xdr:rowOff>0</xdr:rowOff>
        </xdr:from>
        <xdr:to>
          <xdr:col>46</xdr:col>
          <xdr:colOff>0</xdr:colOff>
          <xdr:row>96</xdr:row>
          <xdr:rowOff>0</xdr:rowOff>
        </xdr:to>
        <xdr:sp macro="" textlink="">
          <xdr:nvSpPr>
            <xdr:cNvPr id="76853" name="Group Box 53" hidden="1">
              <a:extLst>
                <a:ext uri="{63B3BB69-23CF-44E3-9099-C40C66FF867C}">
                  <a14:compatExt spid="_x0000_s768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0</xdr:colOff>
          <xdr:row>20</xdr:row>
          <xdr:rowOff>69850</xdr:rowOff>
        </xdr:from>
        <xdr:to>
          <xdr:col>42</xdr:col>
          <xdr:colOff>107950</xdr:colOff>
          <xdr:row>21</xdr:row>
          <xdr:rowOff>95250</xdr:rowOff>
        </xdr:to>
        <xdr:sp macro="" textlink="">
          <xdr:nvSpPr>
            <xdr:cNvPr id="76854" name="Option Button 54" hidden="1">
              <a:extLst>
                <a:ext uri="{63B3BB69-23CF-44E3-9099-C40C66FF867C}">
                  <a14:compatExt spid="_x0000_s768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127000</xdr:colOff>
          <xdr:row>20</xdr:row>
          <xdr:rowOff>69850</xdr:rowOff>
        </xdr:from>
        <xdr:to>
          <xdr:col>44</xdr:col>
          <xdr:colOff>222250</xdr:colOff>
          <xdr:row>21</xdr:row>
          <xdr:rowOff>95250</xdr:rowOff>
        </xdr:to>
        <xdr:sp macro="" textlink="">
          <xdr:nvSpPr>
            <xdr:cNvPr id="76855" name="Option Button 55" hidden="1">
              <a:extLst>
                <a:ext uri="{63B3BB69-23CF-44E3-9099-C40C66FF867C}">
                  <a14:compatExt spid="_x0000_s768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152400</xdr:colOff>
          <xdr:row>19</xdr:row>
          <xdr:rowOff>19050</xdr:rowOff>
        </xdr:from>
        <xdr:to>
          <xdr:col>45</xdr:col>
          <xdr:colOff>228600</xdr:colOff>
          <xdr:row>21</xdr:row>
          <xdr:rowOff>203200</xdr:rowOff>
        </xdr:to>
        <xdr:sp macro="" textlink="">
          <xdr:nvSpPr>
            <xdr:cNvPr id="76856" name="Group Box 56" hidden="1">
              <a:extLst>
                <a:ext uri="{63B3BB69-23CF-44E3-9099-C40C66FF867C}">
                  <a14:compatExt spid="_x0000_s768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107950</xdr:colOff>
          <xdr:row>17</xdr:row>
          <xdr:rowOff>127000</xdr:rowOff>
        </xdr:from>
        <xdr:to>
          <xdr:col>31</xdr:col>
          <xdr:colOff>165100</xdr:colOff>
          <xdr:row>18</xdr:row>
          <xdr:rowOff>95250</xdr:rowOff>
        </xdr:to>
        <xdr:sp macro="" textlink="">
          <xdr:nvSpPr>
            <xdr:cNvPr id="76857" name="Option Button 57" hidden="1">
              <a:extLst>
                <a:ext uri="{63B3BB69-23CF-44E3-9099-C40C66FF867C}">
                  <a14:compatExt spid="_x0000_s768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114300</xdr:colOff>
          <xdr:row>17</xdr:row>
          <xdr:rowOff>127000</xdr:rowOff>
        </xdr:from>
        <xdr:to>
          <xdr:col>38</xdr:col>
          <xdr:colOff>171450</xdr:colOff>
          <xdr:row>18</xdr:row>
          <xdr:rowOff>95250</xdr:rowOff>
        </xdr:to>
        <xdr:sp macro="" textlink="">
          <xdr:nvSpPr>
            <xdr:cNvPr id="76858" name="Option Button 58" hidden="1">
              <a:extLst>
                <a:ext uri="{63B3BB69-23CF-44E3-9099-C40C66FF867C}">
                  <a14:compatExt spid="_x0000_s768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12700</xdr:colOff>
          <xdr:row>12</xdr:row>
          <xdr:rowOff>50800</xdr:rowOff>
        </xdr:from>
        <xdr:to>
          <xdr:col>14</xdr:col>
          <xdr:colOff>247650</xdr:colOff>
          <xdr:row>26</xdr:row>
          <xdr:rowOff>184150</xdr:rowOff>
        </xdr:to>
        <xdr:sp macro="" textlink="">
          <xdr:nvSpPr>
            <xdr:cNvPr id="76859" name="Group Box 59" hidden="1">
              <a:extLst>
                <a:ext uri="{63B3BB69-23CF-44E3-9099-C40C66FF867C}">
                  <a14:compatExt spid="_x0000_s768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228600</xdr:colOff>
          <xdr:row>127</xdr:row>
          <xdr:rowOff>12700</xdr:rowOff>
        </xdr:from>
        <xdr:to>
          <xdr:col>12</xdr:col>
          <xdr:colOff>31750</xdr:colOff>
          <xdr:row>127</xdr:row>
          <xdr:rowOff>203200</xdr:rowOff>
        </xdr:to>
        <xdr:sp macro="" textlink="">
          <xdr:nvSpPr>
            <xdr:cNvPr id="76860" name="Option Button 60" hidden="1">
              <a:extLst>
                <a:ext uri="{63B3BB69-23CF-44E3-9099-C40C66FF867C}">
                  <a14:compatExt spid="_x0000_s768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222250</xdr:colOff>
          <xdr:row>127</xdr:row>
          <xdr:rowOff>12700</xdr:rowOff>
        </xdr:from>
        <xdr:to>
          <xdr:col>24</xdr:col>
          <xdr:colOff>19050</xdr:colOff>
          <xdr:row>127</xdr:row>
          <xdr:rowOff>203200</xdr:rowOff>
        </xdr:to>
        <xdr:sp macro="" textlink="">
          <xdr:nvSpPr>
            <xdr:cNvPr id="76861" name="Option Button 61" hidden="1">
              <a:extLst>
                <a:ext uri="{63B3BB69-23CF-44E3-9099-C40C66FF867C}">
                  <a14:compatExt spid="_x0000_s768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12700</xdr:colOff>
          <xdr:row>126</xdr:row>
          <xdr:rowOff>203200</xdr:rowOff>
        </xdr:from>
        <xdr:to>
          <xdr:col>26</xdr:col>
          <xdr:colOff>241300</xdr:colOff>
          <xdr:row>131</xdr:row>
          <xdr:rowOff>19050</xdr:rowOff>
        </xdr:to>
        <xdr:sp macro="" textlink="">
          <xdr:nvSpPr>
            <xdr:cNvPr id="76862" name="Group Box 62" hidden="1">
              <a:extLst>
                <a:ext uri="{63B3BB69-23CF-44E3-9099-C40C66FF867C}">
                  <a14:compatExt spid="_x0000_s76862"/>
                </a:ext>
              </a:extLst>
            </xdr:cNvPr>
            <xdr:cNvSpPr/>
          </xdr:nvSpPr>
          <xdr:spPr>
            <a:xfrm>
              <a:off x="0" y="0"/>
              <a:ext cx="0" cy="0"/>
            </a:xfrm>
            <a:prstGeom prst="rect">
              <a:avLst/>
            </a:prstGeom>
          </xdr:spPr>
        </xdr:sp>
        <xdr:clientData/>
      </xdr:twoCellAnchor>
    </mc:Choice>
    <mc:Fallback/>
  </mc:AlternateContent>
  <xdr:oneCellAnchor>
    <xdr:from>
      <xdr:col>8</xdr:col>
      <xdr:colOff>11206</xdr:colOff>
      <xdr:row>47</xdr:row>
      <xdr:rowOff>201705</xdr:rowOff>
    </xdr:from>
    <xdr:ext cx="188119" cy="190565"/>
    <xdr:sp macro="" textlink="">
      <xdr:nvSpPr>
        <xdr:cNvPr id="71" name="テキスト ボックス 70"/>
        <xdr:cNvSpPr txBox="1"/>
      </xdr:nvSpPr>
      <xdr:spPr>
        <a:xfrm>
          <a:off x="2068606" y="13736730"/>
          <a:ext cx="188119" cy="1905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nchorCtr="1">
          <a:spAutoFit/>
        </a:bodyPr>
        <a:lstStyle/>
        <a:p>
          <a:r>
            <a:rPr kumimoji="1" lang="ja-JP" altLang="en-US" sz="900">
              <a:latin typeface="Meiryo UI" panose="020B0604030504040204" pitchFamily="50" charset="-128"/>
              <a:ea typeface="Meiryo UI" panose="020B0604030504040204" pitchFamily="50" charset="-128"/>
            </a:rPr>
            <a:t>姓</a:t>
          </a:r>
        </a:p>
      </xdr:txBody>
    </xdr:sp>
    <xdr:clientData/>
  </xdr:oneCellAnchor>
  <xdr:oneCellAnchor>
    <xdr:from>
      <xdr:col>14</xdr:col>
      <xdr:colOff>12296</xdr:colOff>
      <xdr:row>47</xdr:row>
      <xdr:rowOff>200027</xdr:rowOff>
    </xdr:from>
    <xdr:ext cx="188119" cy="190565"/>
    <xdr:sp macro="" textlink="">
      <xdr:nvSpPr>
        <xdr:cNvPr id="72" name="テキスト ボックス 71"/>
        <xdr:cNvSpPr txBox="1"/>
      </xdr:nvSpPr>
      <xdr:spPr>
        <a:xfrm>
          <a:off x="3612746" y="13735052"/>
          <a:ext cx="188119" cy="1905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nchorCtr="1">
          <a:spAutoFit/>
        </a:bodyPr>
        <a:lstStyle/>
        <a:p>
          <a:r>
            <a:rPr kumimoji="1" lang="ja-JP" altLang="en-US" sz="900">
              <a:latin typeface="Meiryo UI" panose="020B0604030504040204" pitchFamily="50" charset="-128"/>
              <a:ea typeface="Meiryo UI" panose="020B0604030504040204" pitchFamily="50" charset="-128"/>
            </a:rPr>
            <a:t>名</a:t>
          </a:r>
        </a:p>
      </xdr:txBody>
    </xdr:sp>
    <xdr:clientData/>
  </xdr:oneCellAnchor>
  <xdr:twoCellAnchor>
    <xdr:from>
      <xdr:col>30</xdr:col>
      <xdr:colOff>123325</xdr:colOff>
      <xdr:row>34</xdr:row>
      <xdr:rowOff>11204</xdr:rowOff>
    </xdr:from>
    <xdr:to>
      <xdr:col>45</xdr:col>
      <xdr:colOff>253296</xdr:colOff>
      <xdr:row>35</xdr:row>
      <xdr:rowOff>3359</xdr:rowOff>
    </xdr:to>
    <xdr:sp macro="" textlink="">
      <xdr:nvSpPr>
        <xdr:cNvPr id="73" name="テキスト ボックス 72"/>
        <xdr:cNvSpPr txBox="1"/>
      </xdr:nvSpPr>
      <xdr:spPr>
        <a:xfrm>
          <a:off x="7838575" y="10574429"/>
          <a:ext cx="3987596" cy="2207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050" b="0">
              <a:solidFill>
                <a:srgbClr val="FF66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b="0">
              <a:solidFill>
                <a:srgbClr val="FF6600"/>
              </a:solidFill>
              <a:latin typeface="Meiryo UI" panose="020B0604030504040204" pitchFamily="50" charset="-128"/>
              <a:ea typeface="Meiryo UI" panose="020B0604030504040204" pitchFamily="50" charset="-128"/>
              <a:cs typeface="Meiryo UI" panose="020B0604030504040204" pitchFamily="50" charset="-128"/>
            </a:rPr>
            <a:t>都道府県、建物名、棟名、部屋番号も省略せずにご入力ください。</a:t>
          </a:r>
          <a:endParaRPr kumimoji="1" lang="en-US" altLang="ja-JP" sz="1050" b="0">
            <a:solidFill>
              <a:srgbClr val="FF66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oneCellAnchor>
    <xdr:from>
      <xdr:col>8</xdr:col>
      <xdr:colOff>0</xdr:colOff>
      <xdr:row>34</xdr:row>
      <xdr:rowOff>212911</xdr:rowOff>
    </xdr:from>
    <xdr:ext cx="483072" cy="169405"/>
    <xdr:sp macro="" textlink="">
      <xdr:nvSpPr>
        <xdr:cNvPr id="74" name="テキスト ボックス 73"/>
        <xdr:cNvSpPr txBox="1"/>
      </xdr:nvSpPr>
      <xdr:spPr>
        <a:xfrm>
          <a:off x="2057400" y="10776136"/>
          <a:ext cx="483072"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都道府県</a:t>
          </a:r>
        </a:p>
      </xdr:txBody>
    </xdr:sp>
    <xdr:clientData/>
  </xdr:oneCellAnchor>
  <xdr:oneCellAnchor>
    <xdr:from>
      <xdr:col>13</xdr:col>
      <xdr:colOff>0</xdr:colOff>
      <xdr:row>34</xdr:row>
      <xdr:rowOff>223491</xdr:rowOff>
    </xdr:from>
    <xdr:ext cx="483072" cy="169405"/>
    <xdr:sp macro="" textlink="">
      <xdr:nvSpPr>
        <xdr:cNvPr id="77" name="テキスト ボックス 76"/>
        <xdr:cNvSpPr txBox="1"/>
      </xdr:nvSpPr>
      <xdr:spPr>
        <a:xfrm>
          <a:off x="3343275" y="10786716"/>
          <a:ext cx="483072"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市区町村</a:t>
          </a:r>
        </a:p>
      </xdr:txBody>
    </xdr:sp>
    <xdr:clientData/>
  </xdr:oneCellAnchor>
  <xdr:oneCellAnchor>
    <xdr:from>
      <xdr:col>21</xdr:col>
      <xdr:colOff>0</xdr:colOff>
      <xdr:row>34</xdr:row>
      <xdr:rowOff>223491</xdr:rowOff>
    </xdr:from>
    <xdr:ext cx="277888" cy="169405"/>
    <xdr:sp macro="" textlink="">
      <xdr:nvSpPr>
        <xdr:cNvPr id="78" name="テキスト ボックス 77"/>
        <xdr:cNvSpPr txBox="1"/>
      </xdr:nvSpPr>
      <xdr:spPr>
        <a:xfrm>
          <a:off x="5400675" y="10786716"/>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町名</a:t>
          </a:r>
        </a:p>
      </xdr:txBody>
    </xdr:sp>
    <xdr:clientData/>
  </xdr:oneCellAnchor>
  <xdr:oneCellAnchor>
    <xdr:from>
      <xdr:col>29</xdr:col>
      <xdr:colOff>0</xdr:colOff>
      <xdr:row>34</xdr:row>
      <xdr:rowOff>223491</xdr:rowOff>
    </xdr:from>
    <xdr:ext cx="585664" cy="169405"/>
    <xdr:sp macro="" textlink="">
      <xdr:nvSpPr>
        <xdr:cNvPr id="79" name="テキスト ボックス 78"/>
        <xdr:cNvSpPr txBox="1"/>
      </xdr:nvSpPr>
      <xdr:spPr>
        <a:xfrm>
          <a:off x="7458075" y="10786716"/>
          <a:ext cx="585664"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番・番地・号</a:t>
          </a:r>
        </a:p>
      </xdr:txBody>
    </xdr:sp>
    <xdr:clientData/>
  </xdr:oneCellAnchor>
  <xdr:oneCellAnchor>
    <xdr:from>
      <xdr:col>37</xdr:col>
      <xdr:colOff>0</xdr:colOff>
      <xdr:row>34</xdr:row>
      <xdr:rowOff>223491</xdr:rowOff>
    </xdr:from>
    <xdr:ext cx="842145" cy="169405"/>
    <xdr:sp macro="" textlink="">
      <xdr:nvSpPr>
        <xdr:cNvPr id="80" name="テキスト ボックス 79"/>
        <xdr:cNvSpPr txBox="1"/>
      </xdr:nvSpPr>
      <xdr:spPr>
        <a:xfrm>
          <a:off x="9515475" y="10786716"/>
          <a:ext cx="842145"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建物名・部屋番号</a:t>
          </a:r>
          <a:endParaRPr kumimoji="1" lang="en-US" altLang="ja-JP" sz="800">
            <a:solidFill>
              <a:sysClr val="windowText" lastClr="000000"/>
            </a:solidFill>
            <a:latin typeface="Meiryo UI" panose="020B0604030504040204" pitchFamily="50" charset="-128"/>
            <a:ea typeface="Meiryo UI" panose="020B0604030504040204" pitchFamily="50" charset="-128"/>
          </a:endParaRPr>
        </a:p>
      </xdr:txBody>
    </xdr:sp>
    <xdr:clientData/>
  </xdr:oneCellAnchor>
  <xdr:twoCellAnchor>
    <xdr:from>
      <xdr:col>30</xdr:col>
      <xdr:colOff>123325</xdr:colOff>
      <xdr:row>51</xdr:row>
      <xdr:rowOff>11204</xdr:rowOff>
    </xdr:from>
    <xdr:to>
      <xdr:col>45</xdr:col>
      <xdr:colOff>253296</xdr:colOff>
      <xdr:row>52</xdr:row>
      <xdr:rowOff>3359</xdr:rowOff>
    </xdr:to>
    <xdr:sp macro="" textlink="">
      <xdr:nvSpPr>
        <xdr:cNvPr id="85" name="テキスト ボックス 84"/>
        <xdr:cNvSpPr txBox="1"/>
      </xdr:nvSpPr>
      <xdr:spPr>
        <a:xfrm>
          <a:off x="7838575" y="14460629"/>
          <a:ext cx="3987596" cy="2207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050" b="0">
              <a:solidFill>
                <a:srgbClr val="FF66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b="0">
              <a:solidFill>
                <a:srgbClr val="FF6600"/>
              </a:solidFill>
              <a:latin typeface="Meiryo UI" panose="020B0604030504040204" pitchFamily="50" charset="-128"/>
              <a:ea typeface="Meiryo UI" panose="020B0604030504040204" pitchFamily="50" charset="-128"/>
              <a:cs typeface="Meiryo UI" panose="020B0604030504040204" pitchFamily="50" charset="-128"/>
            </a:rPr>
            <a:t>都道府県、建物名、棟名、部屋番号も省略せずにご入力ください。</a:t>
          </a:r>
          <a:endParaRPr kumimoji="1" lang="en-US" altLang="ja-JP" sz="1050" b="0">
            <a:solidFill>
              <a:srgbClr val="FF66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oneCellAnchor>
    <xdr:from>
      <xdr:col>8</xdr:col>
      <xdr:colOff>0</xdr:colOff>
      <xdr:row>51</xdr:row>
      <xdr:rowOff>212911</xdr:rowOff>
    </xdr:from>
    <xdr:ext cx="483072" cy="169405"/>
    <xdr:sp macro="" textlink="">
      <xdr:nvSpPr>
        <xdr:cNvPr id="86" name="テキスト ボックス 85"/>
        <xdr:cNvSpPr txBox="1"/>
      </xdr:nvSpPr>
      <xdr:spPr>
        <a:xfrm>
          <a:off x="2057400" y="14662336"/>
          <a:ext cx="483072"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都道府県</a:t>
          </a:r>
        </a:p>
      </xdr:txBody>
    </xdr:sp>
    <xdr:clientData/>
  </xdr:oneCellAnchor>
  <xdr:oneCellAnchor>
    <xdr:from>
      <xdr:col>13</xdr:col>
      <xdr:colOff>0</xdr:colOff>
      <xdr:row>51</xdr:row>
      <xdr:rowOff>223491</xdr:rowOff>
    </xdr:from>
    <xdr:ext cx="483072" cy="169405"/>
    <xdr:sp macro="" textlink="">
      <xdr:nvSpPr>
        <xdr:cNvPr id="89" name="テキスト ボックス 88"/>
        <xdr:cNvSpPr txBox="1"/>
      </xdr:nvSpPr>
      <xdr:spPr>
        <a:xfrm>
          <a:off x="3343275" y="14672916"/>
          <a:ext cx="483072"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市区町村</a:t>
          </a:r>
        </a:p>
      </xdr:txBody>
    </xdr:sp>
    <xdr:clientData/>
  </xdr:oneCellAnchor>
  <xdr:oneCellAnchor>
    <xdr:from>
      <xdr:col>21</xdr:col>
      <xdr:colOff>0</xdr:colOff>
      <xdr:row>51</xdr:row>
      <xdr:rowOff>223491</xdr:rowOff>
    </xdr:from>
    <xdr:ext cx="277888" cy="169405"/>
    <xdr:sp macro="" textlink="">
      <xdr:nvSpPr>
        <xdr:cNvPr id="90" name="テキスト ボックス 89"/>
        <xdr:cNvSpPr txBox="1"/>
      </xdr:nvSpPr>
      <xdr:spPr>
        <a:xfrm>
          <a:off x="5400675" y="14672916"/>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町名</a:t>
          </a:r>
        </a:p>
      </xdr:txBody>
    </xdr:sp>
    <xdr:clientData/>
  </xdr:oneCellAnchor>
  <xdr:oneCellAnchor>
    <xdr:from>
      <xdr:col>29</xdr:col>
      <xdr:colOff>0</xdr:colOff>
      <xdr:row>51</xdr:row>
      <xdr:rowOff>223491</xdr:rowOff>
    </xdr:from>
    <xdr:ext cx="585664" cy="169405"/>
    <xdr:sp macro="" textlink="">
      <xdr:nvSpPr>
        <xdr:cNvPr id="91" name="テキスト ボックス 90"/>
        <xdr:cNvSpPr txBox="1"/>
      </xdr:nvSpPr>
      <xdr:spPr>
        <a:xfrm>
          <a:off x="7458075" y="14672916"/>
          <a:ext cx="585664"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番・番地・号</a:t>
          </a:r>
        </a:p>
      </xdr:txBody>
    </xdr:sp>
    <xdr:clientData/>
  </xdr:oneCellAnchor>
  <xdr:oneCellAnchor>
    <xdr:from>
      <xdr:col>37</xdr:col>
      <xdr:colOff>0</xdr:colOff>
      <xdr:row>51</xdr:row>
      <xdr:rowOff>223491</xdr:rowOff>
    </xdr:from>
    <xdr:ext cx="842145" cy="169405"/>
    <xdr:sp macro="" textlink="">
      <xdr:nvSpPr>
        <xdr:cNvPr id="92" name="テキスト ボックス 91"/>
        <xdr:cNvSpPr txBox="1"/>
      </xdr:nvSpPr>
      <xdr:spPr>
        <a:xfrm>
          <a:off x="9515475" y="14672916"/>
          <a:ext cx="842145"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建物名・部屋番号</a:t>
          </a:r>
          <a:endParaRPr kumimoji="1" lang="en-US" altLang="ja-JP" sz="800">
            <a:solidFill>
              <a:sysClr val="windowText" lastClr="000000"/>
            </a:solidFill>
            <a:latin typeface="Meiryo UI" panose="020B0604030504040204" pitchFamily="50" charset="-128"/>
            <a:ea typeface="Meiryo UI" panose="020B0604030504040204" pitchFamily="50" charset="-128"/>
          </a:endParaRPr>
        </a:p>
      </xdr:txBody>
    </xdr:sp>
    <xdr:clientData/>
  </xdr:oneCellAnchor>
  <xdr:twoCellAnchor>
    <xdr:from>
      <xdr:col>30</xdr:col>
      <xdr:colOff>123325</xdr:colOff>
      <xdr:row>70</xdr:row>
      <xdr:rowOff>11204</xdr:rowOff>
    </xdr:from>
    <xdr:to>
      <xdr:col>45</xdr:col>
      <xdr:colOff>253296</xdr:colOff>
      <xdr:row>71</xdr:row>
      <xdr:rowOff>3359</xdr:rowOff>
    </xdr:to>
    <xdr:sp macro="" textlink="">
      <xdr:nvSpPr>
        <xdr:cNvPr id="97" name="テキスト ボックス 96"/>
        <xdr:cNvSpPr txBox="1"/>
      </xdr:nvSpPr>
      <xdr:spPr>
        <a:xfrm>
          <a:off x="7838575" y="18804029"/>
          <a:ext cx="3987596" cy="2207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050" b="0">
              <a:solidFill>
                <a:srgbClr val="FF66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b="0">
              <a:solidFill>
                <a:srgbClr val="FF6600"/>
              </a:solidFill>
              <a:latin typeface="Meiryo UI" panose="020B0604030504040204" pitchFamily="50" charset="-128"/>
              <a:ea typeface="Meiryo UI" panose="020B0604030504040204" pitchFamily="50" charset="-128"/>
              <a:cs typeface="Meiryo UI" panose="020B0604030504040204" pitchFamily="50" charset="-128"/>
            </a:rPr>
            <a:t>都道府県、建物名、棟名、部屋番号も省略せずにご入力ください。</a:t>
          </a:r>
          <a:endParaRPr kumimoji="1" lang="en-US" altLang="ja-JP" sz="1050" b="0">
            <a:solidFill>
              <a:srgbClr val="FF66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oneCellAnchor>
    <xdr:from>
      <xdr:col>8</xdr:col>
      <xdr:colOff>0</xdr:colOff>
      <xdr:row>70</xdr:row>
      <xdr:rowOff>212911</xdr:rowOff>
    </xdr:from>
    <xdr:ext cx="483072" cy="169405"/>
    <xdr:sp macro="" textlink="">
      <xdr:nvSpPr>
        <xdr:cNvPr id="98" name="テキスト ボックス 97"/>
        <xdr:cNvSpPr txBox="1"/>
      </xdr:nvSpPr>
      <xdr:spPr>
        <a:xfrm>
          <a:off x="2057400" y="19005736"/>
          <a:ext cx="483072"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都道府県</a:t>
          </a:r>
        </a:p>
      </xdr:txBody>
    </xdr:sp>
    <xdr:clientData/>
  </xdr:oneCellAnchor>
  <xdr:oneCellAnchor>
    <xdr:from>
      <xdr:col>13</xdr:col>
      <xdr:colOff>0</xdr:colOff>
      <xdr:row>70</xdr:row>
      <xdr:rowOff>223491</xdr:rowOff>
    </xdr:from>
    <xdr:ext cx="483072" cy="169405"/>
    <xdr:sp macro="" textlink="">
      <xdr:nvSpPr>
        <xdr:cNvPr id="101" name="テキスト ボックス 100"/>
        <xdr:cNvSpPr txBox="1"/>
      </xdr:nvSpPr>
      <xdr:spPr>
        <a:xfrm>
          <a:off x="3343275" y="19016316"/>
          <a:ext cx="483072"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市区町村</a:t>
          </a:r>
        </a:p>
      </xdr:txBody>
    </xdr:sp>
    <xdr:clientData/>
  </xdr:oneCellAnchor>
  <xdr:oneCellAnchor>
    <xdr:from>
      <xdr:col>21</xdr:col>
      <xdr:colOff>0</xdr:colOff>
      <xdr:row>70</xdr:row>
      <xdr:rowOff>223491</xdr:rowOff>
    </xdr:from>
    <xdr:ext cx="277888" cy="169405"/>
    <xdr:sp macro="" textlink="">
      <xdr:nvSpPr>
        <xdr:cNvPr id="102" name="テキスト ボックス 101"/>
        <xdr:cNvSpPr txBox="1"/>
      </xdr:nvSpPr>
      <xdr:spPr>
        <a:xfrm>
          <a:off x="5400675" y="19016316"/>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町名</a:t>
          </a:r>
        </a:p>
      </xdr:txBody>
    </xdr:sp>
    <xdr:clientData/>
  </xdr:oneCellAnchor>
  <xdr:oneCellAnchor>
    <xdr:from>
      <xdr:col>29</xdr:col>
      <xdr:colOff>0</xdr:colOff>
      <xdr:row>70</xdr:row>
      <xdr:rowOff>223491</xdr:rowOff>
    </xdr:from>
    <xdr:ext cx="585664" cy="169405"/>
    <xdr:sp macro="" textlink="">
      <xdr:nvSpPr>
        <xdr:cNvPr id="103" name="テキスト ボックス 102"/>
        <xdr:cNvSpPr txBox="1"/>
      </xdr:nvSpPr>
      <xdr:spPr>
        <a:xfrm>
          <a:off x="7458075" y="19016316"/>
          <a:ext cx="585664"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番・番地・号</a:t>
          </a:r>
        </a:p>
      </xdr:txBody>
    </xdr:sp>
    <xdr:clientData/>
  </xdr:oneCellAnchor>
  <xdr:oneCellAnchor>
    <xdr:from>
      <xdr:col>37</xdr:col>
      <xdr:colOff>0</xdr:colOff>
      <xdr:row>70</xdr:row>
      <xdr:rowOff>223491</xdr:rowOff>
    </xdr:from>
    <xdr:ext cx="842145" cy="169405"/>
    <xdr:sp macro="" textlink="">
      <xdr:nvSpPr>
        <xdr:cNvPr id="104" name="テキスト ボックス 103"/>
        <xdr:cNvSpPr txBox="1"/>
      </xdr:nvSpPr>
      <xdr:spPr>
        <a:xfrm>
          <a:off x="9515475" y="19016316"/>
          <a:ext cx="842145"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建物名・部屋番号</a:t>
          </a:r>
          <a:endParaRPr kumimoji="1" lang="en-US" altLang="ja-JP" sz="800">
            <a:solidFill>
              <a:sysClr val="windowText" lastClr="000000"/>
            </a:solidFill>
            <a:latin typeface="Meiryo UI" panose="020B0604030504040204" pitchFamily="50" charset="-128"/>
            <a:ea typeface="Meiryo UI" panose="020B0604030504040204" pitchFamily="50" charset="-128"/>
          </a:endParaRPr>
        </a:p>
      </xdr:txBody>
    </xdr:sp>
    <xdr:clientData/>
  </xdr:oneCellAnchor>
  <mc:AlternateContent xmlns:mc="http://schemas.openxmlformats.org/markup-compatibility/2006">
    <mc:Choice xmlns:a14="http://schemas.microsoft.com/office/drawing/2010/main" Requires="a14">
      <xdr:twoCellAnchor editAs="oneCell">
        <xdr:from>
          <xdr:col>9</xdr:col>
          <xdr:colOff>38100</xdr:colOff>
          <xdr:row>17</xdr:row>
          <xdr:rowOff>19050</xdr:rowOff>
        </xdr:from>
        <xdr:to>
          <xdr:col>24</xdr:col>
          <xdr:colOff>76200</xdr:colOff>
          <xdr:row>18</xdr:row>
          <xdr:rowOff>203200</xdr:rowOff>
        </xdr:to>
        <xdr:sp macro="" textlink="">
          <xdr:nvSpPr>
            <xdr:cNvPr id="76863" name="Group Box 63" hidden="1">
              <a:extLst>
                <a:ext uri="{63B3BB69-23CF-44E3-9099-C40C66FF867C}">
                  <a14:compatExt spid="_x0000_s76863"/>
                </a:ext>
              </a:extLst>
            </xdr:cNvPr>
            <xdr:cNvSpPr/>
          </xdr:nvSpPr>
          <xdr:spPr>
            <a:xfrm>
              <a:off x="0" y="0"/>
              <a:ext cx="0" cy="0"/>
            </a:xfrm>
            <a:prstGeom prst="rect">
              <a:avLst/>
            </a:prstGeom>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162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133350</xdr:colOff>
          <xdr:row>17</xdr:row>
          <xdr:rowOff>127000</xdr:rowOff>
        </xdr:from>
        <xdr:to>
          <xdr:col>12</xdr:col>
          <xdr:colOff>190500</xdr:colOff>
          <xdr:row>18</xdr:row>
          <xdr:rowOff>95250</xdr:rowOff>
        </xdr:to>
        <xdr:sp macro="" textlink="">
          <xdr:nvSpPr>
            <xdr:cNvPr id="76864" name="Option Button 64" hidden="1">
              <a:extLst>
                <a:ext uri="{63B3BB69-23CF-44E3-9099-C40C66FF867C}">
                  <a14:compatExt spid="_x0000_s768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127000</xdr:colOff>
          <xdr:row>17</xdr:row>
          <xdr:rowOff>127000</xdr:rowOff>
        </xdr:from>
        <xdr:to>
          <xdr:col>19</xdr:col>
          <xdr:colOff>171450</xdr:colOff>
          <xdr:row>18</xdr:row>
          <xdr:rowOff>107950</xdr:rowOff>
        </xdr:to>
        <xdr:sp macro="" textlink="">
          <xdr:nvSpPr>
            <xdr:cNvPr id="76865" name="Option Button 65" hidden="1">
              <a:extLst>
                <a:ext uri="{63B3BB69-23CF-44E3-9099-C40C66FF867C}">
                  <a14:compatExt spid="_x0000_s76865"/>
                </a:ext>
              </a:extLst>
            </xdr:cNvPr>
            <xdr:cNvSpPr/>
          </xdr:nvSpPr>
          <xdr:spPr>
            <a:xfrm>
              <a:off x="0" y="0"/>
              <a:ext cx="0" cy="0"/>
            </a:xfrm>
            <a:prstGeom prst="rect">
              <a:avLst/>
            </a:prstGeom>
          </xdr:spPr>
        </xdr:sp>
        <xdr:clientData/>
      </xdr:twoCellAnchor>
    </mc:Choice>
    <mc:Fallback/>
  </mc:AlternateContent>
  <xdr:twoCellAnchor>
    <xdr:from>
      <xdr:col>16</xdr:col>
      <xdr:colOff>235327</xdr:colOff>
      <xdr:row>40</xdr:row>
      <xdr:rowOff>33642</xdr:rowOff>
    </xdr:from>
    <xdr:to>
      <xdr:col>30</xdr:col>
      <xdr:colOff>78446</xdr:colOff>
      <xdr:row>41</xdr:row>
      <xdr:rowOff>168112</xdr:rowOff>
    </xdr:to>
    <xdr:sp macro="" textlink="">
      <xdr:nvSpPr>
        <xdr:cNvPr id="112" name="角丸四角形吹き出し 111"/>
        <xdr:cNvSpPr/>
      </xdr:nvSpPr>
      <xdr:spPr>
        <a:xfrm>
          <a:off x="4359092" y="11833436"/>
          <a:ext cx="3451413" cy="358588"/>
        </a:xfrm>
        <a:prstGeom prst="wedgeRoundRectCallout">
          <a:avLst>
            <a:gd name="adj1" fmla="val -61064"/>
            <a:gd name="adj2" fmla="val 10972"/>
            <a:gd name="adj3" fmla="val 16667"/>
          </a:avLst>
        </a:prstGeom>
        <a:solidFill>
          <a:srgbClr val="FFCCFF"/>
        </a:solid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自社</a:t>
          </a:r>
          <a:r>
            <a:rPr kumimoji="1" lang="en-US" altLang="ja-JP" sz="1000" b="1">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Web</a:t>
          </a:r>
          <a:r>
            <a:rPr kumimoji="1" lang="ja-JP" altLang="ja-JP" sz="1000" b="1">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サイトの</a:t>
          </a:r>
          <a:r>
            <a:rPr kumimoji="1" lang="en-US" altLang="ja-JP" sz="1000" b="1">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URL</a:t>
          </a:r>
          <a:r>
            <a:rPr kumimoji="1" lang="ja-JP" altLang="ja-JP" sz="1000" b="1">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がある場合はご</a:t>
          </a:r>
          <a:r>
            <a:rPr kumimoji="1" lang="ja-JP" altLang="en-US" sz="1000" b="1">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入力くだ</a:t>
          </a:r>
          <a:r>
            <a:rPr kumimoji="1" lang="ja-JP" altLang="ja-JP" sz="1000" b="1">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さい。</a:t>
          </a:r>
          <a:endParaRPr lang="ja-JP" altLang="ja-JP" sz="100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34</xdr:col>
      <xdr:colOff>22414</xdr:colOff>
      <xdr:row>2</xdr:row>
      <xdr:rowOff>44823</xdr:rowOff>
    </xdr:from>
    <xdr:to>
      <xdr:col>45</xdr:col>
      <xdr:colOff>206752</xdr:colOff>
      <xdr:row>3</xdr:row>
      <xdr:rowOff>206188</xdr:rowOff>
    </xdr:to>
    <xdr:sp macro="" textlink="">
      <xdr:nvSpPr>
        <xdr:cNvPr id="113" name="角丸四角形吹き出し 112"/>
        <xdr:cNvSpPr/>
      </xdr:nvSpPr>
      <xdr:spPr>
        <a:xfrm>
          <a:off x="8785414" y="493058"/>
          <a:ext cx="3019426" cy="385483"/>
        </a:xfrm>
        <a:prstGeom prst="wedgeRoundRectCallout">
          <a:avLst>
            <a:gd name="adj1" fmla="val 24389"/>
            <a:gd name="adj2" fmla="val -11640"/>
            <a:gd name="adj3" fmla="val 16667"/>
          </a:avLst>
        </a:prstGeom>
        <a:solidFill>
          <a:srgbClr val="FFCCFF"/>
        </a:solid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赤網掛け部分がなくなるまで漏れなくご入力ください。</a:t>
          </a:r>
        </a:p>
      </xdr:txBody>
    </xdr:sp>
    <xdr:clientData/>
  </xdr:twoCellAnchor>
  <xdr:oneCellAnchor>
    <xdr:from>
      <xdr:col>20</xdr:col>
      <xdr:colOff>22412</xdr:colOff>
      <xdr:row>18</xdr:row>
      <xdr:rowOff>78450</xdr:rowOff>
    </xdr:from>
    <xdr:ext cx="4549835" cy="336404"/>
    <xdr:sp macro="" textlink="">
      <xdr:nvSpPr>
        <xdr:cNvPr id="114" name="角丸四角形吹き出し 113"/>
        <xdr:cNvSpPr/>
      </xdr:nvSpPr>
      <xdr:spPr>
        <a:xfrm>
          <a:off x="5177118" y="6947656"/>
          <a:ext cx="4549835" cy="336404"/>
        </a:xfrm>
        <a:prstGeom prst="wedgeRoundRectCallout">
          <a:avLst>
            <a:gd name="adj1" fmla="val -7213"/>
            <a:gd name="adj2" fmla="val -75827"/>
            <a:gd name="adj3" fmla="val 16667"/>
          </a:avLst>
        </a:prstGeom>
        <a:solidFill>
          <a:srgbClr val="FFCCFF"/>
        </a:solid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spAutoFit/>
        </a:bodyPr>
        <a:lstStyle/>
        <a:p>
          <a:pPr algn="l"/>
          <a:r>
            <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法人登記されている方は「法人」、されていない方は「個人事業主」をご選択ください。</a:t>
          </a:r>
        </a:p>
      </xdr:txBody>
    </xdr:sp>
    <xdr:clientData/>
  </xdr:oneCellAnchor>
  <xdr:twoCellAnchor>
    <xdr:from>
      <xdr:col>25</xdr:col>
      <xdr:colOff>112060</xdr:colOff>
      <xdr:row>15</xdr:row>
      <xdr:rowOff>235329</xdr:rowOff>
    </xdr:from>
    <xdr:to>
      <xdr:col>40</xdr:col>
      <xdr:colOff>67229</xdr:colOff>
      <xdr:row>17</xdr:row>
      <xdr:rowOff>89653</xdr:rowOff>
    </xdr:to>
    <xdr:sp macro="" textlink="">
      <xdr:nvSpPr>
        <xdr:cNvPr id="115" name="角丸四角形吹き出し 114"/>
        <xdr:cNvSpPr/>
      </xdr:nvSpPr>
      <xdr:spPr>
        <a:xfrm>
          <a:off x="6555442" y="6275300"/>
          <a:ext cx="3821199" cy="459441"/>
        </a:xfrm>
        <a:prstGeom prst="wedgeRoundRectCallout">
          <a:avLst>
            <a:gd name="adj1" fmla="val -62755"/>
            <a:gd name="adj2" fmla="val -6669"/>
            <a:gd name="adj3" fmla="val 16667"/>
          </a:avLst>
        </a:prstGeom>
        <a:solidFill>
          <a:srgbClr val="FFCCFF"/>
        </a:solid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同意事項および規約をご確認のうえチェックをお願いいたします。</a:t>
          </a:r>
          <a:endPar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5</xdr:col>
      <xdr:colOff>33620</xdr:colOff>
      <xdr:row>43</xdr:row>
      <xdr:rowOff>89671</xdr:rowOff>
    </xdr:from>
    <xdr:to>
      <xdr:col>19</xdr:col>
      <xdr:colOff>208990</xdr:colOff>
      <xdr:row>44</xdr:row>
      <xdr:rowOff>206212</xdr:rowOff>
    </xdr:to>
    <xdr:sp macro="" textlink="">
      <xdr:nvSpPr>
        <xdr:cNvPr id="116" name="角丸四角形吹き出し 115"/>
        <xdr:cNvSpPr/>
      </xdr:nvSpPr>
      <xdr:spPr>
        <a:xfrm>
          <a:off x="1322296" y="12561818"/>
          <a:ext cx="3783665" cy="340659"/>
        </a:xfrm>
        <a:prstGeom prst="wedgeRoundRectCallout">
          <a:avLst>
            <a:gd name="adj1" fmla="val -16790"/>
            <a:gd name="adj2" fmla="val -83653"/>
            <a:gd name="adj3" fmla="val 16667"/>
          </a:avLst>
        </a:prstGeom>
        <a:solidFill>
          <a:srgbClr val="FFCCFF"/>
        </a:solid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申込店舗数ではなく、事業を行っている店舗数をご入力ください。</a:t>
          </a:r>
          <a:endPar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29</xdr:col>
      <xdr:colOff>251567</xdr:colOff>
      <xdr:row>55</xdr:row>
      <xdr:rowOff>138977</xdr:rowOff>
    </xdr:from>
    <xdr:to>
      <xdr:col>38</xdr:col>
      <xdr:colOff>67229</xdr:colOff>
      <xdr:row>57</xdr:row>
      <xdr:rowOff>31401</xdr:rowOff>
    </xdr:to>
    <xdr:sp macro="" textlink="">
      <xdr:nvSpPr>
        <xdr:cNvPr id="117" name="角丸四角形吹き出し 116"/>
        <xdr:cNvSpPr/>
      </xdr:nvSpPr>
      <xdr:spPr>
        <a:xfrm>
          <a:off x="7725891" y="15300536"/>
          <a:ext cx="2135279" cy="340659"/>
        </a:xfrm>
        <a:prstGeom prst="wedgeRoundRectCallout">
          <a:avLst>
            <a:gd name="adj1" fmla="val -16790"/>
            <a:gd name="adj2" fmla="val -83653"/>
            <a:gd name="adj3" fmla="val 16667"/>
          </a:avLst>
        </a:prstGeom>
        <a:solidFill>
          <a:srgbClr val="FFCCFF"/>
        </a:solidFill>
        <a:ln w="3810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FAX</a:t>
          </a:r>
          <a:r>
            <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がある場合はご入力ください。</a:t>
          </a:r>
          <a:endPar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18</xdr:col>
      <xdr:colOff>3925</xdr:colOff>
      <xdr:row>79</xdr:row>
      <xdr:rowOff>199515</xdr:rowOff>
    </xdr:from>
    <xdr:to>
      <xdr:col>29</xdr:col>
      <xdr:colOff>33618</xdr:colOff>
      <xdr:row>82</xdr:row>
      <xdr:rowOff>134472</xdr:rowOff>
    </xdr:to>
    <xdr:sp macro="" textlink="">
      <xdr:nvSpPr>
        <xdr:cNvPr id="119" name="角丸四角形吹き出し 118"/>
        <xdr:cNvSpPr/>
      </xdr:nvSpPr>
      <xdr:spPr>
        <a:xfrm>
          <a:off x="4643160" y="20739897"/>
          <a:ext cx="2864782" cy="607310"/>
        </a:xfrm>
        <a:prstGeom prst="wedgeRoundRectCallout">
          <a:avLst>
            <a:gd name="adj1" fmla="val -55540"/>
            <a:gd name="adj2" fmla="val 14145"/>
            <a:gd name="adj3" fmla="val 16667"/>
          </a:avLst>
        </a:prstGeom>
        <a:solidFill>
          <a:srgbClr val="FFCCFF"/>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端末決済サービスをご利用になる事業をできる限り詳細にご入力ください。</a:t>
          </a:r>
        </a:p>
      </xdr:txBody>
    </xdr:sp>
    <xdr:clientData/>
  </xdr:twoCellAnchor>
  <xdr:twoCellAnchor>
    <xdr:from>
      <xdr:col>16</xdr:col>
      <xdr:colOff>177614</xdr:colOff>
      <xdr:row>67</xdr:row>
      <xdr:rowOff>168131</xdr:rowOff>
    </xdr:from>
    <xdr:to>
      <xdr:col>29</xdr:col>
      <xdr:colOff>52107</xdr:colOff>
      <xdr:row>69</xdr:row>
      <xdr:rowOff>65038</xdr:rowOff>
    </xdr:to>
    <xdr:sp macro="" textlink="">
      <xdr:nvSpPr>
        <xdr:cNvPr id="120" name="角丸四角形吹き出し 119"/>
        <xdr:cNvSpPr/>
      </xdr:nvSpPr>
      <xdr:spPr>
        <a:xfrm>
          <a:off x="4301379" y="15598631"/>
          <a:ext cx="3225052" cy="345142"/>
        </a:xfrm>
        <a:prstGeom prst="wedgeRoundRectCallout">
          <a:avLst>
            <a:gd name="adj1" fmla="val -66005"/>
            <a:gd name="adj2" fmla="val -6987"/>
            <a:gd name="adj3" fmla="val 16667"/>
          </a:avLst>
        </a:prstGeom>
        <a:solidFill>
          <a:srgbClr val="FFCCFF"/>
        </a:solidFill>
        <a:ln w="3810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会社所在地と同じ場合はチェックを入れてください。</a:t>
          </a:r>
          <a:endPar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14</xdr:col>
      <xdr:colOff>56031</xdr:colOff>
      <xdr:row>86</xdr:row>
      <xdr:rowOff>69534</xdr:rowOff>
    </xdr:from>
    <xdr:to>
      <xdr:col>33</xdr:col>
      <xdr:colOff>116540</xdr:colOff>
      <xdr:row>87</xdr:row>
      <xdr:rowOff>141251</xdr:rowOff>
    </xdr:to>
    <xdr:sp macro="" textlink="">
      <xdr:nvSpPr>
        <xdr:cNvPr id="121" name="角丸四角形吹き出し 120"/>
        <xdr:cNvSpPr/>
      </xdr:nvSpPr>
      <xdr:spPr>
        <a:xfrm>
          <a:off x="3664325" y="22178740"/>
          <a:ext cx="4957480" cy="295835"/>
        </a:xfrm>
        <a:prstGeom prst="wedgeRoundRectCallout">
          <a:avLst>
            <a:gd name="adj1" fmla="val -57496"/>
            <a:gd name="adj2" fmla="val 14144"/>
            <a:gd name="adj3" fmla="val 16667"/>
          </a:avLst>
        </a:prstGeom>
        <a:solidFill>
          <a:srgbClr val="FFCCFF"/>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複数の販売形態で営業されている場合には、メインとなる販売形態を選択してください。</a:t>
          </a:r>
        </a:p>
      </xdr:txBody>
    </xdr:sp>
    <xdr:clientData/>
  </xdr:twoCellAnchor>
  <xdr:twoCellAnchor>
    <xdr:from>
      <xdr:col>9</xdr:col>
      <xdr:colOff>56013</xdr:colOff>
      <xdr:row>99</xdr:row>
      <xdr:rowOff>190566</xdr:rowOff>
    </xdr:from>
    <xdr:to>
      <xdr:col>36</xdr:col>
      <xdr:colOff>52091</xdr:colOff>
      <xdr:row>101</xdr:row>
      <xdr:rowOff>13508</xdr:rowOff>
    </xdr:to>
    <xdr:sp macro="" textlink="">
      <xdr:nvSpPr>
        <xdr:cNvPr id="122" name="線吹き出し 1 (枠付き) 121"/>
        <xdr:cNvSpPr/>
      </xdr:nvSpPr>
      <xdr:spPr>
        <a:xfrm>
          <a:off x="2375631" y="25213301"/>
          <a:ext cx="6954931" cy="271178"/>
        </a:xfrm>
        <a:prstGeom prst="borderCallout1">
          <a:avLst>
            <a:gd name="adj1" fmla="val 2221"/>
            <a:gd name="adj2" fmla="val 3912"/>
            <a:gd name="adj3" fmla="val -709829"/>
            <a:gd name="adj4" fmla="val 10648"/>
          </a:avLst>
        </a:prstGeom>
        <a:solidFill>
          <a:srgbClr val="FFCCFF"/>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上記にご記入頂いた</a:t>
          </a:r>
          <a:r>
            <a:rPr kumimoji="1" lang="ja-JP" altLang="ja-JP" sz="1000" b="1" baseline="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営業免許証等の</a:t>
          </a:r>
          <a:r>
            <a:rPr kumimoji="1" lang="en-US" altLang="ja-JP" sz="1000" b="1" baseline="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PDF</a:t>
          </a:r>
          <a:r>
            <a:rPr kumimoji="1" lang="ja-JP" altLang="en-US" sz="1000" b="1" baseline="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ja-JP" sz="1000" b="1" baseline="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もしくは画像ファイル（</a:t>
          </a:r>
          <a:r>
            <a:rPr kumimoji="1" lang="en-US" altLang="ja-JP" sz="1000" b="1" baseline="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jpg</a:t>
          </a:r>
          <a:r>
            <a:rPr kumimoji="1" lang="ja-JP" altLang="ja-JP" sz="1000" b="1" baseline="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000" b="1" baseline="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gif</a:t>
          </a:r>
          <a:r>
            <a:rPr kumimoji="1" lang="ja-JP" altLang="ja-JP" sz="1000" b="1" baseline="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000" b="1" baseline="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png</a:t>
          </a:r>
          <a:r>
            <a:rPr kumimoji="1" lang="ja-JP" altLang="ja-JP" sz="1000" b="1" baseline="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形式</a:t>
          </a:r>
          <a:r>
            <a:rPr kumimoji="1" lang="en-US" altLang="ja-JP" sz="1000" b="1" baseline="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baseline="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も併せてご提出をお願いいたします。</a:t>
          </a:r>
          <a:endPar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22</xdr:col>
      <xdr:colOff>22415</xdr:colOff>
      <xdr:row>116</xdr:row>
      <xdr:rowOff>123341</xdr:rowOff>
    </xdr:from>
    <xdr:to>
      <xdr:col>30</xdr:col>
      <xdr:colOff>22414</xdr:colOff>
      <xdr:row>119</xdr:row>
      <xdr:rowOff>112057</xdr:rowOff>
    </xdr:to>
    <xdr:sp macro="" textlink="">
      <xdr:nvSpPr>
        <xdr:cNvPr id="123" name="角丸四角形 122"/>
        <xdr:cNvSpPr/>
      </xdr:nvSpPr>
      <xdr:spPr>
        <a:xfrm>
          <a:off x="5692591" y="26087370"/>
          <a:ext cx="2061882" cy="661069"/>
        </a:xfrm>
        <a:prstGeom prst="roundRect">
          <a:avLst/>
        </a:prstGeom>
        <a:solidFill>
          <a:srgbClr val="FFCCFF"/>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店長様等、なるべく店舗の</a:t>
          </a:r>
          <a:endPar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運営責任者様をご指定ください。</a:t>
          </a:r>
        </a:p>
      </xdr:txBody>
    </xdr:sp>
    <xdr:clientData/>
  </xdr:twoCellAnchor>
  <xdr:twoCellAnchor>
    <xdr:from>
      <xdr:col>22</xdr:col>
      <xdr:colOff>33622</xdr:colOff>
      <xdr:row>123</xdr:row>
      <xdr:rowOff>179295</xdr:rowOff>
    </xdr:from>
    <xdr:to>
      <xdr:col>31</xdr:col>
      <xdr:colOff>4486</xdr:colOff>
      <xdr:row>126</xdr:row>
      <xdr:rowOff>112054</xdr:rowOff>
    </xdr:to>
    <xdr:sp macro="" textlink="">
      <xdr:nvSpPr>
        <xdr:cNvPr id="124" name="角丸四角形 123"/>
        <xdr:cNvSpPr/>
      </xdr:nvSpPr>
      <xdr:spPr>
        <a:xfrm>
          <a:off x="5703798" y="27039795"/>
          <a:ext cx="2290482" cy="605112"/>
        </a:xfrm>
        <a:prstGeom prst="roundRect">
          <a:avLst/>
        </a:prstGeom>
        <a:solidFill>
          <a:srgbClr val="FFCCFF"/>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収納明細書やごの宛先となりますのでご担当者様等をご指定ください。</a:t>
          </a:r>
        </a:p>
      </xdr:txBody>
    </xdr:sp>
    <xdr:clientData/>
  </xdr:twoCellAnchor>
  <xdr:twoCellAnchor>
    <xdr:from>
      <xdr:col>30</xdr:col>
      <xdr:colOff>100848</xdr:colOff>
      <xdr:row>21</xdr:row>
      <xdr:rowOff>141196</xdr:rowOff>
    </xdr:from>
    <xdr:to>
      <xdr:col>46</xdr:col>
      <xdr:colOff>190500</xdr:colOff>
      <xdr:row>24</xdr:row>
      <xdr:rowOff>134477</xdr:rowOff>
    </xdr:to>
    <xdr:sp macro="" textlink="">
      <xdr:nvSpPr>
        <xdr:cNvPr id="125" name="角丸四角形吹き出し 124"/>
        <xdr:cNvSpPr/>
      </xdr:nvSpPr>
      <xdr:spPr>
        <a:xfrm>
          <a:off x="7832907" y="7682755"/>
          <a:ext cx="4213417" cy="665634"/>
        </a:xfrm>
        <a:prstGeom prst="wedgeRoundRectCallout">
          <a:avLst>
            <a:gd name="adj1" fmla="val -1642"/>
            <a:gd name="adj2" fmla="val -68698"/>
            <a:gd name="adj3" fmla="val 16667"/>
          </a:avLst>
        </a:prstGeom>
        <a:solidFill>
          <a:srgbClr val="FFCCFF"/>
        </a:solid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直近５年間に特定商取引法による行政処分、または消費者契約法違反を理由とする敗訴判決がある場合はお申込みいただけません。</a:t>
          </a:r>
          <a:endPar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33</xdr:col>
      <xdr:colOff>168082</xdr:colOff>
      <xdr:row>38</xdr:row>
      <xdr:rowOff>168103</xdr:rowOff>
    </xdr:from>
    <xdr:to>
      <xdr:col>43</xdr:col>
      <xdr:colOff>157998</xdr:colOff>
      <xdr:row>41</xdr:row>
      <xdr:rowOff>143452</xdr:rowOff>
    </xdr:to>
    <xdr:sp macro="" textlink="">
      <xdr:nvSpPr>
        <xdr:cNvPr id="126" name="角丸四角形吹き出し 125"/>
        <xdr:cNvSpPr/>
      </xdr:nvSpPr>
      <xdr:spPr>
        <a:xfrm>
          <a:off x="8673347" y="11519662"/>
          <a:ext cx="2567269" cy="647702"/>
        </a:xfrm>
        <a:prstGeom prst="wedgeRoundRectCallout">
          <a:avLst>
            <a:gd name="adj1" fmla="val -19951"/>
            <a:gd name="adj2" fmla="val 63631"/>
            <a:gd name="adj3" fmla="val 16667"/>
          </a:avLst>
        </a:prstGeom>
        <a:solidFill>
          <a:srgbClr val="FFCCFF"/>
        </a:solid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申込区分が「法人」の場合は、</a:t>
          </a:r>
          <a:r>
            <a:rPr lang="en-US" altLang="ja-JP"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13</a:t>
          </a:r>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桁の法人番号の入力をお願いいたします。</a:t>
          </a:r>
          <a:endPar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oneCellAnchor>
    <xdr:from>
      <xdr:col>38</xdr:col>
      <xdr:colOff>118779</xdr:colOff>
      <xdr:row>96</xdr:row>
      <xdr:rowOff>214456</xdr:rowOff>
    </xdr:from>
    <xdr:ext cx="2109232" cy="304058"/>
    <xdr:sp macro="" textlink="">
      <xdr:nvSpPr>
        <xdr:cNvPr id="127" name="線吹き出し 1 (枠付き) 126"/>
        <xdr:cNvSpPr/>
      </xdr:nvSpPr>
      <xdr:spPr>
        <a:xfrm>
          <a:off x="9912720" y="24564838"/>
          <a:ext cx="2109232" cy="304058"/>
        </a:xfrm>
        <a:prstGeom prst="borderCallout1">
          <a:avLst>
            <a:gd name="adj1" fmla="val 2221"/>
            <a:gd name="adj2" fmla="val 94229"/>
            <a:gd name="adj3" fmla="val -230570"/>
            <a:gd name="adj4" fmla="val 87755"/>
          </a:avLst>
        </a:prstGeom>
        <a:solidFill>
          <a:srgbClr val="FFCCFF"/>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wrap="none" rtlCol="0" anchor="ctr">
          <a:spAutoFit/>
        </a:bodyPr>
        <a:lstStyle/>
        <a:p>
          <a:pPr algn="l"/>
          <a:r>
            <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販売形態の有無を選択してください。</a:t>
          </a:r>
        </a:p>
      </xdr:txBody>
    </xdr:sp>
    <xdr:clientData/>
  </xdr:oneCellAnchor>
  <xdr:twoCellAnchor>
    <xdr:from>
      <xdr:col>44</xdr:col>
      <xdr:colOff>224125</xdr:colOff>
      <xdr:row>92</xdr:row>
      <xdr:rowOff>44824</xdr:rowOff>
    </xdr:from>
    <xdr:to>
      <xdr:col>45</xdr:col>
      <xdr:colOff>156890</xdr:colOff>
      <xdr:row>95</xdr:row>
      <xdr:rowOff>164984</xdr:rowOff>
    </xdr:to>
    <xdr:sp macro="" textlink="">
      <xdr:nvSpPr>
        <xdr:cNvPr id="132" name="右中かっこ 131"/>
        <xdr:cNvSpPr/>
      </xdr:nvSpPr>
      <xdr:spPr>
        <a:xfrm>
          <a:off x="11564478" y="23498736"/>
          <a:ext cx="190500" cy="792513"/>
        </a:xfrm>
        <a:prstGeom prst="rightBrace">
          <a:avLst/>
        </a:prstGeom>
        <a:no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ctr">
          <a:spAutoFit/>
        </a:bodyPr>
        <a:lstStyle/>
        <a:p>
          <a:pPr marL="0" indent="0" algn="l"/>
          <a:endPar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oneCellAnchor>
    <xdr:from>
      <xdr:col>7</xdr:col>
      <xdr:colOff>256442</xdr:colOff>
      <xdr:row>32</xdr:row>
      <xdr:rowOff>205154</xdr:rowOff>
    </xdr:from>
    <xdr:ext cx="277888" cy="169405"/>
    <xdr:sp macro="" textlink="">
      <xdr:nvSpPr>
        <xdr:cNvPr id="130" name="テキスト ボックス 129"/>
        <xdr:cNvSpPr txBox="1"/>
      </xdr:nvSpPr>
      <xdr:spPr>
        <a:xfrm>
          <a:off x="2056667" y="7853729"/>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都道</a:t>
          </a:r>
        </a:p>
      </xdr:txBody>
    </xdr:sp>
    <xdr:clientData/>
  </xdr:oneCellAnchor>
  <xdr:oneCellAnchor>
    <xdr:from>
      <xdr:col>7</xdr:col>
      <xdr:colOff>256442</xdr:colOff>
      <xdr:row>33</xdr:row>
      <xdr:rowOff>80597</xdr:rowOff>
    </xdr:from>
    <xdr:ext cx="277888" cy="169405"/>
    <xdr:sp macro="" textlink="">
      <xdr:nvSpPr>
        <xdr:cNvPr id="131" name="テキスト ボックス 130"/>
        <xdr:cNvSpPr txBox="1"/>
      </xdr:nvSpPr>
      <xdr:spPr>
        <a:xfrm>
          <a:off x="2056667" y="7957772"/>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府県</a:t>
          </a:r>
        </a:p>
      </xdr:txBody>
    </xdr:sp>
    <xdr:clientData/>
  </xdr:oneCellAnchor>
  <xdr:oneCellAnchor>
    <xdr:from>
      <xdr:col>13</xdr:col>
      <xdr:colOff>0</xdr:colOff>
      <xdr:row>32</xdr:row>
      <xdr:rowOff>205154</xdr:rowOff>
    </xdr:from>
    <xdr:ext cx="277888" cy="169405"/>
    <xdr:sp macro="" textlink="">
      <xdr:nvSpPr>
        <xdr:cNvPr id="133" name="テキスト ボックス 132"/>
        <xdr:cNvSpPr txBox="1"/>
      </xdr:nvSpPr>
      <xdr:spPr>
        <a:xfrm>
          <a:off x="3343275" y="7853729"/>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市区</a:t>
          </a:r>
        </a:p>
      </xdr:txBody>
    </xdr:sp>
    <xdr:clientData/>
  </xdr:oneCellAnchor>
  <xdr:oneCellAnchor>
    <xdr:from>
      <xdr:col>13</xdr:col>
      <xdr:colOff>0</xdr:colOff>
      <xdr:row>33</xdr:row>
      <xdr:rowOff>80597</xdr:rowOff>
    </xdr:from>
    <xdr:ext cx="277888" cy="169405"/>
    <xdr:sp macro="" textlink="">
      <xdr:nvSpPr>
        <xdr:cNvPr id="134" name="テキスト ボックス 133"/>
        <xdr:cNvSpPr txBox="1"/>
      </xdr:nvSpPr>
      <xdr:spPr>
        <a:xfrm>
          <a:off x="3343275" y="7957772"/>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町村</a:t>
          </a:r>
        </a:p>
      </xdr:txBody>
    </xdr:sp>
    <xdr:clientData/>
  </xdr:oneCellAnchor>
  <xdr:oneCellAnchor>
    <xdr:from>
      <xdr:col>21</xdr:col>
      <xdr:colOff>0</xdr:colOff>
      <xdr:row>33</xdr:row>
      <xdr:rowOff>0</xdr:rowOff>
    </xdr:from>
    <xdr:ext cx="277888" cy="169405"/>
    <xdr:sp macro="" textlink="">
      <xdr:nvSpPr>
        <xdr:cNvPr id="136" name="テキスト ボックス 135"/>
        <xdr:cNvSpPr txBox="1"/>
      </xdr:nvSpPr>
      <xdr:spPr>
        <a:xfrm>
          <a:off x="5400675" y="7877175"/>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町名</a:t>
          </a:r>
        </a:p>
      </xdr:txBody>
    </xdr:sp>
    <xdr:clientData/>
  </xdr:oneCellAnchor>
  <xdr:oneCellAnchor>
    <xdr:from>
      <xdr:col>37</xdr:col>
      <xdr:colOff>0</xdr:colOff>
      <xdr:row>33</xdr:row>
      <xdr:rowOff>0</xdr:rowOff>
    </xdr:from>
    <xdr:ext cx="380480" cy="169405"/>
    <xdr:sp macro="" textlink="">
      <xdr:nvSpPr>
        <xdr:cNvPr id="137" name="テキスト ボックス 136"/>
        <xdr:cNvSpPr txBox="1"/>
      </xdr:nvSpPr>
      <xdr:spPr>
        <a:xfrm>
          <a:off x="9515475" y="7877175"/>
          <a:ext cx="380480"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建物名</a:t>
          </a:r>
        </a:p>
      </xdr:txBody>
    </xdr:sp>
    <xdr:clientData/>
  </xdr:oneCellAnchor>
  <xdr:oneCellAnchor>
    <xdr:from>
      <xdr:col>28</xdr:col>
      <xdr:colOff>240195</xdr:colOff>
      <xdr:row>32</xdr:row>
      <xdr:rowOff>207065</xdr:rowOff>
    </xdr:from>
    <xdr:ext cx="277888" cy="169405"/>
    <xdr:sp macro="" textlink="">
      <xdr:nvSpPr>
        <xdr:cNvPr id="138" name="テキスト ボックス 137"/>
        <xdr:cNvSpPr txBox="1"/>
      </xdr:nvSpPr>
      <xdr:spPr>
        <a:xfrm>
          <a:off x="7441095" y="7855640"/>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番地</a:t>
          </a:r>
        </a:p>
      </xdr:txBody>
    </xdr:sp>
    <xdr:clientData/>
  </xdr:oneCellAnchor>
  <xdr:oneCellAnchor>
    <xdr:from>
      <xdr:col>29</xdr:col>
      <xdr:colOff>28161</xdr:colOff>
      <xdr:row>33</xdr:row>
      <xdr:rowOff>77856</xdr:rowOff>
    </xdr:from>
    <xdr:ext cx="226591" cy="169405"/>
    <xdr:sp macro="" textlink="">
      <xdr:nvSpPr>
        <xdr:cNvPr id="139" name="テキスト ボックス 138"/>
        <xdr:cNvSpPr txBox="1"/>
      </xdr:nvSpPr>
      <xdr:spPr>
        <a:xfrm>
          <a:off x="7486236" y="7955031"/>
          <a:ext cx="226591"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・号</a:t>
          </a:r>
        </a:p>
      </xdr:txBody>
    </xdr:sp>
    <xdr:clientData/>
  </xdr:oneCellAnchor>
  <xdr:oneCellAnchor>
    <xdr:from>
      <xdr:col>7</xdr:col>
      <xdr:colOff>256442</xdr:colOff>
      <xdr:row>49</xdr:row>
      <xdr:rowOff>205154</xdr:rowOff>
    </xdr:from>
    <xdr:ext cx="277888" cy="169405"/>
    <xdr:sp macro="" textlink="">
      <xdr:nvSpPr>
        <xdr:cNvPr id="140" name="テキスト ボックス 139"/>
        <xdr:cNvSpPr txBox="1"/>
      </xdr:nvSpPr>
      <xdr:spPr>
        <a:xfrm>
          <a:off x="2060589" y="7791536"/>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都道</a:t>
          </a:r>
        </a:p>
      </xdr:txBody>
    </xdr:sp>
    <xdr:clientData/>
  </xdr:oneCellAnchor>
  <xdr:oneCellAnchor>
    <xdr:from>
      <xdr:col>7</xdr:col>
      <xdr:colOff>256442</xdr:colOff>
      <xdr:row>50</xdr:row>
      <xdr:rowOff>80597</xdr:rowOff>
    </xdr:from>
    <xdr:ext cx="277888" cy="169405"/>
    <xdr:sp macro="" textlink="">
      <xdr:nvSpPr>
        <xdr:cNvPr id="141" name="テキスト ボックス 140"/>
        <xdr:cNvSpPr txBox="1"/>
      </xdr:nvSpPr>
      <xdr:spPr>
        <a:xfrm>
          <a:off x="2060589" y="7891097"/>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府県</a:t>
          </a:r>
        </a:p>
      </xdr:txBody>
    </xdr:sp>
    <xdr:clientData/>
  </xdr:oneCellAnchor>
  <xdr:oneCellAnchor>
    <xdr:from>
      <xdr:col>13</xdr:col>
      <xdr:colOff>0</xdr:colOff>
      <xdr:row>49</xdr:row>
      <xdr:rowOff>205154</xdr:rowOff>
    </xdr:from>
    <xdr:ext cx="277888" cy="169405"/>
    <xdr:sp macro="" textlink="">
      <xdr:nvSpPr>
        <xdr:cNvPr id="142" name="テキスト ボックス 141"/>
        <xdr:cNvSpPr txBox="1"/>
      </xdr:nvSpPr>
      <xdr:spPr>
        <a:xfrm>
          <a:off x="3350559" y="7791536"/>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市区</a:t>
          </a:r>
        </a:p>
      </xdr:txBody>
    </xdr:sp>
    <xdr:clientData/>
  </xdr:oneCellAnchor>
  <xdr:oneCellAnchor>
    <xdr:from>
      <xdr:col>13</xdr:col>
      <xdr:colOff>0</xdr:colOff>
      <xdr:row>50</xdr:row>
      <xdr:rowOff>80597</xdr:rowOff>
    </xdr:from>
    <xdr:ext cx="277888" cy="169405"/>
    <xdr:sp macro="" textlink="">
      <xdr:nvSpPr>
        <xdr:cNvPr id="143" name="テキスト ボックス 142"/>
        <xdr:cNvSpPr txBox="1"/>
      </xdr:nvSpPr>
      <xdr:spPr>
        <a:xfrm>
          <a:off x="3350559" y="7891097"/>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町村</a:t>
          </a:r>
        </a:p>
      </xdr:txBody>
    </xdr:sp>
    <xdr:clientData/>
  </xdr:oneCellAnchor>
  <xdr:oneCellAnchor>
    <xdr:from>
      <xdr:col>21</xdr:col>
      <xdr:colOff>0</xdr:colOff>
      <xdr:row>50</xdr:row>
      <xdr:rowOff>0</xdr:rowOff>
    </xdr:from>
    <xdr:ext cx="277888" cy="169405"/>
    <xdr:sp macro="" textlink="">
      <xdr:nvSpPr>
        <xdr:cNvPr id="144" name="テキスト ボックス 143"/>
        <xdr:cNvSpPr txBox="1"/>
      </xdr:nvSpPr>
      <xdr:spPr>
        <a:xfrm>
          <a:off x="5412441" y="7810500"/>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町名</a:t>
          </a:r>
        </a:p>
      </xdr:txBody>
    </xdr:sp>
    <xdr:clientData/>
  </xdr:oneCellAnchor>
  <xdr:oneCellAnchor>
    <xdr:from>
      <xdr:col>37</xdr:col>
      <xdr:colOff>0</xdr:colOff>
      <xdr:row>50</xdr:row>
      <xdr:rowOff>0</xdr:rowOff>
    </xdr:from>
    <xdr:ext cx="380480" cy="169405"/>
    <xdr:sp macro="" textlink="">
      <xdr:nvSpPr>
        <xdr:cNvPr id="145" name="テキスト ボックス 144"/>
        <xdr:cNvSpPr txBox="1"/>
      </xdr:nvSpPr>
      <xdr:spPr>
        <a:xfrm>
          <a:off x="9536206" y="7810500"/>
          <a:ext cx="380480"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建物名</a:t>
          </a:r>
        </a:p>
      </xdr:txBody>
    </xdr:sp>
    <xdr:clientData/>
  </xdr:oneCellAnchor>
  <xdr:oneCellAnchor>
    <xdr:from>
      <xdr:col>28</xdr:col>
      <xdr:colOff>240195</xdr:colOff>
      <xdr:row>49</xdr:row>
      <xdr:rowOff>207065</xdr:rowOff>
    </xdr:from>
    <xdr:ext cx="277888" cy="169405"/>
    <xdr:sp macro="" textlink="">
      <xdr:nvSpPr>
        <xdr:cNvPr id="146" name="テキスト ボックス 145"/>
        <xdr:cNvSpPr txBox="1"/>
      </xdr:nvSpPr>
      <xdr:spPr>
        <a:xfrm>
          <a:off x="7456783" y="7793447"/>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番地</a:t>
          </a:r>
        </a:p>
      </xdr:txBody>
    </xdr:sp>
    <xdr:clientData/>
  </xdr:oneCellAnchor>
  <xdr:oneCellAnchor>
    <xdr:from>
      <xdr:col>29</xdr:col>
      <xdr:colOff>28161</xdr:colOff>
      <xdr:row>50</xdr:row>
      <xdr:rowOff>77856</xdr:rowOff>
    </xdr:from>
    <xdr:ext cx="226591" cy="169405"/>
    <xdr:sp macro="" textlink="">
      <xdr:nvSpPr>
        <xdr:cNvPr id="147" name="テキスト ボックス 146"/>
        <xdr:cNvSpPr txBox="1"/>
      </xdr:nvSpPr>
      <xdr:spPr>
        <a:xfrm>
          <a:off x="7502485" y="7888356"/>
          <a:ext cx="226591"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・号</a:t>
          </a:r>
        </a:p>
      </xdr:txBody>
    </xdr:sp>
    <xdr:clientData/>
  </xdr:oneCellAnchor>
  <xdr:twoCellAnchor>
    <xdr:from>
      <xdr:col>23</xdr:col>
      <xdr:colOff>134473</xdr:colOff>
      <xdr:row>49</xdr:row>
      <xdr:rowOff>134495</xdr:rowOff>
    </xdr:from>
    <xdr:to>
      <xdr:col>30</xdr:col>
      <xdr:colOff>56024</xdr:colOff>
      <xdr:row>52</xdr:row>
      <xdr:rowOff>56041</xdr:rowOff>
    </xdr:to>
    <xdr:sp macro="" textlink="">
      <xdr:nvSpPr>
        <xdr:cNvPr id="118" name="角丸四角形吹き出し 117"/>
        <xdr:cNvSpPr/>
      </xdr:nvSpPr>
      <xdr:spPr>
        <a:xfrm>
          <a:off x="6062385" y="11530877"/>
          <a:ext cx="1725698" cy="593899"/>
        </a:xfrm>
        <a:prstGeom prst="wedgeRoundRectCallout">
          <a:avLst>
            <a:gd name="adj1" fmla="val -21717"/>
            <a:gd name="adj2" fmla="val -62941"/>
            <a:gd name="adj3" fmla="val 16667"/>
          </a:avLst>
        </a:prstGeom>
        <a:solidFill>
          <a:srgbClr val="FFCCFF"/>
        </a:solid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個人事業主の場合は</a:t>
          </a:r>
          <a:endPar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「代表者」とご入力ください。</a:t>
          </a:r>
          <a:endPar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oneCellAnchor>
    <xdr:from>
      <xdr:col>7</xdr:col>
      <xdr:colOff>256442</xdr:colOff>
      <xdr:row>68</xdr:row>
      <xdr:rowOff>205154</xdr:rowOff>
    </xdr:from>
    <xdr:ext cx="277888" cy="169405"/>
    <xdr:sp macro="" textlink="">
      <xdr:nvSpPr>
        <xdr:cNvPr id="148" name="テキスト ボックス 147"/>
        <xdr:cNvSpPr txBox="1"/>
      </xdr:nvSpPr>
      <xdr:spPr>
        <a:xfrm>
          <a:off x="2060589" y="11601536"/>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都道</a:t>
          </a:r>
        </a:p>
      </xdr:txBody>
    </xdr:sp>
    <xdr:clientData/>
  </xdr:oneCellAnchor>
  <xdr:oneCellAnchor>
    <xdr:from>
      <xdr:col>7</xdr:col>
      <xdr:colOff>256442</xdr:colOff>
      <xdr:row>69</xdr:row>
      <xdr:rowOff>80597</xdr:rowOff>
    </xdr:from>
    <xdr:ext cx="277888" cy="169405"/>
    <xdr:sp macro="" textlink="">
      <xdr:nvSpPr>
        <xdr:cNvPr id="149" name="テキスト ボックス 148"/>
        <xdr:cNvSpPr txBox="1"/>
      </xdr:nvSpPr>
      <xdr:spPr>
        <a:xfrm>
          <a:off x="2060589" y="11701097"/>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府県</a:t>
          </a:r>
        </a:p>
      </xdr:txBody>
    </xdr:sp>
    <xdr:clientData/>
  </xdr:oneCellAnchor>
  <xdr:oneCellAnchor>
    <xdr:from>
      <xdr:col>13</xdr:col>
      <xdr:colOff>0</xdr:colOff>
      <xdr:row>68</xdr:row>
      <xdr:rowOff>205154</xdr:rowOff>
    </xdr:from>
    <xdr:ext cx="277888" cy="169405"/>
    <xdr:sp macro="" textlink="">
      <xdr:nvSpPr>
        <xdr:cNvPr id="150" name="テキスト ボックス 149"/>
        <xdr:cNvSpPr txBox="1"/>
      </xdr:nvSpPr>
      <xdr:spPr>
        <a:xfrm>
          <a:off x="3350559" y="11601536"/>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市区</a:t>
          </a:r>
        </a:p>
      </xdr:txBody>
    </xdr:sp>
    <xdr:clientData/>
  </xdr:oneCellAnchor>
  <xdr:oneCellAnchor>
    <xdr:from>
      <xdr:col>13</xdr:col>
      <xdr:colOff>0</xdr:colOff>
      <xdr:row>69</xdr:row>
      <xdr:rowOff>80597</xdr:rowOff>
    </xdr:from>
    <xdr:ext cx="277888" cy="169405"/>
    <xdr:sp macro="" textlink="">
      <xdr:nvSpPr>
        <xdr:cNvPr id="151" name="テキスト ボックス 150"/>
        <xdr:cNvSpPr txBox="1"/>
      </xdr:nvSpPr>
      <xdr:spPr>
        <a:xfrm>
          <a:off x="3350559" y="11701097"/>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町村</a:t>
          </a:r>
        </a:p>
      </xdr:txBody>
    </xdr:sp>
    <xdr:clientData/>
  </xdr:oneCellAnchor>
  <xdr:oneCellAnchor>
    <xdr:from>
      <xdr:col>21</xdr:col>
      <xdr:colOff>0</xdr:colOff>
      <xdr:row>69</xdr:row>
      <xdr:rowOff>0</xdr:rowOff>
    </xdr:from>
    <xdr:ext cx="277888" cy="169405"/>
    <xdr:sp macro="" textlink="">
      <xdr:nvSpPr>
        <xdr:cNvPr id="152" name="テキスト ボックス 151"/>
        <xdr:cNvSpPr txBox="1"/>
      </xdr:nvSpPr>
      <xdr:spPr>
        <a:xfrm>
          <a:off x="5412441" y="11620500"/>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町名</a:t>
          </a:r>
        </a:p>
      </xdr:txBody>
    </xdr:sp>
    <xdr:clientData/>
  </xdr:oneCellAnchor>
  <xdr:oneCellAnchor>
    <xdr:from>
      <xdr:col>37</xdr:col>
      <xdr:colOff>0</xdr:colOff>
      <xdr:row>69</xdr:row>
      <xdr:rowOff>0</xdr:rowOff>
    </xdr:from>
    <xdr:ext cx="380480" cy="169405"/>
    <xdr:sp macro="" textlink="">
      <xdr:nvSpPr>
        <xdr:cNvPr id="153" name="テキスト ボックス 152"/>
        <xdr:cNvSpPr txBox="1"/>
      </xdr:nvSpPr>
      <xdr:spPr>
        <a:xfrm>
          <a:off x="9536206" y="11620500"/>
          <a:ext cx="380480"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建物名</a:t>
          </a:r>
        </a:p>
      </xdr:txBody>
    </xdr:sp>
    <xdr:clientData/>
  </xdr:oneCellAnchor>
  <xdr:oneCellAnchor>
    <xdr:from>
      <xdr:col>28</xdr:col>
      <xdr:colOff>240195</xdr:colOff>
      <xdr:row>68</xdr:row>
      <xdr:rowOff>207065</xdr:rowOff>
    </xdr:from>
    <xdr:ext cx="277888" cy="169405"/>
    <xdr:sp macro="" textlink="">
      <xdr:nvSpPr>
        <xdr:cNvPr id="154" name="テキスト ボックス 153"/>
        <xdr:cNvSpPr txBox="1"/>
      </xdr:nvSpPr>
      <xdr:spPr>
        <a:xfrm>
          <a:off x="7456783" y="11603447"/>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番地</a:t>
          </a:r>
        </a:p>
      </xdr:txBody>
    </xdr:sp>
    <xdr:clientData/>
  </xdr:oneCellAnchor>
  <xdr:oneCellAnchor>
    <xdr:from>
      <xdr:col>29</xdr:col>
      <xdr:colOff>28161</xdr:colOff>
      <xdr:row>69</xdr:row>
      <xdr:rowOff>77856</xdr:rowOff>
    </xdr:from>
    <xdr:ext cx="226591" cy="169405"/>
    <xdr:sp macro="" textlink="">
      <xdr:nvSpPr>
        <xdr:cNvPr id="155" name="テキスト ボックス 154"/>
        <xdr:cNvSpPr txBox="1"/>
      </xdr:nvSpPr>
      <xdr:spPr>
        <a:xfrm>
          <a:off x="7502485" y="11698356"/>
          <a:ext cx="226591"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・号</a:t>
          </a:r>
        </a:p>
      </xdr:txBody>
    </xdr:sp>
    <xdr:clientData/>
  </xdr:oneCellAnchor>
  <xdr:oneCellAnchor>
    <xdr:from>
      <xdr:col>8</xdr:col>
      <xdr:colOff>0</xdr:colOff>
      <xdr:row>117</xdr:row>
      <xdr:rowOff>1678</xdr:rowOff>
    </xdr:from>
    <xdr:ext cx="188119" cy="190565"/>
    <xdr:sp macro="" textlink="">
      <xdr:nvSpPr>
        <xdr:cNvPr id="156" name="テキスト ボックス 155"/>
        <xdr:cNvSpPr txBox="1"/>
      </xdr:nvSpPr>
      <xdr:spPr>
        <a:xfrm>
          <a:off x="2057400" y="26624053"/>
          <a:ext cx="188119" cy="1905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nchorCtr="1">
          <a:spAutoFit/>
        </a:bodyPr>
        <a:lstStyle/>
        <a:p>
          <a:r>
            <a:rPr kumimoji="1" lang="ja-JP" altLang="en-US" sz="900">
              <a:latin typeface="Meiryo UI" panose="020B0604030504040204" pitchFamily="50" charset="-128"/>
              <a:ea typeface="Meiryo UI" panose="020B0604030504040204" pitchFamily="50" charset="-128"/>
            </a:rPr>
            <a:t>姓</a:t>
          </a:r>
        </a:p>
      </xdr:txBody>
    </xdr:sp>
    <xdr:clientData/>
  </xdr:oneCellAnchor>
  <xdr:oneCellAnchor>
    <xdr:from>
      <xdr:col>16</xdr:col>
      <xdr:colOff>0</xdr:colOff>
      <xdr:row>117</xdr:row>
      <xdr:rowOff>0</xdr:rowOff>
    </xdr:from>
    <xdr:ext cx="188119" cy="190565"/>
    <xdr:sp macro="" textlink="">
      <xdr:nvSpPr>
        <xdr:cNvPr id="157" name="テキスト ボックス 156"/>
        <xdr:cNvSpPr txBox="1"/>
      </xdr:nvSpPr>
      <xdr:spPr>
        <a:xfrm>
          <a:off x="4114800" y="26622375"/>
          <a:ext cx="188119" cy="1905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nchorCtr="1">
          <a:spAutoFit/>
        </a:bodyPr>
        <a:lstStyle/>
        <a:p>
          <a:r>
            <a:rPr kumimoji="1" lang="ja-JP" altLang="en-US" sz="900">
              <a:latin typeface="Meiryo UI" panose="020B0604030504040204" pitchFamily="50" charset="-128"/>
              <a:ea typeface="Meiryo UI" panose="020B0604030504040204" pitchFamily="50" charset="-128"/>
            </a:rPr>
            <a:t>名</a:t>
          </a:r>
        </a:p>
      </xdr:txBody>
    </xdr:sp>
    <xdr:clientData/>
  </xdr:oneCellAnchor>
  <xdr:oneCellAnchor>
    <xdr:from>
      <xdr:col>8</xdr:col>
      <xdr:colOff>0</xdr:colOff>
      <xdr:row>123</xdr:row>
      <xdr:rowOff>192178</xdr:rowOff>
    </xdr:from>
    <xdr:ext cx="188119" cy="190565"/>
    <xdr:sp macro="" textlink="">
      <xdr:nvSpPr>
        <xdr:cNvPr id="158" name="テキスト ボックス 157"/>
        <xdr:cNvSpPr txBox="1"/>
      </xdr:nvSpPr>
      <xdr:spPr>
        <a:xfrm>
          <a:off x="2057400" y="27500353"/>
          <a:ext cx="188119" cy="1905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nchorCtr="1">
          <a:spAutoFit/>
        </a:bodyPr>
        <a:lstStyle/>
        <a:p>
          <a:r>
            <a:rPr kumimoji="1" lang="ja-JP" altLang="en-US" sz="900">
              <a:latin typeface="Meiryo UI" panose="020B0604030504040204" pitchFamily="50" charset="-128"/>
              <a:ea typeface="Meiryo UI" panose="020B0604030504040204" pitchFamily="50" charset="-128"/>
            </a:rPr>
            <a:t>姓</a:t>
          </a:r>
        </a:p>
      </xdr:txBody>
    </xdr:sp>
    <xdr:clientData/>
  </xdr:oneCellAnchor>
  <xdr:oneCellAnchor>
    <xdr:from>
      <xdr:col>16</xdr:col>
      <xdr:colOff>0</xdr:colOff>
      <xdr:row>123</xdr:row>
      <xdr:rowOff>190500</xdr:rowOff>
    </xdr:from>
    <xdr:ext cx="188119" cy="190565"/>
    <xdr:sp macro="" textlink="">
      <xdr:nvSpPr>
        <xdr:cNvPr id="159" name="テキスト ボックス 158"/>
        <xdr:cNvSpPr txBox="1"/>
      </xdr:nvSpPr>
      <xdr:spPr>
        <a:xfrm>
          <a:off x="4114800" y="27498675"/>
          <a:ext cx="188119" cy="1905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nchorCtr="1">
          <a:spAutoFit/>
        </a:bodyPr>
        <a:lstStyle/>
        <a:p>
          <a:r>
            <a:rPr kumimoji="1" lang="ja-JP" altLang="en-US" sz="900">
              <a:latin typeface="Meiryo UI" panose="020B0604030504040204" pitchFamily="50" charset="-128"/>
              <a:ea typeface="Meiryo UI" panose="020B0604030504040204" pitchFamily="50" charset="-128"/>
            </a:rPr>
            <a:t>名</a:t>
          </a:r>
        </a:p>
      </xdr:txBody>
    </xdr:sp>
    <xdr:clientData/>
  </xdr:one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438150</xdr:colOff>
          <xdr:row>6</xdr:row>
          <xdr:rowOff>31750</xdr:rowOff>
        </xdr:from>
        <xdr:to>
          <xdr:col>1</xdr:col>
          <xdr:colOff>984250</xdr:colOff>
          <xdr:row>6</xdr:row>
          <xdr:rowOff>184150</xdr:rowOff>
        </xdr:to>
        <xdr:sp macro="" textlink="">
          <xdr:nvSpPr>
            <xdr:cNvPr id="117761" name="Option Button 1" hidden="1">
              <a:extLst>
                <a:ext uri="{63B3BB69-23CF-44E3-9099-C40C66FF867C}">
                  <a14:compatExt spid="_x0000_s1177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xdr:row>
          <xdr:rowOff>31750</xdr:rowOff>
        </xdr:from>
        <xdr:to>
          <xdr:col>1</xdr:col>
          <xdr:colOff>984250</xdr:colOff>
          <xdr:row>7</xdr:row>
          <xdr:rowOff>184150</xdr:rowOff>
        </xdr:to>
        <xdr:sp macro="" textlink="">
          <xdr:nvSpPr>
            <xdr:cNvPr id="117762" name="Option Button 2" hidden="1">
              <a:extLst>
                <a:ext uri="{63B3BB69-23CF-44E3-9099-C40C66FF867C}">
                  <a14:compatExt spid="_x0000_s1177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xdr:row>
          <xdr:rowOff>31750</xdr:rowOff>
        </xdr:from>
        <xdr:to>
          <xdr:col>1</xdr:col>
          <xdr:colOff>984250</xdr:colOff>
          <xdr:row>8</xdr:row>
          <xdr:rowOff>184150</xdr:rowOff>
        </xdr:to>
        <xdr:sp macro="" textlink="">
          <xdr:nvSpPr>
            <xdr:cNvPr id="117763" name="Option Button 3" hidden="1">
              <a:extLst>
                <a:ext uri="{63B3BB69-23CF-44E3-9099-C40C66FF867C}">
                  <a14:compatExt spid="_x0000_s1177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xdr:row>
          <xdr:rowOff>31750</xdr:rowOff>
        </xdr:from>
        <xdr:to>
          <xdr:col>1</xdr:col>
          <xdr:colOff>984250</xdr:colOff>
          <xdr:row>9</xdr:row>
          <xdr:rowOff>184150</xdr:rowOff>
        </xdr:to>
        <xdr:sp macro="" textlink="">
          <xdr:nvSpPr>
            <xdr:cNvPr id="117764" name="Option Button 4" hidden="1">
              <a:extLst>
                <a:ext uri="{63B3BB69-23CF-44E3-9099-C40C66FF867C}">
                  <a14:compatExt spid="_x0000_s1177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xdr:row>
          <xdr:rowOff>31750</xdr:rowOff>
        </xdr:from>
        <xdr:to>
          <xdr:col>1</xdr:col>
          <xdr:colOff>984250</xdr:colOff>
          <xdr:row>10</xdr:row>
          <xdr:rowOff>184150</xdr:rowOff>
        </xdr:to>
        <xdr:sp macro="" textlink="">
          <xdr:nvSpPr>
            <xdr:cNvPr id="117765" name="Option Button 5" hidden="1">
              <a:extLst>
                <a:ext uri="{63B3BB69-23CF-44E3-9099-C40C66FF867C}">
                  <a14:compatExt spid="_x0000_s1177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xdr:row>
          <xdr:rowOff>31750</xdr:rowOff>
        </xdr:from>
        <xdr:to>
          <xdr:col>1</xdr:col>
          <xdr:colOff>984250</xdr:colOff>
          <xdr:row>11</xdr:row>
          <xdr:rowOff>184150</xdr:rowOff>
        </xdr:to>
        <xdr:sp macro="" textlink="">
          <xdr:nvSpPr>
            <xdr:cNvPr id="117766" name="Option Button 6" hidden="1">
              <a:extLst>
                <a:ext uri="{63B3BB69-23CF-44E3-9099-C40C66FF867C}">
                  <a14:compatExt spid="_x0000_s1177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12</xdr:row>
          <xdr:rowOff>31750</xdr:rowOff>
        </xdr:from>
        <xdr:to>
          <xdr:col>1</xdr:col>
          <xdr:colOff>984250</xdr:colOff>
          <xdr:row>12</xdr:row>
          <xdr:rowOff>184150</xdr:rowOff>
        </xdr:to>
        <xdr:sp macro="" textlink="">
          <xdr:nvSpPr>
            <xdr:cNvPr id="117767" name="Option Button 7" hidden="1">
              <a:extLst>
                <a:ext uri="{63B3BB69-23CF-44E3-9099-C40C66FF867C}">
                  <a14:compatExt spid="_x0000_s1177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13</xdr:row>
          <xdr:rowOff>31750</xdr:rowOff>
        </xdr:from>
        <xdr:to>
          <xdr:col>1</xdr:col>
          <xdr:colOff>984250</xdr:colOff>
          <xdr:row>13</xdr:row>
          <xdr:rowOff>184150</xdr:rowOff>
        </xdr:to>
        <xdr:sp macro="" textlink="">
          <xdr:nvSpPr>
            <xdr:cNvPr id="117768" name="Option Button 8" hidden="1">
              <a:extLst>
                <a:ext uri="{63B3BB69-23CF-44E3-9099-C40C66FF867C}">
                  <a14:compatExt spid="_x0000_s1177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14</xdr:row>
          <xdr:rowOff>31750</xdr:rowOff>
        </xdr:from>
        <xdr:to>
          <xdr:col>1</xdr:col>
          <xdr:colOff>984250</xdr:colOff>
          <xdr:row>14</xdr:row>
          <xdr:rowOff>184150</xdr:rowOff>
        </xdr:to>
        <xdr:sp macro="" textlink="">
          <xdr:nvSpPr>
            <xdr:cNvPr id="117769" name="Option Button 9" hidden="1">
              <a:extLst>
                <a:ext uri="{63B3BB69-23CF-44E3-9099-C40C66FF867C}">
                  <a14:compatExt spid="_x0000_s1177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15</xdr:row>
          <xdr:rowOff>31750</xdr:rowOff>
        </xdr:from>
        <xdr:to>
          <xdr:col>1</xdr:col>
          <xdr:colOff>984250</xdr:colOff>
          <xdr:row>15</xdr:row>
          <xdr:rowOff>184150</xdr:rowOff>
        </xdr:to>
        <xdr:sp macro="" textlink="">
          <xdr:nvSpPr>
            <xdr:cNvPr id="117770" name="Option Button 10" hidden="1">
              <a:extLst>
                <a:ext uri="{63B3BB69-23CF-44E3-9099-C40C66FF867C}">
                  <a14:compatExt spid="_x0000_s1177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16</xdr:row>
          <xdr:rowOff>31750</xdr:rowOff>
        </xdr:from>
        <xdr:to>
          <xdr:col>1</xdr:col>
          <xdr:colOff>984250</xdr:colOff>
          <xdr:row>16</xdr:row>
          <xdr:rowOff>184150</xdr:rowOff>
        </xdr:to>
        <xdr:sp macro="" textlink="">
          <xdr:nvSpPr>
            <xdr:cNvPr id="117771" name="Option Button 11" hidden="1">
              <a:extLst>
                <a:ext uri="{63B3BB69-23CF-44E3-9099-C40C66FF867C}">
                  <a14:compatExt spid="_x0000_s1177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17</xdr:row>
          <xdr:rowOff>31750</xdr:rowOff>
        </xdr:from>
        <xdr:to>
          <xdr:col>1</xdr:col>
          <xdr:colOff>984250</xdr:colOff>
          <xdr:row>17</xdr:row>
          <xdr:rowOff>184150</xdr:rowOff>
        </xdr:to>
        <xdr:sp macro="" textlink="">
          <xdr:nvSpPr>
            <xdr:cNvPr id="117772" name="Option Button 12" hidden="1">
              <a:extLst>
                <a:ext uri="{63B3BB69-23CF-44E3-9099-C40C66FF867C}">
                  <a14:compatExt spid="_x0000_s1177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18</xdr:row>
          <xdr:rowOff>31750</xdr:rowOff>
        </xdr:from>
        <xdr:to>
          <xdr:col>1</xdr:col>
          <xdr:colOff>984250</xdr:colOff>
          <xdr:row>18</xdr:row>
          <xdr:rowOff>184150</xdr:rowOff>
        </xdr:to>
        <xdr:sp macro="" textlink="">
          <xdr:nvSpPr>
            <xdr:cNvPr id="117773" name="Option Button 13" hidden="1">
              <a:extLst>
                <a:ext uri="{63B3BB69-23CF-44E3-9099-C40C66FF867C}">
                  <a14:compatExt spid="_x0000_s1177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19</xdr:row>
          <xdr:rowOff>31750</xdr:rowOff>
        </xdr:from>
        <xdr:to>
          <xdr:col>1</xdr:col>
          <xdr:colOff>984250</xdr:colOff>
          <xdr:row>19</xdr:row>
          <xdr:rowOff>184150</xdr:rowOff>
        </xdr:to>
        <xdr:sp macro="" textlink="">
          <xdr:nvSpPr>
            <xdr:cNvPr id="117774" name="Option Button 14" hidden="1">
              <a:extLst>
                <a:ext uri="{63B3BB69-23CF-44E3-9099-C40C66FF867C}">
                  <a14:compatExt spid="_x0000_s1177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20</xdr:row>
          <xdr:rowOff>31750</xdr:rowOff>
        </xdr:from>
        <xdr:to>
          <xdr:col>1</xdr:col>
          <xdr:colOff>984250</xdr:colOff>
          <xdr:row>20</xdr:row>
          <xdr:rowOff>184150</xdr:rowOff>
        </xdr:to>
        <xdr:sp macro="" textlink="">
          <xdr:nvSpPr>
            <xdr:cNvPr id="117775" name="Option Button 15" hidden="1">
              <a:extLst>
                <a:ext uri="{63B3BB69-23CF-44E3-9099-C40C66FF867C}">
                  <a14:compatExt spid="_x0000_s1177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21</xdr:row>
          <xdr:rowOff>31750</xdr:rowOff>
        </xdr:from>
        <xdr:to>
          <xdr:col>1</xdr:col>
          <xdr:colOff>984250</xdr:colOff>
          <xdr:row>21</xdr:row>
          <xdr:rowOff>184150</xdr:rowOff>
        </xdr:to>
        <xdr:sp macro="" textlink="">
          <xdr:nvSpPr>
            <xdr:cNvPr id="117776" name="Option Button 16" hidden="1">
              <a:extLst>
                <a:ext uri="{63B3BB69-23CF-44E3-9099-C40C66FF867C}">
                  <a14:compatExt spid="_x0000_s1177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22</xdr:row>
          <xdr:rowOff>31750</xdr:rowOff>
        </xdr:from>
        <xdr:to>
          <xdr:col>1</xdr:col>
          <xdr:colOff>984250</xdr:colOff>
          <xdr:row>22</xdr:row>
          <xdr:rowOff>184150</xdr:rowOff>
        </xdr:to>
        <xdr:sp macro="" textlink="">
          <xdr:nvSpPr>
            <xdr:cNvPr id="117777" name="Option Button 17" hidden="1">
              <a:extLst>
                <a:ext uri="{63B3BB69-23CF-44E3-9099-C40C66FF867C}">
                  <a14:compatExt spid="_x0000_s1177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23</xdr:row>
          <xdr:rowOff>31750</xdr:rowOff>
        </xdr:from>
        <xdr:to>
          <xdr:col>1</xdr:col>
          <xdr:colOff>984250</xdr:colOff>
          <xdr:row>23</xdr:row>
          <xdr:rowOff>184150</xdr:rowOff>
        </xdr:to>
        <xdr:sp macro="" textlink="">
          <xdr:nvSpPr>
            <xdr:cNvPr id="117778" name="Option Button 18" hidden="1">
              <a:extLst>
                <a:ext uri="{63B3BB69-23CF-44E3-9099-C40C66FF867C}">
                  <a14:compatExt spid="_x0000_s1177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24</xdr:row>
          <xdr:rowOff>31750</xdr:rowOff>
        </xdr:from>
        <xdr:to>
          <xdr:col>1</xdr:col>
          <xdr:colOff>984250</xdr:colOff>
          <xdr:row>24</xdr:row>
          <xdr:rowOff>184150</xdr:rowOff>
        </xdr:to>
        <xdr:sp macro="" textlink="">
          <xdr:nvSpPr>
            <xdr:cNvPr id="117779" name="Option Button 19" hidden="1">
              <a:extLst>
                <a:ext uri="{63B3BB69-23CF-44E3-9099-C40C66FF867C}">
                  <a14:compatExt spid="_x0000_s1177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25</xdr:row>
          <xdr:rowOff>31750</xdr:rowOff>
        </xdr:from>
        <xdr:to>
          <xdr:col>1</xdr:col>
          <xdr:colOff>984250</xdr:colOff>
          <xdr:row>25</xdr:row>
          <xdr:rowOff>184150</xdr:rowOff>
        </xdr:to>
        <xdr:sp macro="" textlink="">
          <xdr:nvSpPr>
            <xdr:cNvPr id="117780" name="Option Button 20" hidden="1">
              <a:extLst>
                <a:ext uri="{63B3BB69-23CF-44E3-9099-C40C66FF867C}">
                  <a14:compatExt spid="_x0000_s1177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26</xdr:row>
          <xdr:rowOff>31750</xdr:rowOff>
        </xdr:from>
        <xdr:to>
          <xdr:col>1</xdr:col>
          <xdr:colOff>984250</xdr:colOff>
          <xdr:row>26</xdr:row>
          <xdr:rowOff>184150</xdr:rowOff>
        </xdr:to>
        <xdr:sp macro="" textlink="">
          <xdr:nvSpPr>
            <xdr:cNvPr id="117781" name="Option Button 21" hidden="1">
              <a:extLst>
                <a:ext uri="{63B3BB69-23CF-44E3-9099-C40C66FF867C}">
                  <a14:compatExt spid="_x0000_s1177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27</xdr:row>
          <xdr:rowOff>31750</xdr:rowOff>
        </xdr:from>
        <xdr:to>
          <xdr:col>1</xdr:col>
          <xdr:colOff>984250</xdr:colOff>
          <xdr:row>27</xdr:row>
          <xdr:rowOff>184150</xdr:rowOff>
        </xdr:to>
        <xdr:sp macro="" textlink="">
          <xdr:nvSpPr>
            <xdr:cNvPr id="117782" name="Option Button 22" hidden="1">
              <a:extLst>
                <a:ext uri="{63B3BB69-23CF-44E3-9099-C40C66FF867C}">
                  <a14:compatExt spid="_x0000_s1177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28</xdr:row>
          <xdr:rowOff>31750</xdr:rowOff>
        </xdr:from>
        <xdr:to>
          <xdr:col>1</xdr:col>
          <xdr:colOff>984250</xdr:colOff>
          <xdr:row>28</xdr:row>
          <xdr:rowOff>184150</xdr:rowOff>
        </xdr:to>
        <xdr:sp macro="" textlink="">
          <xdr:nvSpPr>
            <xdr:cNvPr id="117783" name="Option Button 23" hidden="1">
              <a:extLst>
                <a:ext uri="{63B3BB69-23CF-44E3-9099-C40C66FF867C}">
                  <a14:compatExt spid="_x0000_s1177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29</xdr:row>
          <xdr:rowOff>31750</xdr:rowOff>
        </xdr:from>
        <xdr:to>
          <xdr:col>1</xdr:col>
          <xdr:colOff>984250</xdr:colOff>
          <xdr:row>29</xdr:row>
          <xdr:rowOff>184150</xdr:rowOff>
        </xdr:to>
        <xdr:sp macro="" textlink="">
          <xdr:nvSpPr>
            <xdr:cNvPr id="117784" name="Option Button 24" hidden="1">
              <a:extLst>
                <a:ext uri="{63B3BB69-23CF-44E3-9099-C40C66FF867C}">
                  <a14:compatExt spid="_x0000_s1177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30</xdr:row>
          <xdr:rowOff>31750</xdr:rowOff>
        </xdr:from>
        <xdr:to>
          <xdr:col>1</xdr:col>
          <xdr:colOff>984250</xdr:colOff>
          <xdr:row>30</xdr:row>
          <xdr:rowOff>184150</xdr:rowOff>
        </xdr:to>
        <xdr:sp macro="" textlink="">
          <xdr:nvSpPr>
            <xdr:cNvPr id="117785" name="Option Button 25" hidden="1">
              <a:extLst>
                <a:ext uri="{63B3BB69-23CF-44E3-9099-C40C66FF867C}">
                  <a14:compatExt spid="_x0000_s1177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31</xdr:row>
          <xdr:rowOff>31750</xdr:rowOff>
        </xdr:from>
        <xdr:to>
          <xdr:col>1</xdr:col>
          <xdr:colOff>984250</xdr:colOff>
          <xdr:row>31</xdr:row>
          <xdr:rowOff>184150</xdr:rowOff>
        </xdr:to>
        <xdr:sp macro="" textlink="">
          <xdr:nvSpPr>
            <xdr:cNvPr id="117786" name="Option Button 26" hidden="1">
              <a:extLst>
                <a:ext uri="{63B3BB69-23CF-44E3-9099-C40C66FF867C}">
                  <a14:compatExt spid="_x0000_s1177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32</xdr:row>
          <xdr:rowOff>31750</xdr:rowOff>
        </xdr:from>
        <xdr:to>
          <xdr:col>1</xdr:col>
          <xdr:colOff>984250</xdr:colOff>
          <xdr:row>32</xdr:row>
          <xdr:rowOff>184150</xdr:rowOff>
        </xdr:to>
        <xdr:sp macro="" textlink="">
          <xdr:nvSpPr>
            <xdr:cNvPr id="117787" name="Option Button 27" hidden="1">
              <a:extLst>
                <a:ext uri="{63B3BB69-23CF-44E3-9099-C40C66FF867C}">
                  <a14:compatExt spid="_x0000_s1177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33</xdr:row>
          <xdr:rowOff>31750</xdr:rowOff>
        </xdr:from>
        <xdr:to>
          <xdr:col>1</xdr:col>
          <xdr:colOff>984250</xdr:colOff>
          <xdr:row>33</xdr:row>
          <xdr:rowOff>184150</xdr:rowOff>
        </xdr:to>
        <xdr:sp macro="" textlink="">
          <xdr:nvSpPr>
            <xdr:cNvPr id="117788" name="Option Button 28" hidden="1">
              <a:extLst>
                <a:ext uri="{63B3BB69-23CF-44E3-9099-C40C66FF867C}">
                  <a14:compatExt spid="_x0000_s1177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34</xdr:row>
          <xdr:rowOff>31750</xdr:rowOff>
        </xdr:from>
        <xdr:to>
          <xdr:col>1</xdr:col>
          <xdr:colOff>984250</xdr:colOff>
          <xdr:row>34</xdr:row>
          <xdr:rowOff>184150</xdr:rowOff>
        </xdr:to>
        <xdr:sp macro="" textlink="">
          <xdr:nvSpPr>
            <xdr:cNvPr id="117789" name="Option Button 29" hidden="1">
              <a:extLst>
                <a:ext uri="{63B3BB69-23CF-44E3-9099-C40C66FF867C}">
                  <a14:compatExt spid="_x0000_s1177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35</xdr:row>
          <xdr:rowOff>31750</xdr:rowOff>
        </xdr:from>
        <xdr:to>
          <xdr:col>1</xdr:col>
          <xdr:colOff>984250</xdr:colOff>
          <xdr:row>35</xdr:row>
          <xdr:rowOff>184150</xdr:rowOff>
        </xdr:to>
        <xdr:sp macro="" textlink="">
          <xdr:nvSpPr>
            <xdr:cNvPr id="117790" name="Option Button 30" hidden="1">
              <a:extLst>
                <a:ext uri="{63B3BB69-23CF-44E3-9099-C40C66FF867C}">
                  <a14:compatExt spid="_x0000_s1177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36</xdr:row>
          <xdr:rowOff>31750</xdr:rowOff>
        </xdr:from>
        <xdr:to>
          <xdr:col>1</xdr:col>
          <xdr:colOff>984250</xdr:colOff>
          <xdr:row>36</xdr:row>
          <xdr:rowOff>184150</xdr:rowOff>
        </xdr:to>
        <xdr:sp macro="" textlink="">
          <xdr:nvSpPr>
            <xdr:cNvPr id="117791" name="Option Button 31" hidden="1">
              <a:extLst>
                <a:ext uri="{63B3BB69-23CF-44E3-9099-C40C66FF867C}">
                  <a14:compatExt spid="_x0000_s1177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37</xdr:row>
          <xdr:rowOff>31750</xdr:rowOff>
        </xdr:from>
        <xdr:to>
          <xdr:col>1</xdr:col>
          <xdr:colOff>984250</xdr:colOff>
          <xdr:row>37</xdr:row>
          <xdr:rowOff>184150</xdr:rowOff>
        </xdr:to>
        <xdr:sp macro="" textlink="">
          <xdr:nvSpPr>
            <xdr:cNvPr id="117792" name="Option Button 32" hidden="1">
              <a:extLst>
                <a:ext uri="{63B3BB69-23CF-44E3-9099-C40C66FF867C}">
                  <a14:compatExt spid="_x0000_s1177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38</xdr:row>
          <xdr:rowOff>31750</xdr:rowOff>
        </xdr:from>
        <xdr:to>
          <xdr:col>1</xdr:col>
          <xdr:colOff>984250</xdr:colOff>
          <xdr:row>38</xdr:row>
          <xdr:rowOff>184150</xdr:rowOff>
        </xdr:to>
        <xdr:sp macro="" textlink="">
          <xdr:nvSpPr>
            <xdr:cNvPr id="117793" name="Option Button 33" hidden="1">
              <a:extLst>
                <a:ext uri="{63B3BB69-23CF-44E3-9099-C40C66FF867C}">
                  <a14:compatExt spid="_x0000_s1177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39</xdr:row>
          <xdr:rowOff>31750</xdr:rowOff>
        </xdr:from>
        <xdr:to>
          <xdr:col>1</xdr:col>
          <xdr:colOff>984250</xdr:colOff>
          <xdr:row>39</xdr:row>
          <xdr:rowOff>184150</xdr:rowOff>
        </xdr:to>
        <xdr:sp macro="" textlink="">
          <xdr:nvSpPr>
            <xdr:cNvPr id="117794" name="Option Button 34" hidden="1">
              <a:extLst>
                <a:ext uri="{63B3BB69-23CF-44E3-9099-C40C66FF867C}">
                  <a14:compatExt spid="_x0000_s1177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40</xdr:row>
          <xdr:rowOff>31750</xdr:rowOff>
        </xdr:from>
        <xdr:to>
          <xdr:col>1</xdr:col>
          <xdr:colOff>984250</xdr:colOff>
          <xdr:row>40</xdr:row>
          <xdr:rowOff>184150</xdr:rowOff>
        </xdr:to>
        <xdr:sp macro="" textlink="">
          <xdr:nvSpPr>
            <xdr:cNvPr id="117795" name="Option Button 35" hidden="1">
              <a:extLst>
                <a:ext uri="{63B3BB69-23CF-44E3-9099-C40C66FF867C}">
                  <a14:compatExt spid="_x0000_s1177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41</xdr:row>
          <xdr:rowOff>31750</xdr:rowOff>
        </xdr:from>
        <xdr:to>
          <xdr:col>1</xdr:col>
          <xdr:colOff>984250</xdr:colOff>
          <xdr:row>41</xdr:row>
          <xdr:rowOff>184150</xdr:rowOff>
        </xdr:to>
        <xdr:sp macro="" textlink="">
          <xdr:nvSpPr>
            <xdr:cNvPr id="117796" name="Option Button 36" hidden="1">
              <a:extLst>
                <a:ext uri="{63B3BB69-23CF-44E3-9099-C40C66FF867C}">
                  <a14:compatExt spid="_x0000_s1177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42</xdr:row>
          <xdr:rowOff>31750</xdr:rowOff>
        </xdr:from>
        <xdr:to>
          <xdr:col>1</xdr:col>
          <xdr:colOff>984250</xdr:colOff>
          <xdr:row>42</xdr:row>
          <xdr:rowOff>184150</xdr:rowOff>
        </xdr:to>
        <xdr:sp macro="" textlink="">
          <xdr:nvSpPr>
            <xdr:cNvPr id="117797" name="Option Button 37" hidden="1">
              <a:extLst>
                <a:ext uri="{63B3BB69-23CF-44E3-9099-C40C66FF867C}">
                  <a14:compatExt spid="_x0000_s1177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43</xdr:row>
          <xdr:rowOff>31750</xdr:rowOff>
        </xdr:from>
        <xdr:to>
          <xdr:col>1</xdr:col>
          <xdr:colOff>984250</xdr:colOff>
          <xdr:row>43</xdr:row>
          <xdr:rowOff>184150</xdr:rowOff>
        </xdr:to>
        <xdr:sp macro="" textlink="">
          <xdr:nvSpPr>
            <xdr:cNvPr id="117798" name="Option Button 38" hidden="1">
              <a:extLst>
                <a:ext uri="{63B3BB69-23CF-44E3-9099-C40C66FF867C}">
                  <a14:compatExt spid="_x0000_s1177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44</xdr:row>
          <xdr:rowOff>31750</xdr:rowOff>
        </xdr:from>
        <xdr:to>
          <xdr:col>1</xdr:col>
          <xdr:colOff>984250</xdr:colOff>
          <xdr:row>44</xdr:row>
          <xdr:rowOff>184150</xdr:rowOff>
        </xdr:to>
        <xdr:sp macro="" textlink="">
          <xdr:nvSpPr>
            <xdr:cNvPr id="117799" name="Option Button 39" hidden="1">
              <a:extLst>
                <a:ext uri="{63B3BB69-23CF-44E3-9099-C40C66FF867C}">
                  <a14:compatExt spid="_x0000_s1177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45</xdr:row>
          <xdr:rowOff>31750</xdr:rowOff>
        </xdr:from>
        <xdr:to>
          <xdr:col>1</xdr:col>
          <xdr:colOff>984250</xdr:colOff>
          <xdr:row>45</xdr:row>
          <xdr:rowOff>184150</xdr:rowOff>
        </xdr:to>
        <xdr:sp macro="" textlink="">
          <xdr:nvSpPr>
            <xdr:cNvPr id="117800" name="Option Button 40" hidden="1">
              <a:extLst>
                <a:ext uri="{63B3BB69-23CF-44E3-9099-C40C66FF867C}">
                  <a14:compatExt spid="_x0000_s1178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46</xdr:row>
          <xdr:rowOff>31750</xdr:rowOff>
        </xdr:from>
        <xdr:to>
          <xdr:col>1</xdr:col>
          <xdr:colOff>984250</xdr:colOff>
          <xdr:row>46</xdr:row>
          <xdr:rowOff>184150</xdr:rowOff>
        </xdr:to>
        <xdr:sp macro="" textlink="">
          <xdr:nvSpPr>
            <xdr:cNvPr id="117801" name="Option Button 41" hidden="1">
              <a:extLst>
                <a:ext uri="{63B3BB69-23CF-44E3-9099-C40C66FF867C}">
                  <a14:compatExt spid="_x0000_s1178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47</xdr:row>
          <xdr:rowOff>31750</xdr:rowOff>
        </xdr:from>
        <xdr:to>
          <xdr:col>1</xdr:col>
          <xdr:colOff>984250</xdr:colOff>
          <xdr:row>47</xdr:row>
          <xdr:rowOff>184150</xdr:rowOff>
        </xdr:to>
        <xdr:sp macro="" textlink="">
          <xdr:nvSpPr>
            <xdr:cNvPr id="117802" name="Option Button 42" hidden="1">
              <a:extLst>
                <a:ext uri="{63B3BB69-23CF-44E3-9099-C40C66FF867C}">
                  <a14:compatExt spid="_x0000_s1178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48</xdr:row>
          <xdr:rowOff>31750</xdr:rowOff>
        </xdr:from>
        <xdr:to>
          <xdr:col>1</xdr:col>
          <xdr:colOff>984250</xdr:colOff>
          <xdr:row>48</xdr:row>
          <xdr:rowOff>184150</xdr:rowOff>
        </xdr:to>
        <xdr:sp macro="" textlink="">
          <xdr:nvSpPr>
            <xdr:cNvPr id="117803" name="Option Button 43" hidden="1">
              <a:extLst>
                <a:ext uri="{63B3BB69-23CF-44E3-9099-C40C66FF867C}">
                  <a14:compatExt spid="_x0000_s1178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49</xdr:row>
          <xdr:rowOff>31750</xdr:rowOff>
        </xdr:from>
        <xdr:to>
          <xdr:col>1</xdr:col>
          <xdr:colOff>984250</xdr:colOff>
          <xdr:row>49</xdr:row>
          <xdr:rowOff>184150</xdr:rowOff>
        </xdr:to>
        <xdr:sp macro="" textlink="">
          <xdr:nvSpPr>
            <xdr:cNvPr id="117804" name="Option Button 44" hidden="1">
              <a:extLst>
                <a:ext uri="{63B3BB69-23CF-44E3-9099-C40C66FF867C}">
                  <a14:compatExt spid="_x0000_s1178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50</xdr:row>
          <xdr:rowOff>31750</xdr:rowOff>
        </xdr:from>
        <xdr:to>
          <xdr:col>1</xdr:col>
          <xdr:colOff>984250</xdr:colOff>
          <xdr:row>50</xdr:row>
          <xdr:rowOff>184150</xdr:rowOff>
        </xdr:to>
        <xdr:sp macro="" textlink="">
          <xdr:nvSpPr>
            <xdr:cNvPr id="117805" name="Option Button 45" hidden="1">
              <a:extLst>
                <a:ext uri="{63B3BB69-23CF-44E3-9099-C40C66FF867C}">
                  <a14:compatExt spid="_x0000_s1178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51</xdr:row>
          <xdr:rowOff>31750</xdr:rowOff>
        </xdr:from>
        <xdr:to>
          <xdr:col>1</xdr:col>
          <xdr:colOff>984250</xdr:colOff>
          <xdr:row>51</xdr:row>
          <xdr:rowOff>184150</xdr:rowOff>
        </xdr:to>
        <xdr:sp macro="" textlink="">
          <xdr:nvSpPr>
            <xdr:cNvPr id="117806" name="Option Button 46" hidden="1">
              <a:extLst>
                <a:ext uri="{63B3BB69-23CF-44E3-9099-C40C66FF867C}">
                  <a14:compatExt spid="_x0000_s1178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52</xdr:row>
          <xdr:rowOff>31750</xdr:rowOff>
        </xdr:from>
        <xdr:to>
          <xdr:col>1</xdr:col>
          <xdr:colOff>984250</xdr:colOff>
          <xdr:row>52</xdr:row>
          <xdr:rowOff>184150</xdr:rowOff>
        </xdr:to>
        <xdr:sp macro="" textlink="">
          <xdr:nvSpPr>
            <xdr:cNvPr id="117807" name="Option Button 47" hidden="1">
              <a:extLst>
                <a:ext uri="{63B3BB69-23CF-44E3-9099-C40C66FF867C}">
                  <a14:compatExt spid="_x0000_s1178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53</xdr:row>
          <xdr:rowOff>31750</xdr:rowOff>
        </xdr:from>
        <xdr:to>
          <xdr:col>1</xdr:col>
          <xdr:colOff>984250</xdr:colOff>
          <xdr:row>53</xdr:row>
          <xdr:rowOff>184150</xdr:rowOff>
        </xdr:to>
        <xdr:sp macro="" textlink="">
          <xdr:nvSpPr>
            <xdr:cNvPr id="117808" name="Option Button 48" hidden="1">
              <a:extLst>
                <a:ext uri="{63B3BB69-23CF-44E3-9099-C40C66FF867C}">
                  <a14:compatExt spid="_x0000_s1178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54</xdr:row>
          <xdr:rowOff>31750</xdr:rowOff>
        </xdr:from>
        <xdr:to>
          <xdr:col>1</xdr:col>
          <xdr:colOff>984250</xdr:colOff>
          <xdr:row>54</xdr:row>
          <xdr:rowOff>184150</xdr:rowOff>
        </xdr:to>
        <xdr:sp macro="" textlink="">
          <xdr:nvSpPr>
            <xdr:cNvPr id="117809" name="Option Button 49" hidden="1">
              <a:extLst>
                <a:ext uri="{63B3BB69-23CF-44E3-9099-C40C66FF867C}">
                  <a14:compatExt spid="_x0000_s1178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55</xdr:row>
          <xdr:rowOff>31750</xdr:rowOff>
        </xdr:from>
        <xdr:to>
          <xdr:col>1</xdr:col>
          <xdr:colOff>984250</xdr:colOff>
          <xdr:row>55</xdr:row>
          <xdr:rowOff>184150</xdr:rowOff>
        </xdr:to>
        <xdr:sp macro="" textlink="">
          <xdr:nvSpPr>
            <xdr:cNvPr id="117810" name="Option Button 50" hidden="1">
              <a:extLst>
                <a:ext uri="{63B3BB69-23CF-44E3-9099-C40C66FF867C}">
                  <a14:compatExt spid="_x0000_s1178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56</xdr:row>
          <xdr:rowOff>31750</xdr:rowOff>
        </xdr:from>
        <xdr:to>
          <xdr:col>1</xdr:col>
          <xdr:colOff>984250</xdr:colOff>
          <xdr:row>56</xdr:row>
          <xdr:rowOff>184150</xdr:rowOff>
        </xdr:to>
        <xdr:sp macro="" textlink="">
          <xdr:nvSpPr>
            <xdr:cNvPr id="117811" name="Option Button 51" hidden="1">
              <a:extLst>
                <a:ext uri="{63B3BB69-23CF-44E3-9099-C40C66FF867C}">
                  <a14:compatExt spid="_x0000_s1178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57</xdr:row>
          <xdr:rowOff>31750</xdr:rowOff>
        </xdr:from>
        <xdr:to>
          <xdr:col>1</xdr:col>
          <xdr:colOff>984250</xdr:colOff>
          <xdr:row>57</xdr:row>
          <xdr:rowOff>184150</xdr:rowOff>
        </xdr:to>
        <xdr:sp macro="" textlink="">
          <xdr:nvSpPr>
            <xdr:cNvPr id="117812" name="Option Button 52" hidden="1">
              <a:extLst>
                <a:ext uri="{63B3BB69-23CF-44E3-9099-C40C66FF867C}">
                  <a14:compatExt spid="_x0000_s1178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58</xdr:row>
          <xdr:rowOff>31750</xdr:rowOff>
        </xdr:from>
        <xdr:to>
          <xdr:col>1</xdr:col>
          <xdr:colOff>984250</xdr:colOff>
          <xdr:row>58</xdr:row>
          <xdr:rowOff>184150</xdr:rowOff>
        </xdr:to>
        <xdr:sp macro="" textlink="">
          <xdr:nvSpPr>
            <xdr:cNvPr id="117813" name="Option Button 53" hidden="1">
              <a:extLst>
                <a:ext uri="{63B3BB69-23CF-44E3-9099-C40C66FF867C}">
                  <a14:compatExt spid="_x0000_s1178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59</xdr:row>
          <xdr:rowOff>31750</xdr:rowOff>
        </xdr:from>
        <xdr:to>
          <xdr:col>1</xdr:col>
          <xdr:colOff>984250</xdr:colOff>
          <xdr:row>59</xdr:row>
          <xdr:rowOff>184150</xdr:rowOff>
        </xdr:to>
        <xdr:sp macro="" textlink="">
          <xdr:nvSpPr>
            <xdr:cNvPr id="117814" name="Option Button 54" hidden="1">
              <a:extLst>
                <a:ext uri="{63B3BB69-23CF-44E3-9099-C40C66FF867C}">
                  <a14:compatExt spid="_x0000_s1178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60</xdr:row>
          <xdr:rowOff>31750</xdr:rowOff>
        </xdr:from>
        <xdr:to>
          <xdr:col>1</xdr:col>
          <xdr:colOff>984250</xdr:colOff>
          <xdr:row>60</xdr:row>
          <xdr:rowOff>184150</xdr:rowOff>
        </xdr:to>
        <xdr:sp macro="" textlink="">
          <xdr:nvSpPr>
            <xdr:cNvPr id="117815" name="Option Button 55" hidden="1">
              <a:extLst>
                <a:ext uri="{63B3BB69-23CF-44E3-9099-C40C66FF867C}">
                  <a14:compatExt spid="_x0000_s1178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61</xdr:row>
          <xdr:rowOff>31750</xdr:rowOff>
        </xdr:from>
        <xdr:to>
          <xdr:col>1</xdr:col>
          <xdr:colOff>984250</xdr:colOff>
          <xdr:row>61</xdr:row>
          <xdr:rowOff>184150</xdr:rowOff>
        </xdr:to>
        <xdr:sp macro="" textlink="">
          <xdr:nvSpPr>
            <xdr:cNvPr id="117816" name="Option Button 56" hidden="1">
              <a:extLst>
                <a:ext uri="{63B3BB69-23CF-44E3-9099-C40C66FF867C}">
                  <a14:compatExt spid="_x0000_s1178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62</xdr:row>
          <xdr:rowOff>31750</xdr:rowOff>
        </xdr:from>
        <xdr:to>
          <xdr:col>1</xdr:col>
          <xdr:colOff>984250</xdr:colOff>
          <xdr:row>62</xdr:row>
          <xdr:rowOff>184150</xdr:rowOff>
        </xdr:to>
        <xdr:sp macro="" textlink="">
          <xdr:nvSpPr>
            <xdr:cNvPr id="117817" name="Option Button 57" hidden="1">
              <a:extLst>
                <a:ext uri="{63B3BB69-23CF-44E3-9099-C40C66FF867C}">
                  <a14:compatExt spid="_x0000_s1178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63</xdr:row>
          <xdr:rowOff>31750</xdr:rowOff>
        </xdr:from>
        <xdr:to>
          <xdr:col>1</xdr:col>
          <xdr:colOff>984250</xdr:colOff>
          <xdr:row>63</xdr:row>
          <xdr:rowOff>184150</xdr:rowOff>
        </xdr:to>
        <xdr:sp macro="" textlink="">
          <xdr:nvSpPr>
            <xdr:cNvPr id="117818" name="Option Button 58" hidden="1">
              <a:extLst>
                <a:ext uri="{63B3BB69-23CF-44E3-9099-C40C66FF867C}">
                  <a14:compatExt spid="_x0000_s1178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64</xdr:row>
          <xdr:rowOff>323850</xdr:rowOff>
        </xdr:from>
        <xdr:to>
          <xdr:col>1</xdr:col>
          <xdr:colOff>984250</xdr:colOff>
          <xdr:row>64</xdr:row>
          <xdr:rowOff>476250</xdr:rowOff>
        </xdr:to>
        <xdr:sp macro="" textlink="">
          <xdr:nvSpPr>
            <xdr:cNvPr id="117819" name="Option Button 59" hidden="1">
              <a:extLst>
                <a:ext uri="{63B3BB69-23CF-44E3-9099-C40C66FF867C}">
                  <a14:compatExt spid="_x0000_s1178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65</xdr:row>
          <xdr:rowOff>31750</xdr:rowOff>
        </xdr:from>
        <xdr:to>
          <xdr:col>1</xdr:col>
          <xdr:colOff>984250</xdr:colOff>
          <xdr:row>65</xdr:row>
          <xdr:rowOff>184150</xdr:rowOff>
        </xdr:to>
        <xdr:sp macro="" textlink="">
          <xdr:nvSpPr>
            <xdr:cNvPr id="117820" name="Option Button 60" hidden="1">
              <a:extLst>
                <a:ext uri="{63B3BB69-23CF-44E3-9099-C40C66FF867C}">
                  <a14:compatExt spid="_x0000_s1178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66</xdr:row>
          <xdr:rowOff>31750</xdr:rowOff>
        </xdr:from>
        <xdr:to>
          <xdr:col>1</xdr:col>
          <xdr:colOff>984250</xdr:colOff>
          <xdr:row>66</xdr:row>
          <xdr:rowOff>184150</xdr:rowOff>
        </xdr:to>
        <xdr:sp macro="" textlink="">
          <xdr:nvSpPr>
            <xdr:cNvPr id="117821" name="Option Button 61" hidden="1">
              <a:extLst>
                <a:ext uri="{63B3BB69-23CF-44E3-9099-C40C66FF867C}">
                  <a14:compatExt spid="_x0000_s1178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67</xdr:row>
          <xdr:rowOff>31750</xdr:rowOff>
        </xdr:from>
        <xdr:to>
          <xdr:col>1</xdr:col>
          <xdr:colOff>984250</xdr:colOff>
          <xdr:row>67</xdr:row>
          <xdr:rowOff>184150</xdr:rowOff>
        </xdr:to>
        <xdr:sp macro="" textlink="">
          <xdr:nvSpPr>
            <xdr:cNvPr id="117822" name="Option Button 62" hidden="1">
              <a:extLst>
                <a:ext uri="{63B3BB69-23CF-44E3-9099-C40C66FF867C}">
                  <a14:compatExt spid="_x0000_s1178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68</xdr:row>
          <xdr:rowOff>31750</xdr:rowOff>
        </xdr:from>
        <xdr:to>
          <xdr:col>1</xdr:col>
          <xdr:colOff>984250</xdr:colOff>
          <xdr:row>68</xdr:row>
          <xdr:rowOff>184150</xdr:rowOff>
        </xdr:to>
        <xdr:sp macro="" textlink="">
          <xdr:nvSpPr>
            <xdr:cNvPr id="117823" name="Option Button 63" hidden="1">
              <a:extLst>
                <a:ext uri="{63B3BB69-23CF-44E3-9099-C40C66FF867C}">
                  <a14:compatExt spid="_x0000_s1178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69</xdr:row>
          <xdr:rowOff>31750</xdr:rowOff>
        </xdr:from>
        <xdr:to>
          <xdr:col>1</xdr:col>
          <xdr:colOff>984250</xdr:colOff>
          <xdr:row>69</xdr:row>
          <xdr:rowOff>184150</xdr:rowOff>
        </xdr:to>
        <xdr:sp macro="" textlink="">
          <xdr:nvSpPr>
            <xdr:cNvPr id="117824" name="Option Button 64" hidden="1">
              <a:extLst>
                <a:ext uri="{63B3BB69-23CF-44E3-9099-C40C66FF867C}">
                  <a14:compatExt spid="_x0000_s1178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70</xdr:row>
          <xdr:rowOff>31750</xdr:rowOff>
        </xdr:from>
        <xdr:to>
          <xdr:col>1</xdr:col>
          <xdr:colOff>984250</xdr:colOff>
          <xdr:row>70</xdr:row>
          <xdr:rowOff>184150</xdr:rowOff>
        </xdr:to>
        <xdr:sp macro="" textlink="">
          <xdr:nvSpPr>
            <xdr:cNvPr id="117825" name="Option Button 65" hidden="1">
              <a:extLst>
                <a:ext uri="{63B3BB69-23CF-44E3-9099-C40C66FF867C}">
                  <a14:compatExt spid="_x0000_s1178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71</xdr:row>
          <xdr:rowOff>31750</xdr:rowOff>
        </xdr:from>
        <xdr:to>
          <xdr:col>1</xdr:col>
          <xdr:colOff>984250</xdr:colOff>
          <xdr:row>71</xdr:row>
          <xdr:rowOff>184150</xdr:rowOff>
        </xdr:to>
        <xdr:sp macro="" textlink="">
          <xdr:nvSpPr>
            <xdr:cNvPr id="117826" name="Option Button 66" hidden="1">
              <a:extLst>
                <a:ext uri="{63B3BB69-23CF-44E3-9099-C40C66FF867C}">
                  <a14:compatExt spid="_x0000_s1178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72</xdr:row>
          <xdr:rowOff>31750</xdr:rowOff>
        </xdr:from>
        <xdr:to>
          <xdr:col>1</xdr:col>
          <xdr:colOff>984250</xdr:colOff>
          <xdr:row>72</xdr:row>
          <xdr:rowOff>184150</xdr:rowOff>
        </xdr:to>
        <xdr:sp macro="" textlink="">
          <xdr:nvSpPr>
            <xdr:cNvPr id="117827" name="Option Button 67" hidden="1">
              <a:extLst>
                <a:ext uri="{63B3BB69-23CF-44E3-9099-C40C66FF867C}">
                  <a14:compatExt spid="_x0000_s1178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73</xdr:row>
          <xdr:rowOff>31750</xdr:rowOff>
        </xdr:from>
        <xdr:to>
          <xdr:col>1</xdr:col>
          <xdr:colOff>984250</xdr:colOff>
          <xdr:row>73</xdr:row>
          <xdr:rowOff>184150</xdr:rowOff>
        </xdr:to>
        <xdr:sp macro="" textlink="">
          <xdr:nvSpPr>
            <xdr:cNvPr id="117828" name="Option Button 68" hidden="1">
              <a:extLst>
                <a:ext uri="{63B3BB69-23CF-44E3-9099-C40C66FF867C}">
                  <a14:compatExt spid="_x0000_s1178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74</xdr:row>
          <xdr:rowOff>31750</xdr:rowOff>
        </xdr:from>
        <xdr:to>
          <xdr:col>1</xdr:col>
          <xdr:colOff>984250</xdr:colOff>
          <xdr:row>74</xdr:row>
          <xdr:rowOff>184150</xdr:rowOff>
        </xdr:to>
        <xdr:sp macro="" textlink="">
          <xdr:nvSpPr>
            <xdr:cNvPr id="117829" name="Option Button 69" hidden="1">
              <a:extLst>
                <a:ext uri="{63B3BB69-23CF-44E3-9099-C40C66FF867C}">
                  <a14:compatExt spid="_x0000_s1178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75</xdr:row>
          <xdr:rowOff>31750</xdr:rowOff>
        </xdr:from>
        <xdr:to>
          <xdr:col>1</xdr:col>
          <xdr:colOff>984250</xdr:colOff>
          <xdr:row>75</xdr:row>
          <xdr:rowOff>184150</xdr:rowOff>
        </xdr:to>
        <xdr:sp macro="" textlink="">
          <xdr:nvSpPr>
            <xdr:cNvPr id="117830" name="Option Button 70" hidden="1">
              <a:extLst>
                <a:ext uri="{63B3BB69-23CF-44E3-9099-C40C66FF867C}">
                  <a14:compatExt spid="_x0000_s1178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76</xdr:row>
          <xdr:rowOff>31750</xdr:rowOff>
        </xdr:from>
        <xdr:to>
          <xdr:col>1</xdr:col>
          <xdr:colOff>984250</xdr:colOff>
          <xdr:row>76</xdr:row>
          <xdr:rowOff>184150</xdr:rowOff>
        </xdr:to>
        <xdr:sp macro="" textlink="">
          <xdr:nvSpPr>
            <xdr:cNvPr id="117831" name="Option Button 71" hidden="1">
              <a:extLst>
                <a:ext uri="{63B3BB69-23CF-44E3-9099-C40C66FF867C}">
                  <a14:compatExt spid="_x0000_s1178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77</xdr:row>
          <xdr:rowOff>31750</xdr:rowOff>
        </xdr:from>
        <xdr:to>
          <xdr:col>1</xdr:col>
          <xdr:colOff>984250</xdr:colOff>
          <xdr:row>77</xdr:row>
          <xdr:rowOff>184150</xdr:rowOff>
        </xdr:to>
        <xdr:sp macro="" textlink="">
          <xdr:nvSpPr>
            <xdr:cNvPr id="117832" name="Option Button 72" hidden="1">
              <a:extLst>
                <a:ext uri="{63B3BB69-23CF-44E3-9099-C40C66FF867C}">
                  <a14:compatExt spid="_x0000_s1178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78</xdr:row>
          <xdr:rowOff>31750</xdr:rowOff>
        </xdr:from>
        <xdr:to>
          <xdr:col>1</xdr:col>
          <xdr:colOff>984250</xdr:colOff>
          <xdr:row>78</xdr:row>
          <xdr:rowOff>184150</xdr:rowOff>
        </xdr:to>
        <xdr:sp macro="" textlink="">
          <xdr:nvSpPr>
            <xdr:cNvPr id="117833" name="Option Button 73" hidden="1">
              <a:extLst>
                <a:ext uri="{63B3BB69-23CF-44E3-9099-C40C66FF867C}">
                  <a14:compatExt spid="_x0000_s1178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79</xdr:row>
          <xdr:rowOff>31750</xdr:rowOff>
        </xdr:from>
        <xdr:to>
          <xdr:col>1</xdr:col>
          <xdr:colOff>984250</xdr:colOff>
          <xdr:row>79</xdr:row>
          <xdr:rowOff>184150</xdr:rowOff>
        </xdr:to>
        <xdr:sp macro="" textlink="">
          <xdr:nvSpPr>
            <xdr:cNvPr id="117834" name="Option Button 74" hidden="1">
              <a:extLst>
                <a:ext uri="{63B3BB69-23CF-44E3-9099-C40C66FF867C}">
                  <a14:compatExt spid="_x0000_s1178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80</xdr:row>
          <xdr:rowOff>31750</xdr:rowOff>
        </xdr:from>
        <xdr:to>
          <xdr:col>1</xdr:col>
          <xdr:colOff>984250</xdr:colOff>
          <xdr:row>80</xdr:row>
          <xdr:rowOff>184150</xdr:rowOff>
        </xdr:to>
        <xdr:sp macro="" textlink="">
          <xdr:nvSpPr>
            <xdr:cNvPr id="117835" name="Option Button 75" hidden="1">
              <a:extLst>
                <a:ext uri="{63B3BB69-23CF-44E3-9099-C40C66FF867C}">
                  <a14:compatExt spid="_x0000_s1178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81</xdr:row>
          <xdr:rowOff>31750</xdr:rowOff>
        </xdr:from>
        <xdr:to>
          <xdr:col>1</xdr:col>
          <xdr:colOff>984250</xdr:colOff>
          <xdr:row>81</xdr:row>
          <xdr:rowOff>184150</xdr:rowOff>
        </xdr:to>
        <xdr:sp macro="" textlink="">
          <xdr:nvSpPr>
            <xdr:cNvPr id="117836" name="Option Button 76" hidden="1">
              <a:extLst>
                <a:ext uri="{63B3BB69-23CF-44E3-9099-C40C66FF867C}">
                  <a14:compatExt spid="_x0000_s1178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82</xdr:row>
          <xdr:rowOff>31750</xdr:rowOff>
        </xdr:from>
        <xdr:to>
          <xdr:col>1</xdr:col>
          <xdr:colOff>984250</xdr:colOff>
          <xdr:row>82</xdr:row>
          <xdr:rowOff>184150</xdr:rowOff>
        </xdr:to>
        <xdr:sp macro="" textlink="">
          <xdr:nvSpPr>
            <xdr:cNvPr id="117837" name="Option Button 77" hidden="1">
              <a:extLst>
                <a:ext uri="{63B3BB69-23CF-44E3-9099-C40C66FF867C}">
                  <a14:compatExt spid="_x0000_s1178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83</xdr:row>
          <xdr:rowOff>31750</xdr:rowOff>
        </xdr:from>
        <xdr:to>
          <xdr:col>1</xdr:col>
          <xdr:colOff>984250</xdr:colOff>
          <xdr:row>83</xdr:row>
          <xdr:rowOff>184150</xdr:rowOff>
        </xdr:to>
        <xdr:sp macro="" textlink="">
          <xdr:nvSpPr>
            <xdr:cNvPr id="117838" name="Option Button 78" hidden="1">
              <a:extLst>
                <a:ext uri="{63B3BB69-23CF-44E3-9099-C40C66FF867C}">
                  <a14:compatExt spid="_x0000_s1178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84</xdr:row>
          <xdr:rowOff>31750</xdr:rowOff>
        </xdr:from>
        <xdr:to>
          <xdr:col>1</xdr:col>
          <xdr:colOff>984250</xdr:colOff>
          <xdr:row>84</xdr:row>
          <xdr:rowOff>184150</xdr:rowOff>
        </xdr:to>
        <xdr:sp macro="" textlink="">
          <xdr:nvSpPr>
            <xdr:cNvPr id="117839" name="Option Button 79" hidden="1">
              <a:extLst>
                <a:ext uri="{63B3BB69-23CF-44E3-9099-C40C66FF867C}">
                  <a14:compatExt spid="_x0000_s1178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85</xdr:row>
          <xdr:rowOff>31750</xdr:rowOff>
        </xdr:from>
        <xdr:to>
          <xdr:col>1</xdr:col>
          <xdr:colOff>984250</xdr:colOff>
          <xdr:row>85</xdr:row>
          <xdr:rowOff>184150</xdr:rowOff>
        </xdr:to>
        <xdr:sp macro="" textlink="">
          <xdr:nvSpPr>
            <xdr:cNvPr id="117840" name="Option Button 80" hidden="1">
              <a:extLst>
                <a:ext uri="{63B3BB69-23CF-44E3-9099-C40C66FF867C}">
                  <a14:compatExt spid="_x0000_s1178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86</xdr:row>
          <xdr:rowOff>31750</xdr:rowOff>
        </xdr:from>
        <xdr:to>
          <xdr:col>1</xdr:col>
          <xdr:colOff>984250</xdr:colOff>
          <xdr:row>86</xdr:row>
          <xdr:rowOff>184150</xdr:rowOff>
        </xdr:to>
        <xdr:sp macro="" textlink="">
          <xdr:nvSpPr>
            <xdr:cNvPr id="117841" name="Option Button 81" hidden="1">
              <a:extLst>
                <a:ext uri="{63B3BB69-23CF-44E3-9099-C40C66FF867C}">
                  <a14:compatExt spid="_x0000_s1178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87</xdr:row>
          <xdr:rowOff>31750</xdr:rowOff>
        </xdr:from>
        <xdr:to>
          <xdr:col>1</xdr:col>
          <xdr:colOff>984250</xdr:colOff>
          <xdr:row>87</xdr:row>
          <xdr:rowOff>184150</xdr:rowOff>
        </xdr:to>
        <xdr:sp macro="" textlink="">
          <xdr:nvSpPr>
            <xdr:cNvPr id="117842" name="Option Button 82" hidden="1">
              <a:extLst>
                <a:ext uri="{63B3BB69-23CF-44E3-9099-C40C66FF867C}">
                  <a14:compatExt spid="_x0000_s1178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88</xdr:row>
          <xdr:rowOff>31750</xdr:rowOff>
        </xdr:from>
        <xdr:to>
          <xdr:col>1</xdr:col>
          <xdr:colOff>984250</xdr:colOff>
          <xdr:row>88</xdr:row>
          <xdr:rowOff>184150</xdr:rowOff>
        </xdr:to>
        <xdr:sp macro="" textlink="">
          <xdr:nvSpPr>
            <xdr:cNvPr id="117843" name="Option Button 83" hidden="1">
              <a:extLst>
                <a:ext uri="{63B3BB69-23CF-44E3-9099-C40C66FF867C}">
                  <a14:compatExt spid="_x0000_s1178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89</xdr:row>
          <xdr:rowOff>31750</xdr:rowOff>
        </xdr:from>
        <xdr:to>
          <xdr:col>1</xdr:col>
          <xdr:colOff>984250</xdr:colOff>
          <xdr:row>89</xdr:row>
          <xdr:rowOff>184150</xdr:rowOff>
        </xdr:to>
        <xdr:sp macro="" textlink="">
          <xdr:nvSpPr>
            <xdr:cNvPr id="117844" name="Option Button 84" hidden="1">
              <a:extLst>
                <a:ext uri="{63B3BB69-23CF-44E3-9099-C40C66FF867C}">
                  <a14:compatExt spid="_x0000_s1178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90</xdr:row>
          <xdr:rowOff>31750</xdr:rowOff>
        </xdr:from>
        <xdr:to>
          <xdr:col>1</xdr:col>
          <xdr:colOff>984250</xdr:colOff>
          <xdr:row>90</xdr:row>
          <xdr:rowOff>184150</xdr:rowOff>
        </xdr:to>
        <xdr:sp macro="" textlink="">
          <xdr:nvSpPr>
            <xdr:cNvPr id="117845" name="Option Button 85" hidden="1">
              <a:extLst>
                <a:ext uri="{63B3BB69-23CF-44E3-9099-C40C66FF867C}">
                  <a14:compatExt spid="_x0000_s1178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91</xdr:row>
          <xdr:rowOff>31750</xdr:rowOff>
        </xdr:from>
        <xdr:to>
          <xdr:col>1</xdr:col>
          <xdr:colOff>984250</xdr:colOff>
          <xdr:row>91</xdr:row>
          <xdr:rowOff>184150</xdr:rowOff>
        </xdr:to>
        <xdr:sp macro="" textlink="">
          <xdr:nvSpPr>
            <xdr:cNvPr id="117846" name="Option Button 86" hidden="1">
              <a:extLst>
                <a:ext uri="{63B3BB69-23CF-44E3-9099-C40C66FF867C}">
                  <a14:compatExt spid="_x0000_s1178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92</xdr:row>
          <xdr:rowOff>31750</xdr:rowOff>
        </xdr:from>
        <xdr:to>
          <xdr:col>1</xdr:col>
          <xdr:colOff>984250</xdr:colOff>
          <xdr:row>92</xdr:row>
          <xdr:rowOff>184150</xdr:rowOff>
        </xdr:to>
        <xdr:sp macro="" textlink="">
          <xdr:nvSpPr>
            <xdr:cNvPr id="117847" name="Option Button 87" hidden="1">
              <a:extLst>
                <a:ext uri="{63B3BB69-23CF-44E3-9099-C40C66FF867C}">
                  <a14:compatExt spid="_x0000_s1178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93</xdr:row>
          <xdr:rowOff>31750</xdr:rowOff>
        </xdr:from>
        <xdr:to>
          <xdr:col>1</xdr:col>
          <xdr:colOff>984250</xdr:colOff>
          <xdr:row>93</xdr:row>
          <xdr:rowOff>184150</xdr:rowOff>
        </xdr:to>
        <xdr:sp macro="" textlink="">
          <xdr:nvSpPr>
            <xdr:cNvPr id="117848" name="Option Button 88" hidden="1">
              <a:extLst>
                <a:ext uri="{63B3BB69-23CF-44E3-9099-C40C66FF867C}">
                  <a14:compatExt spid="_x0000_s1178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94</xdr:row>
          <xdr:rowOff>31750</xdr:rowOff>
        </xdr:from>
        <xdr:to>
          <xdr:col>1</xdr:col>
          <xdr:colOff>984250</xdr:colOff>
          <xdr:row>94</xdr:row>
          <xdr:rowOff>184150</xdr:rowOff>
        </xdr:to>
        <xdr:sp macro="" textlink="">
          <xdr:nvSpPr>
            <xdr:cNvPr id="117849" name="Option Button 89" hidden="1">
              <a:extLst>
                <a:ext uri="{63B3BB69-23CF-44E3-9099-C40C66FF867C}">
                  <a14:compatExt spid="_x0000_s1178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95</xdr:row>
          <xdr:rowOff>31750</xdr:rowOff>
        </xdr:from>
        <xdr:to>
          <xdr:col>1</xdr:col>
          <xdr:colOff>984250</xdr:colOff>
          <xdr:row>95</xdr:row>
          <xdr:rowOff>184150</xdr:rowOff>
        </xdr:to>
        <xdr:sp macro="" textlink="">
          <xdr:nvSpPr>
            <xdr:cNvPr id="117850" name="Option Button 90" hidden="1">
              <a:extLst>
                <a:ext uri="{63B3BB69-23CF-44E3-9099-C40C66FF867C}">
                  <a14:compatExt spid="_x0000_s117850"/>
                </a:ext>
              </a:extLst>
            </xdr:cNvPr>
            <xdr:cNvSpPr/>
          </xdr:nvSpPr>
          <xdr:spPr>
            <a:xfrm>
              <a:off x="0" y="0"/>
              <a:ext cx="0" cy="0"/>
            </a:xfrm>
            <a:prstGeom prst="rect">
              <a:avLst/>
            </a:prstGeom>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438150</xdr:colOff>
          <xdr:row>6</xdr:row>
          <xdr:rowOff>12700</xdr:rowOff>
        </xdr:from>
        <xdr:to>
          <xdr:col>1</xdr:col>
          <xdr:colOff>914400</xdr:colOff>
          <xdr:row>6</xdr:row>
          <xdr:rowOff>203200</xdr:rowOff>
        </xdr:to>
        <xdr:sp macro="" textlink="">
          <xdr:nvSpPr>
            <xdr:cNvPr id="51202" name="Option Button 2" hidden="1">
              <a:extLst>
                <a:ext uri="{63B3BB69-23CF-44E3-9099-C40C66FF867C}">
                  <a14:compatExt spid="_x0000_s51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xdr:row>
          <xdr:rowOff>12700</xdr:rowOff>
        </xdr:from>
        <xdr:to>
          <xdr:col>1</xdr:col>
          <xdr:colOff>914400</xdr:colOff>
          <xdr:row>7</xdr:row>
          <xdr:rowOff>203200</xdr:rowOff>
        </xdr:to>
        <xdr:sp macro="" textlink="">
          <xdr:nvSpPr>
            <xdr:cNvPr id="51203" name="Option Button 3" hidden="1">
              <a:extLst>
                <a:ext uri="{63B3BB69-23CF-44E3-9099-C40C66FF867C}">
                  <a14:compatExt spid="_x0000_s51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xdr:row>
          <xdr:rowOff>12700</xdr:rowOff>
        </xdr:from>
        <xdr:to>
          <xdr:col>1</xdr:col>
          <xdr:colOff>914400</xdr:colOff>
          <xdr:row>8</xdr:row>
          <xdr:rowOff>203200</xdr:rowOff>
        </xdr:to>
        <xdr:sp macro="" textlink="">
          <xdr:nvSpPr>
            <xdr:cNvPr id="51204" name="Option Button 4" hidden="1">
              <a:extLst>
                <a:ext uri="{63B3BB69-23CF-44E3-9099-C40C66FF867C}">
                  <a14:compatExt spid="_x0000_s51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xdr:row>
          <xdr:rowOff>12700</xdr:rowOff>
        </xdr:from>
        <xdr:to>
          <xdr:col>1</xdr:col>
          <xdr:colOff>914400</xdr:colOff>
          <xdr:row>9</xdr:row>
          <xdr:rowOff>203200</xdr:rowOff>
        </xdr:to>
        <xdr:sp macro="" textlink="">
          <xdr:nvSpPr>
            <xdr:cNvPr id="51205" name="Option Button 5" hidden="1">
              <a:extLst>
                <a:ext uri="{63B3BB69-23CF-44E3-9099-C40C66FF867C}">
                  <a14:compatExt spid="_x0000_s51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xdr:row>
          <xdr:rowOff>12700</xdr:rowOff>
        </xdr:from>
        <xdr:to>
          <xdr:col>1</xdr:col>
          <xdr:colOff>914400</xdr:colOff>
          <xdr:row>10</xdr:row>
          <xdr:rowOff>203200</xdr:rowOff>
        </xdr:to>
        <xdr:sp macro="" textlink="">
          <xdr:nvSpPr>
            <xdr:cNvPr id="51206" name="Option Button 6" hidden="1">
              <a:extLst>
                <a:ext uri="{63B3BB69-23CF-44E3-9099-C40C66FF867C}">
                  <a14:compatExt spid="_x0000_s51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xdr:row>
          <xdr:rowOff>12700</xdr:rowOff>
        </xdr:from>
        <xdr:to>
          <xdr:col>1</xdr:col>
          <xdr:colOff>914400</xdr:colOff>
          <xdr:row>11</xdr:row>
          <xdr:rowOff>203200</xdr:rowOff>
        </xdr:to>
        <xdr:sp macro="" textlink="">
          <xdr:nvSpPr>
            <xdr:cNvPr id="51207" name="Option Button 7" hidden="1">
              <a:extLst>
                <a:ext uri="{63B3BB69-23CF-44E3-9099-C40C66FF867C}">
                  <a14:compatExt spid="_x0000_s51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12</xdr:row>
          <xdr:rowOff>12700</xdr:rowOff>
        </xdr:from>
        <xdr:to>
          <xdr:col>1</xdr:col>
          <xdr:colOff>914400</xdr:colOff>
          <xdr:row>12</xdr:row>
          <xdr:rowOff>203200</xdr:rowOff>
        </xdr:to>
        <xdr:sp macro="" textlink="">
          <xdr:nvSpPr>
            <xdr:cNvPr id="51208" name="Option Button 8" hidden="1">
              <a:extLst>
                <a:ext uri="{63B3BB69-23CF-44E3-9099-C40C66FF867C}">
                  <a14:compatExt spid="_x0000_s51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13</xdr:row>
          <xdr:rowOff>12700</xdr:rowOff>
        </xdr:from>
        <xdr:to>
          <xdr:col>1</xdr:col>
          <xdr:colOff>914400</xdr:colOff>
          <xdr:row>13</xdr:row>
          <xdr:rowOff>203200</xdr:rowOff>
        </xdr:to>
        <xdr:sp macro="" textlink="">
          <xdr:nvSpPr>
            <xdr:cNvPr id="51209" name="Option Button 9" hidden="1">
              <a:extLst>
                <a:ext uri="{63B3BB69-23CF-44E3-9099-C40C66FF867C}">
                  <a14:compatExt spid="_x0000_s51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14</xdr:row>
          <xdr:rowOff>12700</xdr:rowOff>
        </xdr:from>
        <xdr:to>
          <xdr:col>1</xdr:col>
          <xdr:colOff>914400</xdr:colOff>
          <xdr:row>14</xdr:row>
          <xdr:rowOff>209550</xdr:rowOff>
        </xdr:to>
        <xdr:sp macro="" textlink="">
          <xdr:nvSpPr>
            <xdr:cNvPr id="51210" name="Option Button 10" hidden="1">
              <a:extLst>
                <a:ext uri="{63B3BB69-23CF-44E3-9099-C40C66FF867C}">
                  <a14:compatExt spid="_x0000_s51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15</xdr:row>
          <xdr:rowOff>12700</xdr:rowOff>
        </xdr:from>
        <xdr:to>
          <xdr:col>1</xdr:col>
          <xdr:colOff>914400</xdr:colOff>
          <xdr:row>15</xdr:row>
          <xdr:rowOff>209550</xdr:rowOff>
        </xdr:to>
        <xdr:sp macro="" textlink="">
          <xdr:nvSpPr>
            <xdr:cNvPr id="51211" name="Option Button 11" hidden="1">
              <a:extLst>
                <a:ext uri="{63B3BB69-23CF-44E3-9099-C40C66FF867C}">
                  <a14:compatExt spid="_x0000_s51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16</xdr:row>
          <xdr:rowOff>12700</xdr:rowOff>
        </xdr:from>
        <xdr:to>
          <xdr:col>1</xdr:col>
          <xdr:colOff>914400</xdr:colOff>
          <xdr:row>16</xdr:row>
          <xdr:rowOff>203200</xdr:rowOff>
        </xdr:to>
        <xdr:sp macro="" textlink="">
          <xdr:nvSpPr>
            <xdr:cNvPr id="51212" name="Option Button 12" hidden="1">
              <a:extLst>
                <a:ext uri="{63B3BB69-23CF-44E3-9099-C40C66FF867C}">
                  <a14:compatExt spid="_x0000_s51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17</xdr:row>
          <xdr:rowOff>12700</xdr:rowOff>
        </xdr:from>
        <xdr:to>
          <xdr:col>1</xdr:col>
          <xdr:colOff>914400</xdr:colOff>
          <xdr:row>17</xdr:row>
          <xdr:rowOff>203200</xdr:rowOff>
        </xdr:to>
        <xdr:sp macro="" textlink="">
          <xdr:nvSpPr>
            <xdr:cNvPr id="51213" name="Option Button 13" hidden="1">
              <a:extLst>
                <a:ext uri="{63B3BB69-23CF-44E3-9099-C40C66FF867C}">
                  <a14:compatExt spid="_x0000_s51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18</xdr:row>
          <xdr:rowOff>12700</xdr:rowOff>
        </xdr:from>
        <xdr:to>
          <xdr:col>1</xdr:col>
          <xdr:colOff>914400</xdr:colOff>
          <xdr:row>18</xdr:row>
          <xdr:rowOff>203200</xdr:rowOff>
        </xdr:to>
        <xdr:sp macro="" textlink="">
          <xdr:nvSpPr>
            <xdr:cNvPr id="51214" name="Option Button 14" hidden="1">
              <a:extLst>
                <a:ext uri="{63B3BB69-23CF-44E3-9099-C40C66FF867C}">
                  <a14:compatExt spid="_x0000_s512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19</xdr:row>
          <xdr:rowOff>12700</xdr:rowOff>
        </xdr:from>
        <xdr:to>
          <xdr:col>1</xdr:col>
          <xdr:colOff>914400</xdr:colOff>
          <xdr:row>19</xdr:row>
          <xdr:rowOff>203200</xdr:rowOff>
        </xdr:to>
        <xdr:sp macro="" textlink="">
          <xdr:nvSpPr>
            <xdr:cNvPr id="51215" name="Option Button 15" hidden="1">
              <a:extLst>
                <a:ext uri="{63B3BB69-23CF-44E3-9099-C40C66FF867C}">
                  <a14:compatExt spid="_x0000_s51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20</xdr:row>
          <xdr:rowOff>12700</xdr:rowOff>
        </xdr:from>
        <xdr:to>
          <xdr:col>1</xdr:col>
          <xdr:colOff>914400</xdr:colOff>
          <xdr:row>20</xdr:row>
          <xdr:rowOff>203200</xdr:rowOff>
        </xdr:to>
        <xdr:sp macro="" textlink="">
          <xdr:nvSpPr>
            <xdr:cNvPr id="51216" name="Option Button 16" hidden="1">
              <a:extLst>
                <a:ext uri="{63B3BB69-23CF-44E3-9099-C40C66FF867C}">
                  <a14:compatExt spid="_x0000_s51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21</xdr:row>
          <xdr:rowOff>12700</xdr:rowOff>
        </xdr:from>
        <xdr:to>
          <xdr:col>1</xdr:col>
          <xdr:colOff>914400</xdr:colOff>
          <xdr:row>21</xdr:row>
          <xdr:rowOff>203200</xdr:rowOff>
        </xdr:to>
        <xdr:sp macro="" textlink="">
          <xdr:nvSpPr>
            <xdr:cNvPr id="51217" name="Option Button 17" hidden="1">
              <a:extLst>
                <a:ext uri="{63B3BB69-23CF-44E3-9099-C40C66FF867C}">
                  <a14:compatExt spid="_x0000_s51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22</xdr:row>
          <xdr:rowOff>12700</xdr:rowOff>
        </xdr:from>
        <xdr:to>
          <xdr:col>1</xdr:col>
          <xdr:colOff>914400</xdr:colOff>
          <xdr:row>22</xdr:row>
          <xdr:rowOff>203200</xdr:rowOff>
        </xdr:to>
        <xdr:sp macro="" textlink="">
          <xdr:nvSpPr>
            <xdr:cNvPr id="51218" name="Option Button 18" hidden="1">
              <a:extLst>
                <a:ext uri="{63B3BB69-23CF-44E3-9099-C40C66FF867C}">
                  <a14:compatExt spid="_x0000_s51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23</xdr:row>
          <xdr:rowOff>12700</xdr:rowOff>
        </xdr:from>
        <xdr:to>
          <xdr:col>1</xdr:col>
          <xdr:colOff>914400</xdr:colOff>
          <xdr:row>23</xdr:row>
          <xdr:rowOff>203200</xdr:rowOff>
        </xdr:to>
        <xdr:sp macro="" textlink="">
          <xdr:nvSpPr>
            <xdr:cNvPr id="51219" name="Option Button 19" hidden="1">
              <a:extLst>
                <a:ext uri="{63B3BB69-23CF-44E3-9099-C40C66FF867C}">
                  <a14:compatExt spid="_x0000_s51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24</xdr:row>
          <xdr:rowOff>12700</xdr:rowOff>
        </xdr:from>
        <xdr:to>
          <xdr:col>1</xdr:col>
          <xdr:colOff>914400</xdr:colOff>
          <xdr:row>24</xdr:row>
          <xdr:rowOff>203200</xdr:rowOff>
        </xdr:to>
        <xdr:sp macro="" textlink="">
          <xdr:nvSpPr>
            <xdr:cNvPr id="51220" name="Option Button 20" hidden="1">
              <a:extLst>
                <a:ext uri="{63B3BB69-23CF-44E3-9099-C40C66FF867C}">
                  <a14:compatExt spid="_x0000_s51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25</xdr:row>
          <xdr:rowOff>12700</xdr:rowOff>
        </xdr:from>
        <xdr:to>
          <xdr:col>1</xdr:col>
          <xdr:colOff>914400</xdr:colOff>
          <xdr:row>25</xdr:row>
          <xdr:rowOff>203200</xdr:rowOff>
        </xdr:to>
        <xdr:sp macro="" textlink="">
          <xdr:nvSpPr>
            <xdr:cNvPr id="51221" name="Option Button 21" hidden="1">
              <a:extLst>
                <a:ext uri="{63B3BB69-23CF-44E3-9099-C40C66FF867C}">
                  <a14:compatExt spid="_x0000_s51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26</xdr:row>
          <xdr:rowOff>12700</xdr:rowOff>
        </xdr:from>
        <xdr:to>
          <xdr:col>1</xdr:col>
          <xdr:colOff>914400</xdr:colOff>
          <xdr:row>26</xdr:row>
          <xdr:rowOff>203200</xdr:rowOff>
        </xdr:to>
        <xdr:sp macro="" textlink="">
          <xdr:nvSpPr>
            <xdr:cNvPr id="51222" name="Option Button 22" hidden="1">
              <a:extLst>
                <a:ext uri="{63B3BB69-23CF-44E3-9099-C40C66FF867C}">
                  <a14:compatExt spid="_x0000_s51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27</xdr:row>
          <xdr:rowOff>12700</xdr:rowOff>
        </xdr:from>
        <xdr:to>
          <xdr:col>1</xdr:col>
          <xdr:colOff>914400</xdr:colOff>
          <xdr:row>27</xdr:row>
          <xdr:rowOff>203200</xdr:rowOff>
        </xdr:to>
        <xdr:sp macro="" textlink="">
          <xdr:nvSpPr>
            <xdr:cNvPr id="51223" name="Option Button 23" hidden="1">
              <a:extLst>
                <a:ext uri="{63B3BB69-23CF-44E3-9099-C40C66FF867C}">
                  <a14:compatExt spid="_x0000_s51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28</xdr:row>
          <xdr:rowOff>12700</xdr:rowOff>
        </xdr:from>
        <xdr:to>
          <xdr:col>1</xdr:col>
          <xdr:colOff>914400</xdr:colOff>
          <xdr:row>28</xdr:row>
          <xdr:rowOff>203200</xdr:rowOff>
        </xdr:to>
        <xdr:sp macro="" textlink="">
          <xdr:nvSpPr>
            <xdr:cNvPr id="51224" name="Option Button 24" hidden="1">
              <a:extLst>
                <a:ext uri="{63B3BB69-23CF-44E3-9099-C40C66FF867C}">
                  <a14:compatExt spid="_x0000_s512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29</xdr:row>
          <xdr:rowOff>12700</xdr:rowOff>
        </xdr:from>
        <xdr:to>
          <xdr:col>1</xdr:col>
          <xdr:colOff>914400</xdr:colOff>
          <xdr:row>29</xdr:row>
          <xdr:rowOff>203200</xdr:rowOff>
        </xdr:to>
        <xdr:sp macro="" textlink="">
          <xdr:nvSpPr>
            <xdr:cNvPr id="51225" name="Option Button 25" hidden="1">
              <a:extLst>
                <a:ext uri="{63B3BB69-23CF-44E3-9099-C40C66FF867C}">
                  <a14:compatExt spid="_x0000_s51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30</xdr:row>
          <xdr:rowOff>12700</xdr:rowOff>
        </xdr:from>
        <xdr:to>
          <xdr:col>1</xdr:col>
          <xdr:colOff>914400</xdr:colOff>
          <xdr:row>30</xdr:row>
          <xdr:rowOff>203200</xdr:rowOff>
        </xdr:to>
        <xdr:sp macro="" textlink="">
          <xdr:nvSpPr>
            <xdr:cNvPr id="51226" name="Option Button 26" hidden="1">
              <a:extLst>
                <a:ext uri="{63B3BB69-23CF-44E3-9099-C40C66FF867C}">
                  <a14:compatExt spid="_x0000_s51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31</xdr:row>
          <xdr:rowOff>12700</xdr:rowOff>
        </xdr:from>
        <xdr:to>
          <xdr:col>1</xdr:col>
          <xdr:colOff>914400</xdr:colOff>
          <xdr:row>31</xdr:row>
          <xdr:rowOff>203200</xdr:rowOff>
        </xdr:to>
        <xdr:sp macro="" textlink="">
          <xdr:nvSpPr>
            <xdr:cNvPr id="51227" name="Option Button 27" hidden="1">
              <a:extLst>
                <a:ext uri="{63B3BB69-23CF-44E3-9099-C40C66FF867C}">
                  <a14:compatExt spid="_x0000_s51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32</xdr:row>
          <xdr:rowOff>12700</xdr:rowOff>
        </xdr:from>
        <xdr:to>
          <xdr:col>1</xdr:col>
          <xdr:colOff>914400</xdr:colOff>
          <xdr:row>32</xdr:row>
          <xdr:rowOff>203200</xdr:rowOff>
        </xdr:to>
        <xdr:sp macro="" textlink="">
          <xdr:nvSpPr>
            <xdr:cNvPr id="51228" name="Option Button 28" hidden="1">
              <a:extLst>
                <a:ext uri="{63B3BB69-23CF-44E3-9099-C40C66FF867C}">
                  <a14:compatExt spid="_x0000_s512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33</xdr:row>
          <xdr:rowOff>12700</xdr:rowOff>
        </xdr:from>
        <xdr:to>
          <xdr:col>1</xdr:col>
          <xdr:colOff>914400</xdr:colOff>
          <xdr:row>33</xdr:row>
          <xdr:rowOff>203200</xdr:rowOff>
        </xdr:to>
        <xdr:sp macro="" textlink="">
          <xdr:nvSpPr>
            <xdr:cNvPr id="51229" name="Option Button 29" hidden="1">
              <a:extLst>
                <a:ext uri="{63B3BB69-23CF-44E3-9099-C40C66FF867C}">
                  <a14:compatExt spid="_x0000_s512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34</xdr:row>
          <xdr:rowOff>12700</xdr:rowOff>
        </xdr:from>
        <xdr:to>
          <xdr:col>1</xdr:col>
          <xdr:colOff>914400</xdr:colOff>
          <xdr:row>34</xdr:row>
          <xdr:rowOff>203200</xdr:rowOff>
        </xdr:to>
        <xdr:sp macro="" textlink="">
          <xdr:nvSpPr>
            <xdr:cNvPr id="51230" name="Option Button 30" hidden="1">
              <a:extLst>
                <a:ext uri="{63B3BB69-23CF-44E3-9099-C40C66FF867C}">
                  <a14:compatExt spid="_x0000_s512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35</xdr:row>
          <xdr:rowOff>12700</xdr:rowOff>
        </xdr:from>
        <xdr:to>
          <xdr:col>1</xdr:col>
          <xdr:colOff>914400</xdr:colOff>
          <xdr:row>35</xdr:row>
          <xdr:rowOff>203200</xdr:rowOff>
        </xdr:to>
        <xdr:sp macro="" textlink="">
          <xdr:nvSpPr>
            <xdr:cNvPr id="51231" name="Option Button 31" hidden="1">
              <a:extLst>
                <a:ext uri="{63B3BB69-23CF-44E3-9099-C40C66FF867C}">
                  <a14:compatExt spid="_x0000_s51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36</xdr:row>
          <xdr:rowOff>12700</xdr:rowOff>
        </xdr:from>
        <xdr:to>
          <xdr:col>1</xdr:col>
          <xdr:colOff>914400</xdr:colOff>
          <xdr:row>36</xdr:row>
          <xdr:rowOff>203200</xdr:rowOff>
        </xdr:to>
        <xdr:sp macro="" textlink="">
          <xdr:nvSpPr>
            <xdr:cNvPr id="51232" name="Option Button 32" hidden="1">
              <a:extLst>
                <a:ext uri="{63B3BB69-23CF-44E3-9099-C40C66FF867C}">
                  <a14:compatExt spid="_x0000_s51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37</xdr:row>
          <xdr:rowOff>12700</xdr:rowOff>
        </xdr:from>
        <xdr:to>
          <xdr:col>1</xdr:col>
          <xdr:colOff>914400</xdr:colOff>
          <xdr:row>37</xdr:row>
          <xdr:rowOff>203200</xdr:rowOff>
        </xdr:to>
        <xdr:sp macro="" textlink="">
          <xdr:nvSpPr>
            <xdr:cNvPr id="51233" name="Option Button 33" hidden="1">
              <a:extLst>
                <a:ext uri="{63B3BB69-23CF-44E3-9099-C40C66FF867C}">
                  <a14:compatExt spid="_x0000_s51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38</xdr:row>
          <xdr:rowOff>12700</xdr:rowOff>
        </xdr:from>
        <xdr:to>
          <xdr:col>1</xdr:col>
          <xdr:colOff>914400</xdr:colOff>
          <xdr:row>38</xdr:row>
          <xdr:rowOff>203200</xdr:rowOff>
        </xdr:to>
        <xdr:sp macro="" textlink="">
          <xdr:nvSpPr>
            <xdr:cNvPr id="51234" name="Option Button 34" hidden="1">
              <a:extLst>
                <a:ext uri="{63B3BB69-23CF-44E3-9099-C40C66FF867C}">
                  <a14:compatExt spid="_x0000_s512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39</xdr:row>
          <xdr:rowOff>12700</xdr:rowOff>
        </xdr:from>
        <xdr:to>
          <xdr:col>1</xdr:col>
          <xdr:colOff>914400</xdr:colOff>
          <xdr:row>39</xdr:row>
          <xdr:rowOff>203200</xdr:rowOff>
        </xdr:to>
        <xdr:sp macro="" textlink="">
          <xdr:nvSpPr>
            <xdr:cNvPr id="51235" name="Option Button 35" hidden="1">
              <a:extLst>
                <a:ext uri="{63B3BB69-23CF-44E3-9099-C40C66FF867C}">
                  <a14:compatExt spid="_x0000_s512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40</xdr:row>
          <xdr:rowOff>12700</xdr:rowOff>
        </xdr:from>
        <xdr:to>
          <xdr:col>1</xdr:col>
          <xdr:colOff>914400</xdr:colOff>
          <xdr:row>40</xdr:row>
          <xdr:rowOff>203200</xdr:rowOff>
        </xdr:to>
        <xdr:sp macro="" textlink="">
          <xdr:nvSpPr>
            <xdr:cNvPr id="51236" name="Option Button 36" hidden="1">
              <a:extLst>
                <a:ext uri="{63B3BB69-23CF-44E3-9099-C40C66FF867C}">
                  <a14:compatExt spid="_x0000_s51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41</xdr:row>
          <xdr:rowOff>12700</xdr:rowOff>
        </xdr:from>
        <xdr:to>
          <xdr:col>1</xdr:col>
          <xdr:colOff>914400</xdr:colOff>
          <xdr:row>41</xdr:row>
          <xdr:rowOff>203200</xdr:rowOff>
        </xdr:to>
        <xdr:sp macro="" textlink="">
          <xdr:nvSpPr>
            <xdr:cNvPr id="51237" name="Option Button 37" hidden="1">
              <a:extLst>
                <a:ext uri="{63B3BB69-23CF-44E3-9099-C40C66FF867C}">
                  <a14:compatExt spid="_x0000_s51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42</xdr:row>
          <xdr:rowOff>12700</xdr:rowOff>
        </xdr:from>
        <xdr:to>
          <xdr:col>1</xdr:col>
          <xdr:colOff>914400</xdr:colOff>
          <xdr:row>42</xdr:row>
          <xdr:rowOff>203200</xdr:rowOff>
        </xdr:to>
        <xdr:sp macro="" textlink="">
          <xdr:nvSpPr>
            <xdr:cNvPr id="51238" name="Option Button 38" hidden="1">
              <a:extLst>
                <a:ext uri="{63B3BB69-23CF-44E3-9099-C40C66FF867C}">
                  <a14:compatExt spid="_x0000_s512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43</xdr:row>
          <xdr:rowOff>12700</xdr:rowOff>
        </xdr:from>
        <xdr:to>
          <xdr:col>1</xdr:col>
          <xdr:colOff>914400</xdr:colOff>
          <xdr:row>43</xdr:row>
          <xdr:rowOff>203200</xdr:rowOff>
        </xdr:to>
        <xdr:sp macro="" textlink="">
          <xdr:nvSpPr>
            <xdr:cNvPr id="51239" name="Option Button 39" hidden="1">
              <a:extLst>
                <a:ext uri="{63B3BB69-23CF-44E3-9099-C40C66FF867C}">
                  <a14:compatExt spid="_x0000_s512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44</xdr:row>
          <xdr:rowOff>12700</xdr:rowOff>
        </xdr:from>
        <xdr:to>
          <xdr:col>1</xdr:col>
          <xdr:colOff>914400</xdr:colOff>
          <xdr:row>44</xdr:row>
          <xdr:rowOff>203200</xdr:rowOff>
        </xdr:to>
        <xdr:sp macro="" textlink="">
          <xdr:nvSpPr>
            <xdr:cNvPr id="51240" name="Option Button 40" hidden="1">
              <a:extLst>
                <a:ext uri="{63B3BB69-23CF-44E3-9099-C40C66FF867C}">
                  <a14:compatExt spid="_x0000_s512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45</xdr:row>
          <xdr:rowOff>12700</xdr:rowOff>
        </xdr:from>
        <xdr:to>
          <xdr:col>1</xdr:col>
          <xdr:colOff>914400</xdr:colOff>
          <xdr:row>45</xdr:row>
          <xdr:rowOff>203200</xdr:rowOff>
        </xdr:to>
        <xdr:sp macro="" textlink="">
          <xdr:nvSpPr>
            <xdr:cNvPr id="51241" name="Option Button 41" hidden="1">
              <a:extLst>
                <a:ext uri="{63B3BB69-23CF-44E3-9099-C40C66FF867C}">
                  <a14:compatExt spid="_x0000_s51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46</xdr:row>
          <xdr:rowOff>12700</xdr:rowOff>
        </xdr:from>
        <xdr:to>
          <xdr:col>1</xdr:col>
          <xdr:colOff>914400</xdr:colOff>
          <xdr:row>46</xdr:row>
          <xdr:rowOff>203200</xdr:rowOff>
        </xdr:to>
        <xdr:sp macro="" textlink="">
          <xdr:nvSpPr>
            <xdr:cNvPr id="51242" name="Option Button 42" hidden="1">
              <a:extLst>
                <a:ext uri="{63B3BB69-23CF-44E3-9099-C40C66FF867C}">
                  <a14:compatExt spid="_x0000_s512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47</xdr:row>
          <xdr:rowOff>12700</xdr:rowOff>
        </xdr:from>
        <xdr:to>
          <xdr:col>1</xdr:col>
          <xdr:colOff>914400</xdr:colOff>
          <xdr:row>47</xdr:row>
          <xdr:rowOff>203200</xdr:rowOff>
        </xdr:to>
        <xdr:sp macro="" textlink="">
          <xdr:nvSpPr>
            <xdr:cNvPr id="51243" name="Option Button 43" hidden="1">
              <a:extLst>
                <a:ext uri="{63B3BB69-23CF-44E3-9099-C40C66FF867C}">
                  <a14:compatExt spid="_x0000_s51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48</xdr:row>
          <xdr:rowOff>12700</xdr:rowOff>
        </xdr:from>
        <xdr:to>
          <xdr:col>1</xdr:col>
          <xdr:colOff>914400</xdr:colOff>
          <xdr:row>48</xdr:row>
          <xdr:rowOff>203200</xdr:rowOff>
        </xdr:to>
        <xdr:sp macro="" textlink="">
          <xdr:nvSpPr>
            <xdr:cNvPr id="51244" name="Option Button 44" hidden="1">
              <a:extLst>
                <a:ext uri="{63B3BB69-23CF-44E3-9099-C40C66FF867C}">
                  <a14:compatExt spid="_x0000_s51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49</xdr:row>
          <xdr:rowOff>12700</xdr:rowOff>
        </xdr:from>
        <xdr:to>
          <xdr:col>1</xdr:col>
          <xdr:colOff>914400</xdr:colOff>
          <xdr:row>49</xdr:row>
          <xdr:rowOff>203200</xdr:rowOff>
        </xdr:to>
        <xdr:sp macro="" textlink="">
          <xdr:nvSpPr>
            <xdr:cNvPr id="51245" name="Option Button 45" hidden="1">
              <a:extLst>
                <a:ext uri="{63B3BB69-23CF-44E3-9099-C40C66FF867C}">
                  <a14:compatExt spid="_x0000_s51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50</xdr:row>
          <xdr:rowOff>12700</xdr:rowOff>
        </xdr:from>
        <xdr:to>
          <xdr:col>1</xdr:col>
          <xdr:colOff>914400</xdr:colOff>
          <xdr:row>50</xdr:row>
          <xdr:rowOff>209550</xdr:rowOff>
        </xdr:to>
        <xdr:sp macro="" textlink="">
          <xdr:nvSpPr>
            <xdr:cNvPr id="51246" name="Option Button 46" hidden="1">
              <a:extLst>
                <a:ext uri="{63B3BB69-23CF-44E3-9099-C40C66FF867C}">
                  <a14:compatExt spid="_x0000_s51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51</xdr:row>
          <xdr:rowOff>12700</xdr:rowOff>
        </xdr:from>
        <xdr:to>
          <xdr:col>1</xdr:col>
          <xdr:colOff>914400</xdr:colOff>
          <xdr:row>51</xdr:row>
          <xdr:rowOff>203200</xdr:rowOff>
        </xdr:to>
        <xdr:sp macro="" textlink="">
          <xdr:nvSpPr>
            <xdr:cNvPr id="51247" name="Option Button 47" hidden="1">
              <a:extLst>
                <a:ext uri="{63B3BB69-23CF-44E3-9099-C40C66FF867C}">
                  <a14:compatExt spid="_x0000_s51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52</xdr:row>
          <xdr:rowOff>12700</xdr:rowOff>
        </xdr:from>
        <xdr:to>
          <xdr:col>1</xdr:col>
          <xdr:colOff>914400</xdr:colOff>
          <xdr:row>52</xdr:row>
          <xdr:rowOff>203200</xdr:rowOff>
        </xdr:to>
        <xdr:sp macro="" textlink="">
          <xdr:nvSpPr>
            <xdr:cNvPr id="51248" name="Option Button 48" hidden="1">
              <a:extLst>
                <a:ext uri="{63B3BB69-23CF-44E3-9099-C40C66FF867C}">
                  <a14:compatExt spid="_x0000_s51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53</xdr:row>
          <xdr:rowOff>12700</xdr:rowOff>
        </xdr:from>
        <xdr:to>
          <xdr:col>1</xdr:col>
          <xdr:colOff>914400</xdr:colOff>
          <xdr:row>53</xdr:row>
          <xdr:rowOff>209550</xdr:rowOff>
        </xdr:to>
        <xdr:sp macro="" textlink="">
          <xdr:nvSpPr>
            <xdr:cNvPr id="51249" name="Option Button 49" hidden="1">
              <a:extLst>
                <a:ext uri="{63B3BB69-23CF-44E3-9099-C40C66FF867C}">
                  <a14:compatExt spid="_x0000_s51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54</xdr:row>
          <xdr:rowOff>12700</xdr:rowOff>
        </xdr:from>
        <xdr:to>
          <xdr:col>1</xdr:col>
          <xdr:colOff>914400</xdr:colOff>
          <xdr:row>54</xdr:row>
          <xdr:rowOff>203200</xdr:rowOff>
        </xdr:to>
        <xdr:sp macro="" textlink="">
          <xdr:nvSpPr>
            <xdr:cNvPr id="51250" name="Option Button 50" hidden="1">
              <a:extLst>
                <a:ext uri="{63B3BB69-23CF-44E3-9099-C40C66FF867C}">
                  <a14:compatExt spid="_x0000_s51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55</xdr:row>
          <xdr:rowOff>12700</xdr:rowOff>
        </xdr:from>
        <xdr:to>
          <xdr:col>1</xdr:col>
          <xdr:colOff>914400</xdr:colOff>
          <xdr:row>55</xdr:row>
          <xdr:rowOff>203200</xdr:rowOff>
        </xdr:to>
        <xdr:sp macro="" textlink="">
          <xdr:nvSpPr>
            <xdr:cNvPr id="51251" name="Option Button 51" hidden="1">
              <a:extLst>
                <a:ext uri="{63B3BB69-23CF-44E3-9099-C40C66FF867C}">
                  <a14:compatExt spid="_x0000_s51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56</xdr:row>
          <xdr:rowOff>12700</xdr:rowOff>
        </xdr:from>
        <xdr:to>
          <xdr:col>1</xdr:col>
          <xdr:colOff>914400</xdr:colOff>
          <xdr:row>56</xdr:row>
          <xdr:rowOff>203200</xdr:rowOff>
        </xdr:to>
        <xdr:sp macro="" textlink="">
          <xdr:nvSpPr>
            <xdr:cNvPr id="51252" name="Option Button 52" hidden="1">
              <a:extLst>
                <a:ext uri="{63B3BB69-23CF-44E3-9099-C40C66FF867C}">
                  <a14:compatExt spid="_x0000_s512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57</xdr:row>
          <xdr:rowOff>12700</xdr:rowOff>
        </xdr:from>
        <xdr:to>
          <xdr:col>1</xdr:col>
          <xdr:colOff>914400</xdr:colOff>
          <xdr:row>57</xdr:row>
          <xdr:rowOff>203200</xdr:rowOff>
        </xdr:to>
        <xdr:sp macro="" textlink="">
          <xdr:nvSpPr>
            <xdr:cNvPr id="51253" name="Option Button 53" hidden="1">
              <a:extLst>
                <a:ext uri="{63B3BB69-23CF-44E3-9099-C40C66FF867C}">
                  <a14:compatExt spid="_x0000_s51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58</xdr:row>
          <xdr:rowOff>12700</xdr:rowOff>
        </xdr:from>
        <xdr:to>
          <xdr:col>1</xdr:col>
          <xdr:colOff>914400</xdr:colOff>
          <xdr:row>58</xdr:row>
          <xdr:rowOff>203200</xdr:rowOff>
        </xdr:to>
        <xdr:sp macro="" textlink="">
          <xdr:nvSpPr>
            <xdr:cNvPr id="51254" name="Option Button 54" hidden="1">
              <a:extLst>
                <a:ext uri="{63B3BB69-23CF-44E3-9099-C40C66FF867C}">
                  <a14:compatExt spid="_x0000_s512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59</xdr:row>
          <xdr:rowOff>12700</xdr:rowOff>
        </xdr:from>
        <xdr:to>
          <xdr:col>1</xdr:col>
          <xdr:colOff>914400</xdr:colOff>
          <xdr:row>59</xdr:row>
          <xdr:rowOff>203200</xdr:rowOff>
        </xdr:to>
        <xdr:sp macro="" textlink="">
          <xdr:nvSpPr>
            <xdr:cNvPr id="51255" name="Option Button 55" hidden="1">
              <a:extLst>
                <a:ext uri="{63B3BB69-23CF-44E3-9099-C40C66FF867C}">
                  <a14:compatExt spid="_x0000_s51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60</xdr:row>
          <xdr:rowOff>12700</xdr:rowOff>
        </xdr:from>
        <xdr:to>
          <xdr:col>1</xdr:col>
          <xdr:colOff>914400</xdr:colOff>
          <xdr:row>60</xdr:row>
          <xdr:rowOff>203200</xdr:rowOff>
        </xdr:to>
        <xdr:sp macro="" textlink="">
          <xdr:nvSpPr>
            <xdr:cNvPr id="51256" name="Option Button 56" hidden="1">
              <a:extLst>
                <a:ext uri="{63B3BB69-23CF-44E3-9099-C40C66FF867C}">
                  <a14:compatExt spid="_x0000_s51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61</xdr:row>
          <xdr:rowOff>12700</xdr:rowOff>
        </xdr:from>
        <xdr:to>
          <xdr:col>1</xdr:col>
          <xdr:colOff>914400</xdr:colOff>
          <xdr:row>61</xdr:row>
          <xdr:rowOff>203200</xdr:rowOff>
        </xdr:to>
        <xdr:sp macro="" textlink="">
          <xdr:nvSpPr>
            <xdr:cNvPr id="51257" name="Option Button 57" hidden="1">
              <a:extLst>
                <a:ext uri="{63B3BB69-23CF-44E3-9099-C40C66FF867C}">
                  <a14:compatExt spid="_x0000_s51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62</xdr:row>
          <xdr:rowOff>12700</xdr:rowOff>
        </xdr:from>
        <xdr:to>
          <xdr:col>1</xdr:col>
          <xdr:colOff>914400</xdr:colOff>
          <xdr:row>62</xdr:row>
          <xdr:rowOff>203200</xdr:rowOff>
        </xdr:to>
        <xdr:sp macro="" textlink="">
          <xdr:nvSpPr>
            <xdr:cNvPr id="51258" name="Option Button 58" hidden="1">
              <a:extLst>
                <a:ext uri="{63B3BB69-23CF-44E3-9099-C40C66FF867C}">
                  <a14:compatExt spid="_x0000_s51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63</xdr:row>
          <xdr:rowOff>12700</xdr:rowOff>
        </xdr:from>
        <xdr:to>
          <xdr:col>1</xdr:col>
          <xdr:colOff>914400</xdr:colOff>
          <xdr:row>63</xdr:row>
          <xdr:rowOff>203200</xdr:rowOff>
        </xdr:to>
        <xdr:sp macro="" textlink="">
          <xdr:nvSpPr>
            <xdr:cNvPr id="51259" name="Option Button 59" hidden="1">
              <a:extLst>
                <a:ext uri="{63B3BB69-23CF-44E3-9099-C40C66FF867C}">
                  <a14:compatExt spid="_x0000_s51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64</xdr:row>
          <xdr:rowOff>12700</xdr:rowOff>
        </xdr:from>
        <xdr:to>
          <xdr:col>1</xdr:col>
          <xdr:colOff>914400</xdr:colOff>
          <xdr:row>64</xdr:row>
          <xdr:rowOff>203200</xdr:rowOff>
        </xdr:to>
        <xdr:sp macro="" textlink="">
          <xdr:nvSpPr>
            <xdr:cNvPr id="51260" name="Option Button 60" hidden="1">
              <a:extLst>
                <a:ext uri="{63B3BB69-23CF-44E3-9099-C40C66FF867C}">
                  <a14:compatExt spid="_x0000_s51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65</xdr:row>
          <xdr:rowOff>12700</xdr:rowOff>
        </xdr:from>
        <xdr:to>
          <xdr:col>1</xdr:col>
          <xdr:colOff>914400</xdr:colOff>
          <xdr:row>65</xdr:row>
          <xdr:rowOff>203200</xdr:rowOff>
        </xdr:to>
        <xdr:sp macro="" textlink="">
          <xdr:nvSpPr>
            <xdr:cNvPr id="51261" name="Option Button 61" hidden="1">
              <a:extLst>
                <a:ext uri="{63B3BB69-23CF-44E3-9099-C40C66FF867C}">
                  <a14:compatExt spid="_x0000_s51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66</xdr:row>
          <xdr:rowOff>12700</xdr:rowOff>
        </xdr:from>
        <xdr:to>
          <xdr:col>1</xdr:col>
          <xdr:colOff>914400</xdr:colOff>
          <xdr:row>66</xdr:row>
          <xdr:rowOff>203200</xdr:rowOff>
        </xdr:to>
        <xdr:sp macro="" textlink="">
          <xdr:nvSpPr>
            <xdr:cNvPr id="51262" name="Option Button 62" hidden="1">
              <a:extLst>
                <a:ext uri="{63B3BB69-23CF-44E3-9099-C40C66FF867C}">
                  <a14:compatExt spid="_x0000_s512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67</xdr:row>
          <xdr:rowOff>12700</xdr:rowOff>
        </xdr:from>
        <xdr:to>
          <xdr:col>1</xdr:col>
          <xdr:colOff>914400</xdr:colOff>
          <xdr:row>67</xdr:row>
          <xdr:rowOff>203200</xdr:rowOff>
        </xdr:to>
        <xdr:sp macro="" textlink="">
          <xdr:nvSpPr>
            <xdr:cNvPr id="51263" name="Option Button 63" hidden="1">
              <a:extLst>
                <a:ext uri="{63B3BB69-23CF-44E3-9099-C40C66FF867C}">
                  <a14:compatExt spid="_x0000_s512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68</xdr:row>
          <xdr:rowOff>12700</xdr:rowOff>
        </xdr:from>
        <xdr:to>
          <xdr:col>1</xdr:col>
          <xdr:colOff>914400</xdr:colOff>
          <xdr:row>68</xdr:row>
          <xdr:rowOff>203200</xdr:rowOff>
        </xdr:to>
        <xdr:sp macro="" textlink="">
          <xdr:nvSpPr>
            <xdr:cNvPr id="51264" name="Option Button 64" hidden="1">
              <a:extLst>
                <a:ext uri="{63B3BB69-23CF-44E3-9099-C40C66FF867C}">
                  <a14:compatExt spid="_x0000_s512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69</xdr:row>
          <xdr:rowOff>12700</xdr:rowOff>
        </xdr:from>
        <xdr:to>
          <xdr:col>1</xdr:col>
          <xdr:colOff>914400</xdr:colOff>
          <xdr:row>69</xdr:row>
          <xdr:rowOff>203200</xdr:rowOff>
        </xdr:to>
        <xdr:sp macro="" textlink="">
          <xdr:nvSpPr>
            <xdr:cNvPr id="51265" name="Option Button 65" hidden="1">
              <a:extLst>
                <a:ext uri="{63B3BB69-23CF-44E3-9099-C40C66FF867C}">
                  <a14:compatExt spid="_x0000_s51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70</xdr:row>
          <xdr:rowOff>12700</xdr:rowOff>
        </xdr:from>
        <xdr:to>
          <xdr:col>1</xdr:col>
          <xdr:colOff>914400</xdr:colOff>
          <xdr:row>70</xdr:row>
          <xdr:rowOff>203200</xdr:rowOff>
        </xdr:to>
        <xdr:sp macro="" textlink="">
          <xdr:nvSpPr>
            <xdr:cNvPr id="51266" name="Option Button 66" hidden="1">
              <a:extLst>
                <a:ext uri="{63B3BB69-23CF-44E3-9099-C40C66FF867C}">
                  <a14:compatExt spid="_x0000_s51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71</xdr:row>
          <xdr:rowOff>12700</xdr:rowOff>
        </xdr:from>
        <xdr:to>
          <xdr:col>1</xdr:col>
          <xdr:colOff>914400</xdr:colOff>
          <xdr:row>71</xdr:row>
          <xdr:rowOff>203200</xdr:rowOff>
        </xdr:to>
        <xdr:sp macro="" textlink="">
          <xdr:nvSpPr>
            <xdr:cNvPr id="51267" name="Option Button 67" hidden="1">
              <a:extLst>
                <a:ext uri="{63B3BB69-23CF-44E3-9099-C40C66FF867C}">
                  <a14:compatExt spid="_x0000_s512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72</xdr:row>
          <xdr:rowOff>12700</xdr:rowOff>
        </xdr:from>
        <xdr:to>
          <xdr:col>1</xdr:col>
          <xdr:colOff>914400</xdr:colOff>
          <xdr:row>72</xdr:row>
          <xdr:rowOff>203200</xdr:rowOff>
        </xdr:to>
        <xdr:sp macro="" textlink="">
          <xdr:nvSpPr>
            <xdr:cNvPr id="51268" name="Option Button 68" hidden="1">
              <a:extLst>
                <a:ext uri="{63B3BB69-23CF-44E3-9099-C40C66FF867C}">
                  <a14:compatExt spid="_x0000_s512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73</xdr:row>
          <xdr:rowOff>12700</xdr:rowOff>
        </xdr:from>
        <xdr:to>
          <xdr:col>1</xdr:col>
          <xdr:colOff>914400</xdr:colOff>
          <xdr:row>73</xdr:row>
          <xdr:rowOff>203200</xdr:rowOff>
        </xdr:to>
        <xdr:sp macro="" textlink="">
          <xdr:nvSpPr>
            <xdr:cNvPr id="51269" name="Option Button 69" hidden="1">
              <a:extLst>
                <a:ext uri="{63B3BB69-23CF-44E3-9099-C40C66FF867C}">
                  <a14:compatExt spid="_x0000_s512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74</xdr:row>
          <xdr:rowOff>12700</xdr:rowOff>
        </xdr:from>
        <xdr:to>
          <xdr:col>1</xdr:col>
          <xdr:colOff>914400</xdr:colOff>
          <xdr:row>74</xdr:row>
          <xdr:rowOff>203200</xdr:rowOff>
        </xdr:to>
        <xdr:sp macro="" textlink="">
          <xdr:nvSpPr>
            <xdr:cNvPr id="51270" name="Option Button 70" hidden="1">
              <a:extLst>
                <a:ext uri="{63B3BB69-23CF-44E3-9099-C40C66FF867C}">
                  <a14:compatExt spid="_x0000_s512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75</xdr:row>
          <xdr:rowOff>12700</xdr:rowOff>
        </xdr:from>
        <xdr:to>
          <xdr:col>1</xdr:col>
          <xdr:colOff>914400</xdr:colOff>
          <xdr:row>75</xdr:row>
          <xdr:rowOff>203200</xdr:rowOff>
        </xdr:to>
        <xdr:sp macro="" textlink="">
          <xdr:nvSpPr>
            <xdr:cNvPr id="51271" name="Option Button 71" hidden="1">
              <a:extLst>
                <a:ext uri="{63B3BB69-23CF-44E3-9099-C40C66FF867C}">
                  <a14:compatExt spid="_x0000_s51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76</xdr:row>
          <xdr:rowOff>12700</xdr:rowOff>
        </xdr:from>
        <xdr:to>
          <xdr:col>1</xdr:col>
          <xdr:colOff>914400</xdr:colOff>
          <xdr:row>76</xdr:row>
          <xdr:rowOff>203200</xdr:rowOff>
        </xdr:to>
        <xdr:sp macro="" textlink="">
          <xdr:nvSpPr>
            <xdr:cNvPr id="51272" name="Option Button 72" hidden="1">
              <a:extLst>
                <a:ext uri="{63B3BB69-23CF-44E3-9099-C40C66FF867C}">
                  <a14:compatExt spid="_x0000_s51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77</xdr:row>
          <xdr:rowOff>12700</xdr:rowOff>
        </xdr:from>
        <xdr:to>
          <xdr:col>1</xdr:col>
          <xdr:colOff>914400</xdr:colOff>
          <xdr:row>77</xdr:row>
          <xdr:rowOff>203200</xdr:rowOff>
        </xdr:to>
        <xdr:sp macro="" textlink="">
          <xdr:nvSpPr>
            <xdr:cNvPr id="51273" name="Option Button 73" hidden="1">
              <a:extLst>
                <a:ext uri="{63B3BB69-23CF-44E3-9099-C40C66FF867C}">
                  <a14:compatExt spid="_x0000_s51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78</xdr:row>
          <xdr:rowOff>12700</xdr:rowOff>
        </xdr:from>
        <xdr:to>
          <xdr:col>1</xdr:col>
          <xdr:colOff>914400</xdr:colOff>
          <xdr:row>78</xdr:row>
          <xdr:rowOff>203200</xdr:rowOff>
        </xdr:to>
        <xdr:sp macro="" textlink="">
          <xdr:nvSpPr>
            <xdr:cNvPr id="51274" name="Option Button 74" hidden="1">
              <a:extLst>
                <a:ext uri="{63B3BB69-23CF-44E3-9099-C40C66FF867C}">
                  <a14:compatExt spid="_x0000_s51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79</xdr:row>
          <xdr:rowOff>12700</xdr:rowOff>
        </xdr:from>
        <xdr:to>
          <xdr:col>1</xdr:col>
          <xdr:colOff>914400</xdr:colOff>
          <xdr:row>79</xdr:row>
          <xdr:rowOff>203200</xdr:rowOff>
        </xdr:to>
        <xdr:sp macro="" textlink="">
          <xdr:nvSpPr>
            <xdr:cNvPr id="51275" name="Option Button 75" hidden="1">
              <a:extLst>
                <a:ext uri="{63B3BB69-23CF-44E3-9099-C40C66FF867C}">
                  <a14:compatExt spid="_x0000_s512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80</xdr:row>
          <xdr:rowOff>12700</xdr:rowOff>
        </xdr:from>
        <xdr:to>
          <xdr:col>1</xdr:col>
          <xdr:colOff>914400</xdr:colOff>
          <xdr:row>80</xdr:row>
          <xdr:rowOff>203200</xdr:rowOff>
        </xdr:to>
        <xdr:sp macro="" textlink="">
          <xdr:nvSpPr>
            <xdr:cNvPr id="51276" name="Option Button 76" hidden="1">
              <a:extLst>
                <a:ext uri="{63B3BB69-23CF-44E3-9099-C40C66FF867C}">
                  <a14:compatExt spid="_x0000_s512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81</xdr:row>
          <xdr:rowOff>12700</xdr:rowOff>
        </xdr:from>
        <xdr:to>
          <xdr:col>1</xdr:col>
          <xdr:colOff>914400</xdr:colOff>
          <xdr:row>81</xdr:row>
          <xdr:rowOff>203200</xdr:rowOff>
        </xdr:to>
        <xdr:sp macro="" textlink="">
          <xdr:nvSpPr>
            <xdr:cNvPr id="51277" name="Option Button 77" hidden="1">
              <a:extLst>
                <a:ext uri="{63B3BB69-23CF-44E3-9099-C40C66FF867C}">
                  <a14:compatExt spid="_x0000_s512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82</xdr:row>
          <xdr:rowOff>12700</xdr:rowOff>
        </xdr:from>
        <xdr:to>
          <xdr:col>1</xdr:col>
          <xdr:colOff>914400</xdr:colOff>
          <xdr:row>82</xdr:row>
          <xdr:rowOff>203200</xdr:rowOff>
        </xdr:to>
        <xdr:sp macro="" textlink="">
          <xdr:nvSpPr>
            <xdr:cNvPr id="51278" name="Option Button 78" hidden="1">
              <a:extLst>
                <a:ext uri="{63B3BB69-23CF-44E3-9099-C40C66FF867C}">
                  <a14:compatExt spid="_x0000_s512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83</xdr:row>
          <xdr:rowOff>12700</xdr:rowOff>
        </xdr:from>
        <xdr:to>
          <xdr:col>1</xdr:col>
          <xdr:colOff>914400</xdr:colOff>
          <xdr:row>83</xdr:row>
          <xdr:rowOff>203200</xdr:rowOff>
        </xdr:to>
        <xdr:sp macro="" textlink="">
          <xdr:nvSpPr>
            <xdr:cNvPr id="51279" name="Option Button 79" hidden="1">
              <a:extLst>
                <a:ext uri="{63B3BB69-23CF-44E3-9099-C40C66FF867C}">
                  <a14:compatExt spid="_x0000_s512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84</xdr:row>
          <xdr:rowOff>12700</xdr:rowOff>
        </xdr:from>
        <xdr:to>
          <xdr:col>1</xdr:col>
          <xdr:colOff>914400</xdr:colOff>
          <xdr:row>84</xdr:row>
          <xdr:rowOff>203200</xdr:rowOff>
        </xdr:to>
        <xdr:sp macro="" textlink="">
          <xdr:nvSpPr>
            <xdr:cNvPr id="51280" name="Option Button 80" hidden="1">
              <a:extLst>
                <a:ext uri="{63B3BB69-23CF-44E3-9099-C40C66FF867C}">
                  <a14:compatExt spid="_x0000_s512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85</xdr:row>
          <xdr:rowOff>12700</xdr:rowOff>
        </xdr:from>
        <xdr:to>
          <xdr:col>1</xdr:col>
          <xdr:colOff>914400</xdr:colOff>
          <xdr:row>85</xdr:row>
          <xdr:rowOff>203200</xdr:rowOff>
        </xdr:to>
        <xdr:sp macro="" textlink="">
          <xdr:nvSpPr>
            <xdr:cNvPr id="51281" name="Option Button 81" hidden="1">
              <a:extLst>
                <a:ext uri="{63B3BB69-23CF-44E3-9099-C40C66FF867C}">
                  <a14:compatExt spid="_x0000_s512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86</xdr:row>
          <xdr:rowOff>12700</xdr:rowOff>
        </xdr:from>
        <xdr:to>
          <xdr:col>1</xdr:col>
          <xdr:colOff>914400</xdr:colOff>
          <xdr:row>86</xdr:row>
          <xdr:rowOff>203200</xdr:rowOff>
        </xdr:to>
        <xdr:sp macro="" textlink="">
          <xdr:nvSpPr>
            <xdr:cNvPr id="51282" name="Option Button 82" hidden="1">
              <a:extLst>
                <a:ext uri="{63B3BB69-23CF-44E3-9099-C40C66FF867C}">
                  <a14:compatExt spid="_x0000_s512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87</xdr:row>
          <xdr:rowOff>12700</xdr:rowOff>
        </xdr:from>
        <xdr:to>
          <xdr:col>1</xdr:col>
          <xdr:colOff>914400</xdr:colOff>
          <xdr:row>87</xdr:row>
          <xdr:rowOff>209550</xdr:rowOff>
        </xdr:to>
        <xdr:sp macro="" textlink="">
          <xdr:nvSpPr>
            <xdr:cNvPr id="51283" name="Option Button 83" hidden="1">
              <a:extLst>
                <a:ext uri="{63B3BB69-23CF-44E3-9099-C40C66FF867C}">
                  <a14:compatExt spid="_x0000_s512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88</xdr:row>
          <xdr:rowOff>12700</xdr:rowOff>
        </xdr:from>
        <xdr:to>
          <xdr:col>1</xdr:col>
          <xdr:colOff>914400</xdr:colOff>
          <xdr:row>88</xdr:row>
          <xdr:rowOff>203200</xdr:rowOff>
        </xdr:to>
        <xdr:sp macro="" textlink="">
          <xdr:nvSpPr>
            <xdr:cNvPr id="51284" name="Option Button 84" hidden="1">
              <a:extLst>
                <a:ext uri="{63B3BB69-23CF-44E3-9099-C40C66FF867C}">
                  <a14:compatExt spid="_x0000_s512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89</xdr:row>
          <xdr:rowOff>12700</xdr:rowOff>
        </xdr:from>
        <xdr:to>
          <xdr:col>1</xdr:col>
          <xdr:colOff>914400</xdr:colOff>
          <xdr:row>89</xdr:row>
          <xdr:rowOff>203200</xdr:rowOff>
        </xdr:to>
        <xdr:sp macro="" textlink="">
          <xdr:nvSpPr>
            <xdr:cNvPr id="51285" name="Option Button 85" hidden="1">
              <a:extLst>
                <a:ext uri="{63B3BB69-23CF-44E3-9099-C40C66FF867C}">
                  <a14:compatExt spid="_x0000_s512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90</xdr:row>
          <xdr:rowOff>12700</xdr:rowOff>
        </xdr:from>
        <xdr:to>
          <xdr:col>1</xdr:col>
          <xdr:colOff>914400</xdr:colOff>
          <xdr:row>90</xdr:row>
          <xdr:rowOff>203200</xdr:rowOff>
        </xdr:to>
        <xdr:sp macro="" textlink="">
          <xdr:nvSpPr>
            <xdr:cNvPr id="51286" name="Option Button 86" hidden="1">
              <a:extLst>
                <a:ext uri="{63B3BB69-23CF-44E3-9099-C40C66FF867C}">
                  <a14:compatExt spid="_x0000_s512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91</xdr:row>
          <xdr:rowOff>12700</xdr:rowOff>
        </xdr:from>
        <xdr:to>
          <xdr:col>1</xdr:col>
          <xdr:colOff>914400</xdr:colOff>
          <xdr:row>91</xdr:row>
          <xdr:rowOff>203200</xdr:rowOff>
        </xdr:to>
        <xdr:sp macro="" textlink="">
          <xdr:nvSpPr>
            <xdr:cNvPr id="51287" name="Option Button 87" hidden="1">
              <a:extLst>
                <a:ext uri="{63B3BB69-23CF-44E3-9099-C40C66FF867C}">
                  <a14:compatExt spid="_x0000_s512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92</xdr:row>
          <xdr:rowOff>12700</xdr:rowOff>
        </xdr:from>
        <xdr:to>
          <xdr:col>1</xdr:col>
          <xdr:colOff>914400</xdr:colOff>
          <xdr:row>92</xdr:row>
          <xdr:rowOff>203200</xdr:rowOff>
        </xdr:to>
        <xdr:sp macro="" textlink="">
          <xdr:nvSpPr>
            <xdr:cNvPr id="51288" name="Option Button 88" hidden="1">
              <a:extLst>
                <a:ext uri="{63B3BB69-23CF-44E3-9099-C40C66FF867C}">
                  <a14:compatExt spid="_x0000_s512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93</xdr:row>
          <xdr:rowOff>12700</xdr:rowOff>
        </xdr:from>
        <xdr:to>
          <xdr:col>1</xdr:col>
          <xdr:colOff>914400</xdr:colOff>
          <xdr:row>93</xdr:row>
          <xdr:rowOff>203200</xdr:rowOff>
        </xdr:to>
        <xdr:sp macro="" textlink="">
          <xdr:nvSpPr>
            <xdr:cNvPr id="51289" name="Option Button 89" hidden="1">
              <a:extLst>
                <a:ext uri="{63B3BB69-23CF-44E3-9099-C40C66FF867C}">
                  <a14:compatExt spid="_x0000_s512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94</xdr:row>
          <xdr:rowOff>12700</xdr:rowOff>
        </xdr:from>
        <xdr:to>
          <xdr:col>1</xdr:col>
          <xdr:colOff>914400</xdr:colOff>
          <xdr:row>94</xdr:row>
          <xdr:rowOff>203200</xdr:rowOff>
        </xdr:to>
        <xdr:sp macro="" textlink="">
          <xdr:nvSpPr>
            <xdr:cNvPr id="51290" name="Option Button 90" hidden="1">
              <a:extLst>
                <a:ext uri="{63B3BB69-23CF-44E3-9099-C40C66FF867C}">
                  <a14:compatExt spid="_x0000_s512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95</xdr:row>
          <xdr:rowOff>12700</xdr:rowOff>
        </xdr:from>
        <xdr:to>
          <xdr:col>1</xdr:col>
          <xdr:colOff>914400</xdr:colOff>
          <xdr:row>95</xdr:row>
          <xdr:rowOff>203200</xdr:rowOff>
        </xdr:to>
        <xdr:sp macro="" textlink="">
          <xdr:nvSpPr>
            <xdr:cNvPr id="51291" name="Option Button 91" hidden="1">
              <a:extLst>
                <a:ext uri="{63B3BB69-23CF-44E3-9099-C40C66FF867C}">
                  <a14:compatExt spid="_x0000_s512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96</xdr:row>
          <xdr:rowOff>12700</xdr:rowOff>
        </xdr:from>
        <xdr:to>
          <xdr:col>1</xdr:col>
          <xdr:colOff>914400</xdr:colOff>
          <xdr:row>96</xdr:row>
          <xdr:rowOff>203200</xdr:rowOff>
        </xdr:to>
        <xdr:sp macro="" textlink="">
          <xdr:nvSpPr>
            <xdr:cNvPr id="51292" name="Option Button 92" hidden="1">
              <a:extLst>
                <a:ext uri="{63B3BB69-23CF-44E3-9099-C40C66FF867C}">
                  <a14:compatExt spid="_x0000_s512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97</xdr:row>
          <xdr:rowOff>12700</xdr:rowOff>
        </xdr:from>
        <xdr:to>
          <xdr:col>1</xdr:col>
          <xdr:colOff>914400</xdr:colOff>
          <xdr:row>97</xdr:row>
          <xdr:rowOff>203200</xdr:rowOff>
        </xdr:to>
        <xdr:sp macro="" textlink="">
          <xdr:nvSpPr>
            <xdr:cNvPr id="51293" name="Option Button 93" hidden="1">
              <a:extLst>
                <a:ext uri="{63B3BB69-23CF-44E3-9099-C40C66FF867C}">
                  <a14:compatExt spid="_x0000_s512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98</xdr:row>
          <xdr:rowOff>12700</xdr:rowOff>
        </xdr:from>
        <xdr:to>
          <xdr:col>1</xdr:col>
          <xdr:colOff>914400</xdr:colOff>
          <xdr:row>98</xdr:row>
          <xdr:rowOff>203200</xdr:rowOff>
        </xdr:to>
        <xdr:sp macro="" textlink="">
          <xdr:nvSpPr>
            <xdr:cNvPr id="51294" name="Option Button 94" hidden="1">
              <a:extLst>
                <a:ext uri="{63B3BB69-23CF-44E3-9099-C40C66FF867C}">
                  <a14:compatExt spid="_x0000_s512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99</xdr:row>
          <xdr:rowOff>12700</xdr:rowOff>
        </xdr:from>
        <xdr:to>
          <xdr:col>1</xdr:col>
          <xdr:colOff>914400</xdr:colOff>
          <xdr:row>99</xdr:row>
          <xdr:rowOff>203200</xdr:rowOff>
        </xdr:to>
        <xdr:sp macro="" textlink="">
          <xdr:nvSpPr>
            <xdr:cNvPr id="51295" name="Option Button 95" hidden="1">
              <a:extLst>
                <a:ext uri="{63B3BB69-23CF-44E3-9099-C40C66FF867C}">
                  <a14:compatExt spid="_x0000_s512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100</xdr:row>
          <xdr:rowOff>12700</xdr:rowOff>
        </xdr:from>
        <xdr:to>
          <xdr:col>1</xdr:col>
          <xdr:colOff>914400</xdr:colOff>
          <xdr:row>100</xdr:row>
          <xdr:rowOff>203200</xdr:rowOff>
        </xdr:to>
        <xdr:sp macro="" textlink="">
          <xdr:nvSpPr>
            <xdr:cNvPr id="51296" name="Option Button 96" hidden="1">
              <a:extLst>
                <a:ext uri="{63B3BB69-23CF-44E3-9099-C40C66FF867C}">
                  <a14:compatExt spid="_x0000_s512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101</xdr:row>
          <xdr:rowOff>12700</xdr:rowOff>
        </xdr:from>
        <xdr:to>
          <xdr:col>1</xdr:col>
          <xdr:colOff>914400</xdr:colOff>
          <xdr:row>101</xdr:row>
          <xdr:rowOff>203200</xdr:rowOff>
        </xdr:to>
        <xdr:sp macro="" textlink="">
          <xdr:nvSpPr>
            <xdr:cNvPr id="51297" name="Option Button 97" hidden="1">
              <a:extLst>
                <a:ext uri="{63B3BB69-23CF-44E3-9099-C40C66FF867C}">
                  <a14:compatExt spid="_x0000_s512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102</xdr:row>
          <xdr:rowOff>12700</xdr:rowOff>
        </xdr:from>
        <xdr:to>
          <xdr:col>1</xdr:col>
          <xdr:colOff>914400</xdr:colOff>
          <xdr:row>102</xdr:row>
          <xdr:rowOff>203200</xdr:rowOff>
        </xdr:to>
        <xdr:sp macro="" textlink="">
          <xdr:nvSpPr>
            <xdr:cNvPr id="51298" name="Option Button 98" hidden="1">
              <a:extLst>
                <a:ext uri="{63B3BB69-23CF-44E3-9099-C40C66FF867C}">
                  <a14:compatExt spid="_x0000_s512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103</xdr:row>
          <xdr:rowOff>12700</xdr:rowOff>
        </xdr:from>
        <xdr:to>
          <xdr:col>1</xdr:col>
          <xdr:colOff>914400</xdr:colOff>
          <xdr:row>103</xdr:row>
          <xdr:rowOff>203200</xdr:rowOff>
        </xdr:to>
        <xdr:sp macro="" textlink="">
          <xdr:nvSpPr>
            <xdr:cNvPr id="51299" name="Option Button 99" hidden="1">
              <a:extLst>
                <a:ext uri="{63B3BB69-23CF-44E3-9099-C40C66FF867C}">
                  <a14:compatExt spid="_x0000_s512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104</xdr:row>
          <xdr:rowOff>12700</xdr:rowOff>
        </xdr:from>
        <xdr:to>
          <xdr:col>1</xdr:col>
          <xdr:colOff>914400</xdr:colOff>
          <xdr:row>104</xdr:row>
          <xdr:rowOff>203200</xdr:rowOff>
        </xdr:to>
        <xdr:sp macro="" textlink="">
          <xdr:nvSpPr>
            <xdr:cNvPr id="51300" name="Option Button 100" hidden="1">
              <a:extLst>
                <a:ext uri="{63B3BB69-23CF-44E3-9099-C40C66FF867C}">
                  <a14:compatExt spid="_x0000_s513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105</xdr:row>
          <xdr:rowOff>12700</xdr:rowOff>
        </xdr:from>
        <xdr:to>
          <xdr:col>1</xdr:col>
          <xdr:colOff>914400</xdr:colOff>
          <xdr:row>105</xdr:row>
          <xdr:rowOff>203200</xdr:rowOff>
        </xdr:to>
        <xdr:sp macro="" textlink="">
          <xdr:nvSpPr>
            <xdr:cNvPr id="51301" name="Option Button 101" hidden="1">
              <a:extLst>
                <a:ext uri="{63B3BB69-23CF-44E3-9099-C40C66FF867C}">
                  <a14:compatExt spid="_x0000_s513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106</xdr:row>
          <xdr:rowOff>12700</xdr:rowOff>
        </xdr:from>
        <xdr:to>
          <xdr:col>1</xdr:col>
          <xdr:colOff>914400</xdr:colOff>
          <xdr:row>106</xdr:row>
          <xdr:rowOff>203200</xdr:rowOff>
        </xdr:to>
        <xdr:sp macro="" textlink="">
          <xdr:nvSpPr>
            <xdr:cNvPr id="51302" name="Option Button 102" hidden="1">
              <a:extLst>
                <a:ext uri="{63B3BB69-23CF-44E3-9099-C40C66FF867C}">
                  <a14:compatExt spid="_x0000_s513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107</xdr:row>
          <xdr:rowOff>12700</xdr:rowOff>
        </xdr:from>
        <xdr:to>
          <xdr:col>1</xdr:col>
          <xdr:colOff>914400</xdr:colOff>
          <xdr:row>107</xdr:row>
          <xdr:rowOff>203200</xdr:rowOff>
        </xdr:to>
        <xdr:sp macro="" textlink="">
          <xdr:nvSpPr>
            <xdr:cNvPr id="51303" name="Option Button 103" hidden="1">
              <a:extLst>
                <a:ext uri="{63B3BB69-23CF-44E3-9099-C40C66FF867C}">
                  <a14:compatExt spid="_x0000_s513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108</xdr:row>
          <xdr:rowOff>12700</xdr:rowOff>
        </xdr:from>
        <xdr:to>
          <xdr:col>1</xdr:col>
          <xdr:colOff>914400</xdr:colOff>
          <xdr:row>108</xdr:row>
          <xdr:rowOff>203200</xdr:rowOff>
        </xdr:to>
        <xdr:sp macro="" textlink="">
          <xdr:nvSpPr>
            <xdr:cNvPr id="51304" name="Option Button 104" hidden="1">
              <a:extLst>
                <a:ext uri="{63B3BB69-23CF-44E3-9099-C40C66FF867C}">
                  <a14:compatExt spid="_x0000_s513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109</xdr:row>
          <xdr:rowOff>12700</xdr:rowOff>
        </xdr:from>
        <xdr:to>
          <xdr:col>1</xdr:col>
          <xdr:colOff>914400</xdr:colOff>
          <xdr:row>109</xdr:row>
          <xdr:rowOff>203200</xdr:rowOff>
        </xdr:to>
        <xdr:sp macro="" textlink="">
          <xdr:nvSpPr>
            <xdr:cNvPr id="51305" name="Option Button 105" hidden="1">
              <a:extLst>
                <a:ext uri="{63B3BB69-23CF-44E3-9099-C40C66FF867C}">
                  <a14:compatExt spid="_x0000_s513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110</xdr:row>
          <xdr:rowOff>12700</xdr:rowOff>
        </xdr:from>
        <xdr:to>
          <xdr:col>1</xdr:col>
          <xdr:colOff>914400</xdr:colOff>
          <xdr:row>110</xdr:row>
          <xdr:rowOff>203200</xdr:rowOff>
        </xdr:to>
        <xdr:sp macro="" textlink="">
          <xdr:nvSpPr>
            <xdr:cNvPr id="51306" name="Option Button 106" hidden="1">
              <a:extLst>
                <a:ext uri="{63B3BB69-23CF-44E3-9099-C40C66FF867C}">
                  <a14:compatExt spid="_x0000_s513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111</xdr:row>
          <xdr:rowOff>12700</xdr:rowOff>
        </xdr:from>
        <xdr:to>
          <xdr:col>1</xdr:col>
          <xdr:colOff>914400</xdr:colOff>
          <xdr:row>111</xdr:row>
          <xdr:rowOff>203200</xdr:rowOff>
        </xdr:to>
        <xdr:sp macro="" textlink="">
          <xdr:nvSpPr>
            <xdr:cNvPr id="51307" name="Option Button 107" hidden="1">
              <a:extLst>
                <a:ext uri="{63B3BB69-23CF-44E3-9099-C40C66FF867C}">
                  <a14:compatExt spid="_x0000_s513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112</xdr:row>
          <xdr:rowOff>12700</xdr:rowOff>
        </xdr:from>
        <xdr:to>
          <xdr:col>1</xdr:col>
          <xdr:colOff>914400</xdr:colOff>
          <xdr:row>112</xdr:row>
          <xdr:rowOff>203200</xdr:rowOff>
        </xdr:to>
        <xdr:sp macro="" textlink="">
          <xdr:nvSpPr>
            <xdr:cNvPr id="51308" name="Option Button 108" hidden="1">
              <a:extLst>
                <a:ext uri="{63B3BB69-23CF-44E3-9099-C40C66FF867C}">
                  <a14:compatExt spid="_x0000_s513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113</xdr:row>
          <xdr:rowOff>12700</xdr:rowOff>
        </xdr:from>
        <xdr:to>
          <xdr:col>1</xdr:col>
          <xdr:colOff>914400</xdr:colOff>
          <xdr:row>113</xdr:row>
          <xdr:rowOff>203200</xdr:rowOff>
        </xdr:to>
        <xdr:sp macro="" textlink="">
          <xdr:nvSpPr>
            <xdr:cNvPr id="51309" name="Option Button 109" hidden="1">
              <a:extLst>
                <a:ext uri="{63B3BB69-23CF-44E3-9099-C40C66FF867C}">
                  <a14:compatExt spid="_x0000_s513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114</xdr:row>
          <xdr:rowOff>12700</xdr:rowOff>
        </xdr:from>
        <xdr:to>
          <xdr:col>1</xdr:col>
          <xdr:colOff>914400</xdr:colOff>
          <xdr:row>114</xdr:row>
          <xdr:rowOff>203200</xdr:rowOff>
        </xdr:to>
        <xdr:sp macro="" textlink="">
          <xdr:nvSpPr>
            <xdr:cNvPr id="51310" name="Option Button 110" hidden="1">
              <a:extLst>
                <a:ext uri="{63B3BB69-23CF-44E3-9099-C40C66FF867C}">
                  <a14:compatExt spid="_x0000_s513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115</xdr:row>
          <xdr:rowOff>12700</xdr:rowOff>
        </xdr:from>
        <xdr:to>
          <xdr:col>1</xdr:col>
          <xdr:colOff>914400</xdr:colOff>
          <xdr:row>115</xdr:row>
          <xdr:rowOff>203200</xdr:rowOff>
        </xdr:to>
        <xdr:sp macro="" textlink="">
          <xdr:nvSpPr>
            <xdr:cNvPr id="51311" name="Option Button 111" hidden="1">
              <a:extLst>
                <a:ext uri="{63B3BB69-23CF-44E3-9099-C40C66FF867C}">
                  <a14:compatExt spid="_x0000_s51311"/>
                </a:ext>
              </a:extLst>
            </xdr:cNvPr>
            <xdr:cNvSpPr/>
          </xdr:nvSpPr>
          <xdr:spPr>
            <a:xfrm>
              <a:off x="0" y="0"/>
              <a:ext cx="0" cy="0"/>
            </a:xfrm>
            <a:prstGeom prst="rect">
              <a:avLst/>
            </a:prstGeom>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438150</xdr:colOff>
          <xdr:row>6</xdr:row>
          <xdr:rowOff>31750</xdr:rowOff>
        </xdr:from>
        <xdr:to>
          <xdr:col>1</xdr:col>
          <xdr:colOff>990600</xdr:colOff>
          <xdr:row>6</xdr:row>
          <xdr:rowOff>184150</xdr:rowOff>
        </xdr:to>
        <xdr:sp macro="" textlink="">
          <xdr:nvSpPr>
            <xdr:cNvPr id="139265" name="Option Button 1" hidden="1">
              <a:extLst>
                <a:ext uri="{63B3BB69-23CF-44E3-9099-C40C66FF867C}">
                  <a14:compatExt spid="_x0000_s139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xdr:row>
          <xdr:rowOff>31750</xdr:rowOff>
        </xdr:from>
        <xdr:to>
          <xdr:col>1</xdr:col>
          <xdr:colOff>990600</xdr:colOff>
          <xdr:row>7</xdr:row>
          <xdr:rowOff>184150</xdr:rowOff>
        </xdr:to>
        <xdr:sp macro="" textlink="">
          <xdr:nvSpPr>
            <xdr:cNvPr id="139266" name="Option Button 2" hidden="1">
              <a:extLst>
                <a:ext uri="{63B3BB69-23CF-44E3-9099-C40C66FF867C}">
                  <a14:compatExt spid="_x0000_s139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xdr:row>
          <xdr:rowOff>31750</xdr:rowOff>
        </xdr:from>
        <xdr:to>
          <xdr:col>1</xdr:col>
          <xdr:colOff>990600</xdr:colOff>
          <xdr:row>8</xdr:row>
          <xdr:rowOff>184150</xdr:rowOff>
        </xdr:to>
        <xdr:sp macro="" textlink="">
          <xdr:nvSpPr>
            <xdr:cNvPr id="139267" name="Option Button 3" hidden="1">
              <a:extLst>
                <a:ext uri="{63B3BB69-23CF-44E3-9099-C40C66FF867C}">
                  <a14:compatExt spid="_x0000_s1392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xdr:row>
          <xdr:rowOff>31750</xdr:rowOff>
        </xdr:from>
        <xdr:to>
          <xdr:col>1</xdr:col>
          <xdr:colOff>990600</xdr:colOff>
          <xdr:row>9</xdr:row>
          <xdr:rowOff>184150</xdr:rowOff>
        </xdr:to>
        <xdr:sp macro="" textlink="">
          <xdr:nvSpPr>
            <xdr:cNvPr id="139268" name="Option Button 4" hidden="1">
              <a:extLst>
                <a:ext uri="{63B3BB69-23CF-44E3-9099-C40C66FF867C}">
                  <a14:compatExt spid="_x0000_s1392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xdr:row>
          <xdr:rowOff>31750</xdr:rowOff>
        </xdr:from>
        <xdr:to>
          <xdr:col>1</xdr:col>
          <xdr:colOff>990600</xdr:colOff>
          <xdr:row>10</xdr:row>
          <xdr:rowOff>184150</xdr:rowOff>
        </xdr:to>
        <xdr:sp macro="" textlink="">
          <xdr:nvSpPr>
            <xdr:cNvPr id="139269" name="Option Button 5" hidden="1">
              <a:extLst>
                <a:ext uri="{63B3BB69-23CF-44E3-9099-C40C66FF867C}">
                  <a14:compatExt spid="_x0000_s1392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xdr:row>
          <xdr:rowOff>31750</xdr:rowOff>
        </xdr:from>
        <xdr:to>
          <xdr:col>1</xdr:col>
          <xdr:colOff>990600</xdr:colOff>
          <xdr:row>11</xdr:row>
          <xdr:rowOff>184150</xdr:rowOff>
        </xdr:to>
        <xdr:sp macro="" textlink="">
          <xdr:nvSpPr>
            <xdr:cNvPr id="139270" name="Option Button 6" hidden="1">
              <a:extLst>
                <a:ext uri="{63B3BB69-23CF-44E3-9099-C40C66FF867C}">
                  <a14:compatExt spid="_x0000_s1392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12</xdr:row>
          <xdr:rowOff>31750</xdr:rowOff>
        </xdr:from>
        <xdr:to>
          <xdr:col>1</xdr:col>
          <xdr:colOff>990600</xdr:colOff>
          <xdr:row>12</xdr:row>
          <xdr:rowOff>184150</xdr:rowOff>
        </xdr:to>
        <xdr:sp macro="" textlink="">
          <xdr:nvSpPr>
            <xdr:cNvPr id="139271" name="Option Button 7" hidden="1">
              <a:extLst>
                <a:ext uri="{63B3BB69-23CF-44E3-9099-C40C66FF867C}">
                  <a14:compatExt spid="_x0000_s139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13</xdr:row>
          <xdr:rowOff>31750</xdr:rowOff>
        </xdr:from>
        <xdr:to>
          <xdr:col>1</xdr:col>
          <xdr:colOff>990600</xdr:colOff>
          <xdr:row>13</xdr:row>
          <xdr:rowOff>184150</xdr:rowOff>
        </xdr:to>
        <xdr:sp macro="" textlink="">
          <xdr:nvSpPr>
            <xdr:cNvPr id="139272" name="Option Button 8" hidden="1">
              <a:extLst>
                <a:ext uri="{63B3BB69-23CF-44E3-9099-C40C66FF867C}">
                  <a14:compatExt spid="_x0000_s139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14</xdr:row>
          <xdr:rowOff>31750</xdr:rowOff>
        </xdr:from>
        <xdr:to>
          <xdr:col>1</xdr:col>
          <xdr:colOff>990600</xdr:colOff>
          <xdr:row>14</xdr:row>
          <xdr:rowOff>184150</xdr:rowOff>
        </xdr:to>
        <xdr:sp macro="" textlink="">
          <xdr:nvSpPr>
            <xdr:cNvPr id="139273" name="Option Button 9" hidden="1">
              <a:extLst>
                <a:ext uri="{63B3BB69-23CF-44E3-9099-C40C66FF867C}">
                  <a14:compatExt spid="_x0000_s139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15</xdr:row>
          <xdr:rowOff>31750</xdr:rowOff>
        </xdr:from>
        <xdr:to>
          <xdr:col>1</xdr:col>
          <xdr:colOff>990600</xdr:colOff>
          <xdr:row>15</xdr:row>
          <xdr:rowOff>184150</xdr:rowOff>
        </xdr:to>
        <xdr:sp macro="" textlink="">
          <xdr:nvSpPr>
            <xdr:cNvPr id="139274" name="Option Button 10" hidden="1">
              <a:extLst>
                <a:ext uri="{63B3BB69-23CF-44E3-9099-C40C66FF867C}">
                  <a14:compatExt spid="_x0000_s139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16</xdr:row>
          <xdr:rowOff>31750</xdr:rowOff>
        </xdr:from>
        <xdr:to>
          <xdr:col>1</xdr:col>
          <xdr:colOff>990600</xdr:colOff>
          <xdr:row>16</xdr:row>
          <xdr:rowOff>184150</xdr:rowOff>
        </xdr:to>
        <xdr:sp macro="" textlink="">
          <xdr:nvSpPr>
            <xdr:cNvPr id="139275" name="Option Button 11" hidden="1">
              <a:extLst>
                <a:ext uri="{63B3BB69-23CF-44E3-9099-C40C66FF867C}">
                  <a14:compatExt spid="_x0000_s1392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17</xdr:row>
          <xdr:rowOff>31750</xdr:rowOff>
        </xdr:from>
        <xdr:to>
          <xdr:col>1</xdr:col>
          <xdr:colOff>990600</xdr:colOff>
          <xdr:row>17</xdr:row>
          <xdr:rowOff>184150</xdr:rowOff>
        </xdr:to>
        <xdr:sp macro="" textlink="">
          <xdr:nvSpPr>
            <xdr:cNvPr id="139276" name="Option Button 12" hidden="1">
              <a:extLst>
                <a:ext uri="{63B3BB69-23CF-44E3-9099-C40C66FF867C}">
                  <a14:compatExt spid="_x0000_s1392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18</xdr:row>
          <xdr:rowOff>31750</xdr:rowOff>
        </xdr:from>
        <xdr:to>
          <xdr:col>1</xdr:col>
          <xdr:colOff>990600</xdr:colOff>
          <xdr:row>18</xdr:row>
          <xdr:rowOff>184150</xdr:rowOff>
        </xdr:to>
        <xdr:sp macro="" textlink="">
          <xdr:nvSpPr>
            <xdr:cNvPr id="139277" name="Option Button 13" hidden="1">
              <a:extLst>
                <a:ext uri="{63B3BB69-23CF-44E3-9099-C40C66FF867C}">
                  <a14:compatExt spid="_x0000_s1392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19</xdr:row>
          <xdr:rowOff>31750</xdr:rowOff>
        </xdr:from>
        <xdr:to>
          <xdr:col>1</xdr:col>
          <xdr:colOff>990600</xdr:colOff>
          <xdr:row>19</xdr:row>
          <xdr:rowOff>184150</xdr:rowOff>
        </xdr:to>
        <xdr:sp macro="" textlink="">
          <xdr:nvSpPr>
            <xdr:cNvPr id="139278" name="Option Button 14" hidden="1">
              <a:extLst>
                <a:ext uri="{63B3BB69-23CF-44E3-9099-C40C66FF867C}">
                  <a14:compatExt spid="_x0000_s1392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20</xdr:row>
          <xdr:rowOff>31750</xdr:rowOff>
        </xdr:from>
        <xdr:to>
          <xdr:col>1</xdr:col>
          <xdr:colOff>990600</xdr:colOff>
          <xdr:row>20</xdr:row>
          <xdr:rowOff>184150</xdr:rowOff>
        </xdr:to>
        <xdr:sp macro="" textlink="">
          <xdr:nvSpPr>
            <xdr:cNvPr id="139279" name="Option Button 15" hidden="1">
              <a:extLst>
                <a:ext uri="{63B3BB69-23CF-44E3-9099-C40C66FF867C}">
                  <a14:compatExt spid="_x0000_s1392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21</xdr:row>
          <xdr:rowOff>31750</xdr:rowOff>
        </xdr:from>
        <xdr:to>
          <xdr:col>1</xdr:col>
          <xdr:colOff>990600</xdr:colOff>
          <xdr:row>21</xdr:row>
          <xdr:rowOff>184150</xdr:rowOff>
        </xdr:to>
        <xdr:sp macro="" textlink="">
          <xdr:nvSpPr>
            <xdr:cNvPr id="139280" name="Option Button 16" hidden="1">
              <a:extLst>
                <a:ext uri="{63B3BB69-23CF-44E3-9099-C40C66FF867C}">
                  <a14:compatExt spid="_x0000_s1392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22</xdr:row>
          <xdr:rowOff>31750</xdr:rowOff>
        </xdr:from>
        <xdr:to>
          <xdr:col>1</xdr:col>
          <xdr:colOff>990600</xdr:colOff>
          <xdr:row>22</xdr:row>
          <xdr:rowOff>184150</xdr:rowOff>
        </xdr:to>
        <xdr:sp macro="" textlink="">
          <xdr:nvSpPr>
            <xdr:cNvPr id="139281" name="Option Button 17" hidden="1">
              <a:extLst>
                <a:ext uri="{63B3BB69-23CF-44E3-9099-C40C66FF867C}">
                  <a14:compatExt spid="_x0000_s1392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23</xdr:row>
          <xdr:rowOff>31750</xdr:rowOff>
        </xdr:from>
        <xdr:to>
          <xdr:col>1</xdr:col>
          <xdr:colOff>990600</xdr:colOff>
          <xdr:row>23</xdr:row>
          <xdr:rowOff>184150</xdr:rowOff>
        </xdr:to>
        <xdr:sp macro="" textlink="">
          <xdr:nvSpPr>
            <xdr:cNvPr id="139282" name="Option Button 18" hidden="1">
              <a:extLst>
                <a:ext uri="{63B3BB69-23CF-44E3-9099-C40C66FF867C}">
                  <a14:compatExt spid="_x0000_s1392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24</xdr:row>
          <xdr:rowOff>31750</xdr:rowOff>
        </xdr:from>
        <xdr:to>
          <xdr:col>1</xdr:col>
          <xdr:colOff>990600</xdr:colOff>
          <xdr:row>24</xdr:row>
          <xdr:rowOff>184150</xdr:rowOff>
        </xdr:to>
        <xdr:sp macro="" textlink="">
          <xdr:nvSpPr>
            <xdr:cNvPr id="139283" name="Option Button 19" hidden="1">
              <a:extLst>
                <a:ext uri="{63B3BB69-23CF-44E3-9099-C40C66FF867C}">
                  <a14:compatExt spid="_x0000_s1392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25</xdr:row>
          <xdr:rowOff>31750</xdr:rowOff>
        </xdr:from>
        <xdr:to>
          <xdr:col>1</xdr:col>
          <xdr:colOff>990600</xdr:colOff>
          <xdr:row>25</xdr:row>
          <xdr:rowOff>184150</xdr:rowOff>
        </xdr:to>
        <xdr:sp macro="" textlink="">
          <xdr:nvSpPr>
            <xdr:cNvPr id="139284" name="Option Button 20" hidden="1">
              <a:extLst>
                <a:ext uri="{63B3BB69-23CF-44E3-9099-C40C66FF867C}">
                  <a14:compatExt spid="_x0000_s1392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26</xdr:row>
          <xdr:rowOff>31750</xdr:rowOff>
        </xdr:from>
        <xdr:to>
          <xdr:col>1</xdr:col>
          <xdr:colOff>990600</xdr:colOff>
          <xdr:row>26</xdr:row>
          <xdr:rowOff>184150</xdr:rowOff>
        </xdr:to>
        <xdr:sp macro="" textlink="">
          <xdr:nvSpPr>
            <xdr:cNvPr id="139285" name="Option Button 21" hidden="1">
              <a:extLst>
                <a:ext uri="{63B3BB69-23CF-44E3-9099-C40C66FF867C}">
                  <a14:compatExt spid="_x0000_s1392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27</xdr:row>
          <xdr:rowOff>31750</xdr:rowOff>
        </xdr:from>
        <xdr:to>
          <xdr:col>1</xdr:col>
          <xdr:colOff>990600</xdr:colOff>
          <xdr:row>27</xdr:row>
          <xdr:rowOff>184150</xdr:rowOff>
        </xdr:to>
        <xdr:sp macro="" textlink="">
          <xdr:nvSpPr>
            <xdr:cNvPr id="139286" name="Option Button 22" hidden="1">
              <a:extLst>
                <a:ext uri="{63B3BB69-23CF-44E3-9099-C40C66FF867C}">
                  <a14:compatExt spid="_x0000_s1392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28</xdr:row>
          <xdr:rowOff>31750</xdr:rowOff>
        </xdr:from>
        <xdr:to>
          <xdr:col>1</xdr:col>
          <xdr:colOff>990600</xdr:colOff>
          <xdr:row>28</xdr:row>
          <xdr:rowOff>184150</xdr:rowOff>
        </xdr:to>
        <xdr:sp macro="" textlink="">
          <xdr:nvSpPr>
            <xdr:cNvPr id="139287" name="Option Button 23" hidden="1">
              <a:extLst>
                <a:ext uri="{63B3BB69-23CF-44E3-9099-C40C66FF867C}">
                  <a14:compatExt spid="_x0000_s1392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29</xdr:row>
          <xdr:rowOff>31750</xdr:rowOff>
        </xdr:from>
        <xdr:to>
          <xdr:col>1</xdr:col>
          <xdr:colOff>990600</xdr:colOff>
          <xdr:row>29</xdr:row>
          <xdr:rowOff>184150</xdr:rowOff>
        </xdr:to>
        <xdr:sp macro="" textlink="">
          <xdr:nvSpPr>
            <xdr:cNvPr id="139288" name="Option Button 24" hidden="1">
              <a:extLst>
                <a:ext uri="{63B3BB69-23CF-44E3-9099-C40C66FF867C}">
                  <a14:compatExt spid="_x0000_s1392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30</xdr:row>
          <xdr:rowOff>31750</xdr:rowOff>
        </xdr:from>
        <xdr:to>
          <xdr:col>1</xdr:col>
          <xdr:colOff>990600</xdr:colOff>
          <xdr:row>30</xdr:row>
          <xdr:rowOff>184150</xdr:rowOff>
        </xdr:to>
        <xdr:sp macro="" textlink="">
          <xdr:nvSpPr>
            <xdr:cNvPr id="139289" name="Option Button 25" hidden="1">
              <a:extLst>
                <a:ext uri="{63B3BB69-23CF-44E3-9099-C40C66FF867C}">
                  <a14:compatExt spid="_x0000_s1392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31</xdr:row>
          <xdr:rowOff>31750</xdr:rowOff>
        </xdr:from>
        <xdr:to>
          <xdr:col>1</xdr:col>
          <xdr:colOff>990600</xdr:colOff>
          <xdr:row>31</xdr:row>
          <xdr:rowOff>184150</xdr:rowOff>
        </xdr:to>
        <xdr:sp macro="" textlink="">
          <xdr:nvSpPr>
            <xdr:cNvPr id="139290" name="Option Button 26" hidden="1">
              <a:extLst>
                <a:ext uri="{63B3BB69-23CF-44E3-9099-C40C66FF867C}">
                  <a14:compatExt spid="_x0000_s1392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32</xdr:row>
          <xdr:rowOff>31750</xdr:rowOff>
        </xdr:from>
        <xdr:to>
          <xdr:col>1</xdr:col>
          <xdr:colOff>990600</xdr:colOff>
          <xdr:row>32</xdr:row>
          <xdr:rowOff>184150</xdr:rowOff>
        </xdr:to>
        <xdr:sp macro="" textlink="">
          <xdr:nvSpPr>
            <xdr:cNvPr id="139291" name="Option Button 27" hidden="1">
              <a:extLst>
                <a:ext uri="{63B3BB69-23CF-44E3-9099-C40C66FF867C}">
                  <a14:compatExt spid="_x0000_s1392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33</xdr:row>
          <xdr:rowOff>31750</xdr:rowOff>
        </xdr:from>
        <xdr:to>
          <xdr:col>1</xdr:col>
          <xdr:colOff>990600</xdr:colOff>
          <xdr:row>33</xdr:row>
          <xdr:rowOff>184150</xdr:rowOff>
        </xdr:to>
        <xdr:sp macro="" textlink="">
          <xdr:nvSpPr>
            <xdr:cNvPr id="139292" name="Option Button 28" hidden="1">
              <a:extLst>
                <a:ext uri="{63B3BB69-23CF-44E3-9099-C40C66FF867C}">
                  <a14:compatExt spid="_x0000_s1392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34</xdr:row>
          <xdr:rowOff>31750</xdr:rowOff>
        </xdr:from>
        <xdr:to>
          <xdr:col>1</xdr:col>
          <xdr:colOff>990600</xdr:colOff>
          <xdr:row>34</xdr:row>
          <xdr:rowOff>184150</xdr:rowOff>
        </xdr:to>
        <xdr:sp macro="" textlink="">
          <xdr:nvSpPr>
            <xdr:cNvPr id="139293" name="Option Button 29" hidden="1">
              <a:extLst>
                <a:ext uri="{63B3BB69-23CF-44E3-9099-C40C66FF867C}">
                  <a14:compatExt spid="_x0000_s1392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35</xdr:row>
          <xdr:rowOff>31750</xdr:rowOff>
        </xdr:from>
        <xdr:to>
          <xdr:col>1</xdr:col>
          <xdr:colOff>990600</xdr:colOff>
          <xdr:row>35</xdr:row>
          <xdr:rowOff>184150</xdr:rowOff>
        </xdr:to>
        <xdr:sp macro="" textlink="">
          <xdr:nvSpPr>
            <xdr:cNvPr id="139294" name="Option Button 30" hidden="1">
              <a:extLst>
                <a:ext uri="{63B3BB69-23CF-44E3-9099-C40C66FF867C}">
                  <a14:compatExt spid="_x0000_s1392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36</xdr:row>
          <xdr:rowOff>31750</xdr:rowOff>
        </xdr:from>
        <xdr:to>
          <xdr:col>1</xdr:col>
          <xdr:colOff>990600</xdr:colOff>
          <xdr:row>36</xdr:row>
          <xdr:rowOff>184150</xdr:rowOff>
        </xdr:to>
        <xdr:sp macro="" textlink="">
          <xdr:nvSpPr>
            <xdr:cNvPr id="139295" name="Option Button 31" hidden="1">
              <a:extLst>
                <a:ext uri="{63B3BB69-23CF-44E3-9099-C40C66FF867C}">
                  <a14:compatExt spid="_x0000_s1392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37</xdr:row>
          <xdr:rowOff>31750</xdr:rowOff>
        </xdr:from>
        <xdr:to>
          <xdr:col>1</xdr:col>
          <xdr:colOff>990600</xdr:colOff>
          <xdr:row>37</xdr:row>
          <xdr:rowOff>184150</xdr:rowOff>
        </xdr:to>
        <xdr:sp macro="" textlink="">
          <xdr:nvSpPr>
            <xdr:cNvPr id="139296" name="Option Button 32" hidden="1">
              <a:extLst>
                <a:ext uri="{63B3BB69-23CF-44E3-9099-C40C66FF867C}">
                  <a14:compatExt spid="_x0000_s1392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38</xdr:row>
          <xdr:rowOff>31750</xdr:rowOff>
        </xdr:from>
        <xdr:to>
          <xdr:col>1</xdr:col>
          <xdr:colOff>990600</xdr:colOff>
          <xdr:row>38</xdr:row>
          <xdr:rowOff>184150</xdr:rowOff>
        </xdr:to>
        <xdr:sp macro="" textlink="">
          <xdr:nvSpPr>
            <xdr:cNvPr id="139297" name="Option Button 33" hidden="1">
              <a:extLst>
                <a:ext uri="{63B3BB69-23CF-44E3-9099-C40C66FF867C}">
                  <a14:compatExt spid="_x0000_s1392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39</xdr:row>
          <xdr:rowOff>31750</xdr:rowOff>
        </xdr:from>
        <xdr:to>
          <xdr:col>1</xdr:col>
          <xdr:colOff>990600</xdr:colOff>
          <xdr:row>39</xdr:row>
          <xdr:rowOff>184150</xdr:rowOff>
        </xdr:to>
        <xdr:sp macro="" textlink="">
          <xdr:nvSpPr>
            <xdr:cNvPr id="139298" name="Option Button 34" hidden="1">
              <a:extLst>
                <a:ext uri="{63B3BB69-23CF-44E3-9099-C40C66FF867C}">
                  <a14:compatExt spid="_x0000_s1392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40</xdr:row>
          <xdr:rowOff>31750</xdr:rowOff>
        </xdr:from>
        <xdr:to>
          <xdr:col>1</xdr:col>
          <xdr:colOff>990600</xdr:colOff>
          <xdr:row>40</xdr:row>
          <xdr:rowOff>184150</xdr:rowOff>
        </xdr:to>
        <xdr:sp macro="" textlink="">
          <xdr:nvSpPr>
            <xdr:cNvPr id="139299" name="Option Button 35" hidden="1">
              <a:extLst>
                <a:ext uri="{63B3BB69-23CF-44E3-9099-C40C66FF867C}">
                  <a14:compatExt spid="_x0000_s1392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41</xdr:row>
          <xdr:rowOff>31750</xdr:rowOff>
        </xdr:from>
        <xdr:to>
          <xdr:col>1</xdr:col>
          <xdr:colOff>990600</xdr:colOff>
          <xdr:row>41</xdr:row>
          <xdr:rowOff>184150</xdr:rowOff>
        </xdr:to>
        <xdr:sp macro="" textlink="">
          <xdr:nvSpPr>
            <xdr:cNvPr id="139300" name="Option Button 36" hidden="1">
              <a:extLst>
                <a:ext uri="{63B3BB69-23CF-44E3-9099-C40C66FF867C}">
                  <a14:compatExt spid="_x0000_s1393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42</xdr:row>
          <xdr:rowOff>31750</xdr:rowOff>
        </xdr:from>
        <xdr:to>
          <xdr:col>1</xdr:col>
          <xdr:colOff>990600</xdr:colOff>
          <xdr:row>42</xdr:row>
          <xdr:rowOff>184150</xdr:rowOff>
        </xdr:to>
        <xdr:sp macro="" textlink="">
          <xdr:nvSpPr>
            <xdr:cNvPr id="139301" name="Option Button 37" hidden="1">
              <a:extLst>
                <a:ext uri="{63B3BB69-23CF-44E3-9099-C40C66FF867C}">
                  <a14:compatExt spid="_x0000_s1393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43</xdr:row>
          <xdr:rowOff>31750</xdr:rowOff>
        </xdr:from>
        <xdr:to>
          <xdr:col>1</xdr:col>
          <xdr:colOff>990600</xdr:colOff>
          <xdr:row>43</xdr:row>
          <xdr:rowOff>184150</xdr:rowOff>
        </xdr:to>
        <xdr:sp macro="" textlink="">
          <xdr:nvSpPr>
            <xdr:cNvPr id="139302" name="Option Button 38" hidden="1">
              <a:extLst>
                <a:ext uri="{63B3BB69-23CF-44E3-9099-C40C66FF867C}">
                  <a14:compatExt spid="_x0000_s1393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44</xdr:row>
          <xdr:rowOff>31750</xdr:rowOff>
        </xdr:from>
        <xdr:to>
          <xdr:col>1</xdr:col>
          <xdr:colOff>990600</xdr:colOff>
          <xdr:row>44</xdr:row>
          <xdr:rowOff>184150</xdr:rowOff>
        </xdr:to>
        <xdr:sp macro="" textlink="">
          <xdr:nvSpPr>
            <xdr:cNvPr id="139303" name="Option Button 39" hidden="1">
              <a:extLst>
                <a:ext uri="{63B3BB69-23CF-44E3-9099-C40C66FF867C}">
                  <a14:compatExt spid="_x0000_s1393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45</xdr:row>
          <xdr:rowOff>31750</xdr:rowOff>
        </xdr:from>
        <xdr:to>
          <xdr:col>1</xdr:col>
          <xdr:colOff>990600</xdr:colOff>
          <xdr:row>45</xdr:row>
          <xdr:rowOff>184150</xdr:rowOff>
        </xdr:to>
        <xdr:sp macro="" textlink="">
          <xdr:nvSpPr>
            <xdr:cNvPr id="139304" name="Option Button 40" hidden="1">
              <a:extLst>
                <a:ext uri="{63B3BB69-23CF-44E3-9099-C40C66FF867C}">
                  <a14:compatExt spid="_x0000_s1393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46</xdr:row>
          <xdr:rowOff>31750</xdr:rowOff>
        </xdr:from>
        <xdr:to>
          <xdr:col>1</xdr:col>
          <xdr:colOff>990600</xdr:colOff>
          <xdr:row>46</xdr:row>
          <xdr:rowOff>184150</xdr:rowOff>
        </xdr:to>
        <xdr:sp macro="" textlink="">
          <xdr:nvSpPr>
            <xdr:cNvPr id="139305" name="Option Button 41" hidden="1">
              <a:extLst>
                <a:ext uri="{63B3BB69-23CF-44E3-9099-C40C66FF867C}">
                  <a14:compatExt spid="_x0000_s1393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47</xdr:row>
          <xdr:rowOff>31750</xdr:rowOff>
        </xdr:from>
        <xdr:to>
          <xdr:col>1</xdr:col>
          <xdr:colOff>990600</xdr:colOff>
          <xdr:row>47</xdr:row>
          <xdr:rowOff>184150</xdr:rowOff>
        </xdr:to>
        <xdr:sp macro="" textlink="">
          <xdr:nvSpPr>
            <xdr:cNvPr id="139306" name="Option Button 42" hidden="1">
              <a:extLst>
                <a:ext uri="{63B3BB69-23CF-44E3-9099-C40C66FF867C}">
                  <a14:compatExt spid="_x0000_s1393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48</xdr:row>
          <xdr:rowOff>31750</xdr:rowOff>
        </xdr:from>
        <xdr:to>
          <xdr:col>1</xdr:col>
          <xdr:colOff>990600</xdr:colOff>
          <xdr:row>48</xdr:row>
          <xdr:rowOff>184150</xdr:rowOff>
        </xdr:to>
        <xdr:sp macro="" textlink="">
          <xdr:nvSpPr>
            <xdr:cNvPr id="139307" name="Option Button 43" hidden="1">
              <a:extLst>
                <a:ext uri="{63B3BB69-23CF-44E3-9099-C40C66FF867C}">
                  <a14:compatExt spid="_x0000_s1393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49</xdr:row>
          <xdr:rowOff>31750</xdr:rowOff>
        </xdr:from>
        <xdr:to>
          <xdr:col>1</xdr:col>
          <xdr:colOff>990600</xdr:colOff>
          <xdr:row>49</xdr:row>
          <xdr:rowOff>184150</xdr:rowOff>
        </xdr:to>
        <xdr:sp macro="" textlink="">
          <xdr:nvSpPr>
            <xdr:cNvPr id="139308" name="Option Button 44" hidden="1">
              <a:extLst>
                <a:ext uri="{63B3BB69-23CF-44E3-9099-C40C66FF867C}">
                  <a14:compatExt spid="_x0000_s1393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50</xdr:row>
          <xdr:rowOff>31750</xdr:rowOff>
        </xdr:from>
        <xdr:to>
          <xdr:col>1</xdr:col>
          <xdr:colOff>990600</xdr:colOff>
          <xdr:row>50</xdr:row>
          <xdr:rowOff>184150</xdr:rowOff>
        </xdr:to>
        <xdr:sp macro="" textlink="">
          <xdr:nvSpPr>
            <xdr:cNvPr id="139309" name="Option Button 45" hidden="1">
              <a:extLst>
                <a:ext uri="{63B3BB69-23CF-44E3-9099-C40C66FF867C}">
                  <a14:compatExt spid="_x0000_s1393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51</xdr:row>
          <xdr:rowOff>31750</xdr:rowOff>
        </xdr:from>
        <xdr:to>
          <xdr:col>1</xdr:col>
          <xdr:colOff>990600</xdr:colOff>
          <xdr:row>51</xdr:row>
          <xdr:rowOff>184150</xdr:rowOff>
        </xdr:to>
        <xdr:sp macro="" textlink="">
          <xdr:nvSpPr>
            <xdr:cNvPr id="139310" name="Option Button 46" hidden="1">
              <a:extLst>
                <a:ext uri="{63B3BB69-23CF-44E3-9099-C40C66FF867C}">
                  <a14:compatExt spid="_x0000_s1393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52</xdr:row>
          <xdr:rowOff>31750</xdr:rowOff>
        </xdr:from>
        <xdr:to>
          <xdr:col>1</xdr:col>
          <xdr:colOff>990600</xdr:colOff>
          <xdr:row>52</xdr:row>
          <xdr:rowOff>184150</xdr:rowOff>
        </xdr:to>
        <xdr:sp macro="" textlink="">
          <xdr:nvSpPr>
            <xdr:cNvPr id="139311" name="Option Button 47" hidden="1">
              <a:extLst>
                <a:ext uri="{63B3BB69-23CF-44E3-9099-C40C66FF867C}">
                  <a14:compatExt spid="_x0000_s1393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53</xdr:row>
          <xdr:rowOff>31750</xdr:rowOff>
        </xdr:from>
        <xdr:to>
          <xdr:col>1</xdr:col>
          <xdr:colOff>990600</xdr:colOff>
          <xdr:row>53</xdr:row>
          <xdr:rowOff>184150</xdr:rowOff>
        </xdr:to>
        <xdr:sp macro="" textlink="">
          <xdr:nvSpPr>
            <xdr:cNvPr id="139312" name="Option Button 48" hidden="1">
              <a:extLst>
                <a:ext uri="{63B3BB69-23CF-44E3-9099-C40C66FF867C}">
                  <a14:compatExt spid="_x0000_s1393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54</xdr:row>
          <xdr:rowOff>31750</xdr:rowOff>
        </xdr:from>
        <xdr:to>
          <xdr:col>1</xdr:col>
          <xdr:colOff>990600</xdr:colOff>
          <xdr:row>54</xdr:row>
          <xdr:rowOff>184150</xdr:rowOff>
        </xdr:to>
        <xdr:sp macro="" textlink="">
          <xdr:nvSpPr>
            <xdr:cNvPr id="139313" name="Option Button 49" hidden="1">
              <a:extLst>
                <a:ext uri="{63B3BB69-23CF-44E3-9099-C40C66FF867C}">
                  <a14:compatExt spid="_x0000_s1393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55</xdr:row>
          <xdr:rowOff>31750</xdr:rowOff>
        </xdr:from>
        <xdr:to>
          <xdr:col>1</xdr:col>
          <xdr:colOff>990600</xdr:colOff>
          <xdr:row>55</xdr:row>
          <xdr:rowOff>184150</xdr:rowOff>
        </xdr:to>
        <xdr:sp macro="" textlink="">
          <xdr:nvSpPr>
            <xdr:cNvPr id="139314" name="Option Button 50" hidden="1">
              <a:extLst>
                <a:ext uri="{63B3BB69-23CF-44E3-9099-C40C66FF867C}">
                  <a14:compatExt spid="_x0000_s1393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56</xdr:row>
          <xdr:rowOff>31750</xdr:rowOff>
        </xdr:from>
        <xdr:to>
          <xdr:col>1</xdr:col>
          <xdr:colOff>990600</xdr:colOff>
          <xdr:row>56</xdr:row>
          <xdr:rowOff>184150</xdr:rowOff>
        </xdr:to>
        <xdr:sp macro="" textlink="">
          <xdr:nvSpPr>
            <xdr:cNvPr id="139315" name="Option Button 51" hidden="1">
              <a:extLst>
                <a:ext uri="{63B3BB69-23CF-44E3-9099-C40C66FF867C}">
                  <a14:compatExt spid="_x0000_s1393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57</xdr:row>
          <xdr:rowOff>31750</xdr:rowOff>
        </xdr:from>
        <xdr:to>
          <xdr:col>1</xdr:col>
          <xdr:colOff>990600</xdr:colOff>
          <xdr:row>57</xdr:row>
          <xdr:rowOff>184150</xdr:rowOff>
        </xdr:to>
        <xdr:sp macro="" textlink="">
          <xdr:nvSpPr>
            <xdr:cNvPr id="139316" name="Option Button 52" hidden="1">
              <a:extLst>
                <a:ext uri="{63B3BB69-23CF-44E3-9099-C40C66FF867C}">
                  <a14:compatExt spid="_x0000_s1393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58</xdr:row>
          <xdr:rowOff>31750</xdr:rowOff>
        </xdr:from>
        <xdr:to>
          <xdr:col>1</xdr:col>
          <xdr:colOff>990600</xdr:colOff>
          <xdr:row>58</xdr:row>
          <xdr:rowOff>184150</xdr:rowOff>
        </xdr:to>
        <xdr:sp macro="" textlink="">
          <xdr:nvSpPr>
            <xdr:cNvPr id="139317" name="Option Button 53" hidden="1">
              <a:extLst>
                <a:ext uri="{63B3BB69-23CF-44E3-9099-C40C66FF867C}">
                  <a14:compatExt spid="_x0000_s1393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59</xdr:row>
          <xdr:rowOff>31750</xdr:rowOff>
        </xdr:from>
        <xdr:to>
          <xdr:col>1</xdr:col>
          <xdr:colOff>990600</xdr:colOff>
          <xdr:row>59</xdr:row>
          <xdr:rowOff>184150</xdr:rowOff>
        </xdr:to>
        <xdr:sp macro="" textlink="">
          <xdr:nvSpPr>
            <xdr:cNvPr id="139318" name="Option Button 54" hidden="1">
              <a:extLst>
                <a:ext uri="{63B3BB69-23CF-44E3-9099-C40C66FF867C}">
                  <a14:compatExt spid="_x0000_s1393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60</xdr:row>
          <xdr:rowOff>31750</xdr:rowOff>
        </xdr:from>
        <xdr:to>
          <xdr:col>1</xdr:col>
          <xdr:colOff>990600</xdr:colOff>
          <xdr:row>60</xdr:row>
          <xdr:rowOff>184150</xdr:rowOff>
        </xdr:to>
        <xdr:sp macro="" textlink="">
          <xdr:nvSpPr>
            <xdr:cNvPr id="139319" name="Option Button 55" hidden="1">
              <a:extLst>
                <a:ext uri="{63B3BB69-23CF-44E3-9099-C40C66FF867C}">
                  <a14:compatExt spid="_x0000_s1393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61</xdr:row>
          <xdr:rowOff>31750</xdr:rowOff>
        </xdr:from>
        <xdr:to>
          <xdr:col>1</xdr:col>
          <xdr:colOff>990600</xdr:colOff>
          <xdr:row>61</xdr:row>
          <xdr:rowOff>184150</xdr:rowOff>
        </xdr:to>
        <xdr:sp macro="" textlink="">
          <xdr:nvSpPr>
            <xdr:cNvPr id="139320" name="Option Button 56" hidden="1">
              <a:extLst>
                <a:ext uri="{63B3BB69-23CF-44E3-9099-C40C66FF867C}">
                  <a14:compatExt spid="_x0000_s1393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62</xdr:row>
          <xdr:rowOff>31750</xdr:rowOff>
        </xdr:from>
        <xdr:to>
          <xdr:col>1</xdr:col>
          <xdr:colOff>990600</xdr:colOff>
          <xdr:row>62</xdr:row>
          <xdr:rowOff>184150</xdr:rowOff>
        </xdr:to>
        <xdr:sp macro="" textlink="">
          <xdr:nvSpPr>
            <xdr:cNvPr id="139321" name="Option Button 57" hidden="1">
              <a:extLst>
                <a:ext uri="{63B3BB69-23CF-44E3-9099-C40C66FF867C}">
                  <a14:compatExt spid="_x0000_s1393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63</xdr:row>
          <xdr:rowOff>31750</xdr:rowOff>
        </xdr:from>
        <xdr:to>
          <xdr:col>1</xdr:col>
          <xdr:colOff>984250</xdr:colOff>
          <xdr:row>63</xdr:row>
          <xdr:rowOff>184150</xdr:rowOff>
        </xdr:to>
        <xdr:sp macro="" textlink="">
          <xdr:nvSpPr>
            <xdr:cNvPr id="139322" name="Option Button 58" hidden="1">
              <a:extLst>
                <a:ext uri="{63B3BB69-23CF-44E3-9099-C40C66FF867C}">
                  <a14:compatExt spid="_x0000_s1393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64</xdr:row>
          <xdr:rowOff>31750</xdr:rowOff>
        </xdr:from>
        <xdr:to>
          <xdr:col>1</xdr:col>
          <xdr:colOff>990600</xdr:colOff>
          <xdr:row>64</xdr:row>
          <xdr:rowOff>184150</xdr:rowOff>
        </xdr:to>
        <xdr:sp macro="" textlink="">
          <xdr:nvSpPr>
            <xdr:cNvPr id="139323" name="Option Button 59" hidden="1">
              <a:extLst>
                <a:ext uri="{63B3BB69-23CF-44E3-9099-C40C66FF867C}">
                  <a14:compatExt spid="_x0000_s1393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65</xdr:row>
          <xdr:rowOff>31750</xdr:rowOff>
        </xdr:from>
        <xdr:to>
          <xdr:col>1</xdr:col>
          <xdr:colOff>990600</xdr:colOff>
          <xdr:row>65</xdr:row>
          <xdr:rowOff>184150</xdr:rowOff>
        </xdr:to>
        <xdr:sp macro="" textlink="">
          <xdr:nvSpPr>
            <xdr:cNvPr id="139324" name="Option Button 60" hidden="1">
              <a:extLst>
                <a:ext uri="{63B3BB69-23CF-44E3-9099-C40C66FF867C}">
                  <a14:compatExt spid="_x0000_s1393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66</xdr:row>
          <xdr:rowOff>31750</xdr:rowOff>
        </xdr:from>
        <xdr:to>
          <xdr:col>1</xdr:col>
          <xdr:colOff>990600</xdr:colOff>
          <xdr:row>66</xdr:row>
          <xdr:rowOff>184150</xdr:rowOff>
        </xdr:to>
        <xdr:sp macro="" textlink="">
          <xdr:nvSpPr>
            <xdr:cNvPr id="139325" name="Option Button 61" hidden="1">
              <a:extLst>
                <a:ext uri="{63B3BB69-23CF-44E3-9099-C40C66FF867C}">
                  <a14:compatExt spid="_x0000_s1393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67</xdr:row>
          <xdr:rowOff>31750</xdr:rowOff>
        </xdr:from>
        <xdr:to>
          <xdr:col>1</xdr:col>
          <xdr:colOff>990600</xdr:colOff>
          <xdr:row>67</xdr:row>
          <xdr:rowOff>184150</xdr:rowOff>
        </xdr:to>
        <xdr:sp macro="" textlink="">
          <xdr:nvSpPr>
            <xdr:cNvPr id="139326" name="Option Button 62" hidden="1">
              <a:extLst>
                <a:ext uri="{63B3BB69-23CF-44E3-9099-C40C66FF867C}">
                  <a14:compatExt spid="_x0000_s1393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68</xdr:row>
          <xdr:rowOff>31750</xdr:rowOff>
        </xdr:from>
        <xdr:to>
          <xdr:col>1</xdr:col>
          <xdr:colOff>990600</xdr:colOff>
          <xdr:row>68</xdr:row>
          <xdr:rowOff>184150</xdr:rowOff>
        </xdr:to>
        <xdr:sp macro="" textlink="">
          <xdr:nvSpPr>
            <xdr:cNvPr id="139327" name="Option Button 63" hidden="1">
              <a:extLst>
                <a:ext uri="{63B3BB69-23CF-44E3-9099-C40C66FF867C}">
                  <a14:compatExt spid="_x0000_s1393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69</xdr:row>
          <xdr:rowOff>31750</xdr:rowOff>
        </xdr:from>
        <xdr:to>
          <xdr:col>1</xdr:col>
          <xdr:colOff>990600</xdr:colOff>
          <xdr:row>69</xdr:row>
          <xdr:rowOff>184150</xdr:rowOff>
        </xdr:to>
        <xdr:sp macro="" textlink="">
          <xdr:nvSpPr>
            <xdr:cNvPr id="139328" name="Option Button 64" hidden="1">
              <a:extLst>
                <a:ext uri="{63B3BB69-23CF-44E3-9099-C40C66FF867C}">
                  <a14:compatExt spid="_x0000_s139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70</xdr:row>
          <xdr:rowOff>31750</xdr:rowOff>
        </xdr:from>
        <xdr:to>
          <xdr:col>1</xdr:col>
          <xdr:colOff>990600</xdr:colOff>
          <xdr:row>70</xdr:row>
          <xdr:rowOff>184150</xdr:rowOff>
        </xdr:to>
        <xdr:sp macro="" textlink="">
          <xdr:nvSpPr>
            <xdr:cNvPr id="139329" name="Option Button 65" hidden="1">
              <a:extLst>
                <a:ext uri="{63B3BB69-23CF-44E3-9099-C40C66FF867C}">
                  <a14:compatExt spid="_x0000_s1393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71</xdr:row>
          <xdr:rowOff>31750</xdr:rowOff>
        </xdr:from>
        <xdr:to>
          <xdr:col>1</xdr:col>
          <xdr:colOff>990600</xdr:colOff>
          <xdr:row>71</xdr:row>
          <xdr:rowOff>184150</xdr:rowOff>
        </xdr:to>
        <xdr:sp macro="" textlink="">
          <xdr:nvSpPr>
            <xdr:cNvPr id="139330" name="Option Button 66" hidden="1">
              <a:extLst>
                <a:ext uri="{63B3BB69-23CF-44E3-9099-C40C66FF867C}">
                  <a14:compatExt spid="_x0000_s1393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72</xdr:row>
          <xdr:rowOff>31750</xdr:rowOff>
        </xdr:from>
        <xdr:to>
          <xdr:col>1</xdr:col>
          <xdr:colOff>990600</xdr:colOff>
          <xdr:row>72</xdr:row>
          <xdr:rowOff>184150</xdr:rowOff>
        </xdr:to>
        <xdr:sp macro="" textlink="">
          <xdr:nvSpPr>
            <xdr:cNvPr id="139331" name="Option Button 67" hidden="1">
              <a:extLst>
                <a:ext uri="{63B3BB69-23CF-44E3-9099-C40C66FF867C}">
                  <a14:compatExt spid="_x0000_s1393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73</xdr:row>
          <xdr:rowOff>31750</xdr:rowOff>
        </xdr:from>
        <xdr:to>
          <xdr:col>1</xdr:col>
          <xdr:colOff>990600</xdr:colOff>
          <xdr:row>73</xdr:row>
          <xdr:rowOff>184150</xdr:rowOff>
        </xdr:to>
        <xdr:sp macro="" textlink="">
          <xdr:nvSpPr>
            <xdr:cNvPr id="139332" name="Option Button 68" hidden="1">
              <a:extLst>
                <a:ext uri="{63B3BB69-23CF-44E3-9099-C40C66FF867C}">
                  <a14:compatExt spid="_x0000_s1393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74</xdr:row>
          <xdr:rowOff>31750</xdr:rowOff>
        </xdr:from>
        <xdr:to>
          <xdr:col>1</xdr:col>
          <xdr:colOff>990600</xdr:colOff>
          <xdr:row>74</xdr:row>
          <xdr:rowOff>184150</xdr:rowOff>
        </xdr:to>
        <xdr:sp macro="" textlink="">
          <xdr:nvSpPr>
            <xdr:cNvPr id="139333" name="Option Button 69" hidden="1">
              <a:extLst>
                <a:ext uri="{63B3BB69-23CF-44E3-9099-C40C66FF867C}">
                  <a14:compatExt spid="_x0000_s1393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75</xdr:row>
          <xdr:rowOff>31750</xdr:rowOff>
        </xdr:from>
        <xdr:to>
          <xdr:col>1</xdr:col>
          <xdr:colOff>990600</xdr:colOff>
          <xdr:row>75</xdr:row>
          <xdr:rowOff>184150</xdr:rowOff>
        </xdr:to>
        <xdr:sp macro="" textlink="">
          <xdr:nvSpPr>
            <xdr:cNvPr id="139334" name="Option Button 70" hidden="1">
              <a:extLst>
                <a:ext uri="{63B3BB69-23CF-44E3-9099-C40C66FF867C}">
                  <a14:compatExt spid="_x0000_s1393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76</xdr:row>
          <xdr:rowOff>31750</xdr:rowOff>
        </xdr:from>
        <xdr:to>
          <xdr:col>1</xdr:col>
          <xdr:colOff>990600</xdr:colOff>
          <xdr:row>76</xdr:row>
          <xdr:rowOff>184150</xdr:rowOff>
        </xdr:to>
        <xdr:sp macro="" textlink="">
          <xdr:nvSpPr>
            <xdr:cNvPr id="139335" name="Option Button 71" hidden="1">
              <a:extLst>
                <a:ext uri="{63B3BB69-23CF-44E3-9099-C40C66FF867C}">
                  <a14:compatExt spid="_x0000_s1393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77</xdr:row>
          <xdr:rowOff>31750</xdr:rowOff>
        </xdr:from>
        <xdr:to>
          <xdr:col>1</xdr:col>
          <xdr:colOff>990600</xdr:colOff>
          <xdr:row>77</xdr:row>
          <xdr:rowOff>184150</xdr:rowOff>
        </xdr:to>
        <xdr:sp macro="" textlink="">
          <xdr:nvSpPr>
            <xdr:cNvPr id="139336" name="Option Button 72" hidden="1">
              <a:extLst>
                <a:ext uri="{63B3BB69-23CF-44E3-9099-C40C66FF867C}">
                  <a14:compatExt spid="_x0000_s1393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78</xdr:row>
          <xdr:rowOff>31750</xdr:rowOff>
        </xdr:from>
        <xdr:to>
          <xdr:col>1</xdr:col>
          <xdr:colOff>990600</xdr:colOff>
          <xdr:row>78</xdr:row>
          <xdr:rowOff>184150</xdr:rowOff>
        </xdr:to>
        <xdr:sp macro="" textlink="">
          <xdr:nvSpPr>
            <xdr:cNvPr id="139337" name="Option Button 73" hidden="1">
              <a:extLst>
                <a:ext uri="{63B3BB69-23CF-44E3-9099-C40C66FF867C}">
                  <a14:compatExt spid="_x0000_s1393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79</xdr:row>
          <xdr:rowOff>31750</xdr:rowOff>
        </xdr:from>
        <xdr:to>
          <xdr:col>1</xdr:col>
          <xdr:colOff>990600</xdr:colOff>
          <xdr:row>79</xdr:row>
          <xdr:rowOff>184150</xdr:rowOff>
        </xdr:to>
        <xdr:sp macro="" textlink="">
          <xdr:nvSpPr>
            <xdr:cNvPr id="139338" name="Option Button 74" hidden="1">
              <a:extLst>
                <a:ext uri="{63B3BB69-23CF-44E3-9099-C40C66FF867C}">
                  <a14:compatExt spid="_x0000_s1393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80</xdr:row>
          <xdr:rowOff>31750</xdr:rowOff>
        </xdr:from>
        <xdr:to>
          <xdr:col>1</xdr:col>
          <xdr:colOff>990600</xdr:colOff>
          <xdr:row>80</xdr:row>
          <xdr:rowOff>184150</xdr:rowOff>
        </xdr:to>
        <xdr:sp macro="" textlink="">
          <xdr:nvSpPr>
            <xdr:cNvPr id="139339" name="Option Button 75" hidden="1">
              <a:extLst>
                <a:ext uri="{63B3BB69-23CF-44E3-9099-C40C66FF867C}">
                  <a14:compatExt spid="_x0000_s1393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81</xdr:row>
          <xdr:rowOff>31750</xdr:rowOff>
        </xdr:from>
        <xdr:to>
          <xdr:col>1</xdr:col>
          <xdr:colOff>990600</xdr:colOff>
          <xdr:row>81</xdr:row>
          <xdr:rowOff>184150</xdr:rowOff>
        </xdr:to>
        <xdr:sp macro="" textlink="">
          <xdr:nvSpPr>
            <xdr:cNvPr id="139340" name="Option Button 76" hidden="1">
              <a:extLst>
                <a:ext uri="{63B3BB69-23CF-44E3-9099-C40C66FF867C}">
                  <a14:compatExt spid="_x0000_s1393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82</xdr:row>
          <xdr:rowOff>31750</xdr:rowOff>
        </xdr:from>
        <xdr:to>
          <xdr:col>1</xdr:col>
          <xdr:colOff>990600</xdr:colOff>
          <xdr:row>82</xdr:row>
          <xdr:rowOff>184150</xdr:rowOff>
        </xdr:to>
        <xdr:sp macro="" textlink="">
          <xdr:nvSpPr>
            <xdr:cNvPr id="139341" name="Option Button 77" hidden="1">
              <a:extLst>
                <a:ext uri="{63B3BB69-23CF-44E3-9099-C40C66FF867C}">
                  <a14:compatExt spid="_x0000_s1393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83</xdr:row>
          <xdr:rowOff>31750</xdr:rowOff>
        </xdr:from>
        <xdr:to>
          <xdr:col>1</xdr:col>
          <xdr:colOff>990600</xdr:colOff>
          <xdr:row>83</xdr:row>
          <xdr:rowOff>184150</xdr:rowOff>
        </xdr:to>
        <xdr:sp macro="" textlink="">
          <xdr:nvSpPr>
            <xdr:cNvPr id="139342" name="Option Button 78" hidden="1">
              <a:extLst>
                <a:ext uri="{63B3BB69-23CF-44E3-9099-C40C66FF867C}">
                  <a14:compatExt spid="_x0000_s1393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84</xdr:row>
          <xdr:rowOff>31750</xdr:rowOff>
        </xdr:from>
        <xdr:to>
          <xdr:col>1</xdr:col>
          <xdr:colOff>990600</xdr:colOff>
          <xdr:row>84</xdr:row>
          <xdr:rowOff>184150</xdr:rowOff>
        </xdr:to>
        <xdr:sp macro="" textlink="">
          <xdr:nvSpPr>
            <xdr:cNvPr id="139343" name="Option Button 79" hidden="1">
              <a:extLst>
                <a:ext uri="{63B3BB69-23CF-44E3-9099-C40C66FF867C}">
                  <a14:compatExt spid="_x0000_s1393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85</xdr:row>
          <xdr:rowOff>31750</xdr:rowOff>
        </xdr:from>
        <xdr:to>
          <xdr:col>1</xdr:col>
          <xdr:colOff>990600</xdr:colOff>
          <xdr:row>85</xdr:row>
          <xdr:rowOff>184150</xdr:rowOff>
        </xdr:to>
        <xdr:sp macro="" textlink="">
          <xdr:nvSpPr>
            <xdr:cNvPr id="139344" name="Option Button 80" hidden="1">
              <a:extLst>
                <a:ext uri="{63B3BB69-23CF-44E3-9099-C40C66FF867C}">
                  <a14:compatExt spid="_x0000_s1393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86</xdr:row>
          <xdr:rowOff>31750</xdr:rowOff>
        </xdr:from>
        <xdr:to>
          <xdr:col>1</xdr:col>
          <xdr:colOff>990600</xdr:colOff>
          <xdr:row>86</xdr:row>
          <xdr:rowOff>184150</xdr:rowOff>
        </xdr:to>
        <xdr:sp macro="" textlink="">
          <xdr:nvSpPr>
            <xdr:cNvPr id="139345" name="Option Button 81" hidden="1">
              <a:extLst>
                <a:ext uri="{63B3BB69-23CF-44E3-9099-C40C66FF867C}">
                  <a14:compatExt spid="_x0000_s1393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87</xdr:row>
          <xdr:rowOff>31750</xdr:rowOff>
        </xdr:from>
        <xdr:to>
          <xdr:col>1</xdr:col>
          <xdr:colOff>990600</xdr:colOff>
          <xdr:row>87</xdr:row>
          <xdr:rowOff>184150</xdr:rowOff>
        </xdr:to>
        <xdr:sp macro="" textlink="">
          <xdr:nvSpPr>
            <xdr:cNvPr id="139346" name="Option Button 82" hidden="1">
              <a:extLst>
                <a:ext uri="{63B3BB69-23CF-44E3-9099-C40C66FF867C}">
                  <a14:compatExt spid="_x0000_s1393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88</xdr:row>
          <xdr:rowOff>31750</xdr:rowOff>
        </xdr:from>
        <xdr:to>
          <xdr:col>1</xdr:col>
          <xdr:colOff>990600</xdr:colOff>
          <xdr:row>88</xdr:row>
          <xdr:rowOff>184150</xdr:rowOff>
        </xdr:to>
        <xdr:sp macro="" textlink="">
          <xdr:nvSpPr>
            <xdr:cNvPr id="139347" name="Option Button 83" hidden="1">
              <a:extLst>
                <a:ext uri="{63B3BB69-23CF-44E3-9099-C40C66FF867C}">
                  <a14:compatExt spid="_x0000_s1393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89</xdr:row>
          <xdr:rowOff>31750</xdr:rowOff>
        </xdr:from>
        <xdr:to>
          <xdr:col>1</xdr:col>
          <xdr:colOff>990600</xdr:colOff>
          <xdr:row>89</xdr:row>
          <xdr:rowOff>184150</xdr:rowOff>
        </xdr:to>
        <xdr:sp macro="" textlink="">
          <xdr:nvSpPr>
            <xdr:cNvPr id="139348" name="Option Button 84" hidden="1">
              <a:extLst>
                <a:ext uri="{63B3BB69-23CF-44E3-9099-C40C66FF867C}">
                  <a14:compatExt spid="_x0000_s1393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90</xdr:row>
          <xdr:rowOff>31750</xdr:rowOff>
        </xdr:from>
        <xdr:to>
          <xdr:col>1</xdr:col>
          <xdr:colOff>990600</xdr:colOff>
          <xdr:row>90</xdr:row>
          <xdr:rowOff>184150</xdr:rowOff>
        </xdr:to>
        <xdr:sp macro="" textlink="">
          <xdr:nvSpPr>
            <xdr:cNvPr id="139349" name="Option Button 85" hidden="1">
              <a:extLst>
                <a:ext uri="{63B3BB69-23CF-44E3-9099-C40C66FF867C}">
                  <a14:compatExt spid="_x0000_s1393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91</xdr:row>
          <xdr:rowOff>31750</xdr:rowOff>
        </xdr:from>
        <xdr:to>
          <xdr:col>1</xdr:col>
          <xdr:colOff>990600</xdr:colOff>
          <xdr:row>91</xdr:row>
          <xdr:rowOff>184150</xdr:rowOff>
        </xdr:to>
        <xdr:sp macro="" textlink="">
          <xdr:nvSpPr>
            <xdr:cNvPr id="139350" name="Option Button 86" hidden="1">
              <a:extLst>
                <a:ext uri="{63B3BB69-23CF-44E3-9099-C40C66FF867C}">
                  <a14:compatExt spid="_x0000_s1393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92</xdr:row>
          <xdr:rowOff>31750</xdr:rowOff>
        </xdr:from>
        <xdr:to>
          <xdr:col>1</xdr:col>
          <xdr:colOff>990600</xdr:colOff>
          <xdr:row>92</xdr:row>
          <xdr:rowOff>184150</xdr:rowOff>
        </xdr:to>
        <xdr:sp macro="" textlink="">
          <xdr:nvSpPr>
            <xdr:cNvPr id="139351" name="Option Button 87" hidden="1">
              <a:extLst>
                <a:ext uri="{63B3BB69-23CF-44E3-9099-C40C66FF867C}">
                  <a14:compatExt spid="_x0000_s1393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93</xdr:row>
          <xdr:rowOff>31750</xdr:rowOff>
        </xdr:from>
        <xdr:to>
          <xdr:col>1</xdr:col>
          <xdr:colOff>990600</xdr:colOff>
          <xdr:row>93</xdr:row>
          <xdr:rowOff>184150</xdr:rowOff>
        </xdr:to>
        <xdr:sp macro="" textlink="">
          <xdr:nvSpPr>
            <xdr:cNvPr id="139352" name="Option Button 88" hidden="1">
              <a:extLst>
                <a:ext uri="{63B3BB69-23CF-44E3-9099-C40C66FF867C}">
                  <a14:compatExt spid="_x0000_s1393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94</xdr:row>
          <xdr:rowOff>31750</xdr:rowOff>
        </xdr:from>
        <xdr:to>
          <xdr:col>1</xdr:col>
          <xdr:colOff>984250</xdr:colOff>
          <xdr:row>94</xdr:row>
          <xdr:rowOff>184150</xdr:rowOff>
        </xdr:to>
        <xdr:sp macro="" textlink="">
          <xdr:nvSpPr>
            <xdr:cNvPr id="139353" name="Option Button 89" hidden="1">
              <a:extLst>
                <a:ext uri="{63B3BB69-23CF-44E3-9099-C40C66FF867C}">
                  <a14:compatExt spid="_x0000_s1393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95</xdr:row>
          <xdr:rowOff>31750</xdr:rowOff>
        </xdr:from>
        <xdr:to>
          <xdr:col>1</xdr:col>
          <xdr:colOff>990600</xdr:colOff>
          <xdr:row>95</xdr:row>
          <xdr:rowOff>184150</xdr:rowOff>
        </xdr:to>
        <xdr:sp macro="" textlink="">
          <xdr:nvSpPr>
            <xdr:cNvPr id="139354" name="Option Button 90" hidden="1">
              <a:extLst>
                <a:ext uri="{63B3BB69-23CF-44E3-9099-C40C66FF867C}">
                  <a14:compatExt spid="_x0000_s1393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96</xdr:row>
          <xdr:rowOff>31750</xdr:rowOff>
        </xdr:from>
        <xdr:to>
          <xdr:col>1</xdr:col>
          <xdr:colOff>990600</xdr:colOff>
          <xdr:row>96</xdr:row>
          <xdr:rowOff>184150</xdr:rowOff>
        </xdr:to>
        <xdr:sp macro="" textlink="">
          <xdr:nvSpPr>
            <xdr:cNvPr id="139355" name="Option Button 91" hidden="1">
              <a:extLst>
                <a:ext uri="{63B3BB69-23CF-44E3-9099-C40C66FF867C}">
                  <a14:compatExt spid="_x0000_s1393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97</xdr:row>
          <xdr:rowOff>31750</xdr:rowOff>
        </xdr:from>
        <xdr:to>
          <xdr:col>1</xdr:col>
          <xdr:colOff>990600</xdr:colOff>
          <xdr:row>97</xdr:row>
          <xdr:rowOff>184150</xdr:rowOff>
        </xdr:to>
        <xdr:sp macro="" textlink="">
          <xdr:nvSpPr>
            <xdr:cNvPr id="139356" name="Option Button 92" hidden="1">
              <a:extLst>
                <a:ext uri="{63B3BB69-23CF-44E3-9099-C40C66FF867C}">
                  <a14:compatExt spid="_x0000_s1393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98</xdr:row>
          <xdr:rowOff>31750</xdr:rowOff>
        </xdr:from>
        <xdr:to>
          <xdr:col>1</xdr:col>
          <xdr:colOff>990600</xdr:colOff>
          <xdr:row>98</xdr:row>
          <xdr:rowOff>184150</xdr:rowOff>
        </xdr:to>
        <xdr:sp macro="" textlink="">
          <xdr:nvSpPr>
            <xdr:cNvPr id="139357" name="Option Button 93" hidden="1">
              <a:extLst>
                <a:ext uri="{63B3BB69-23CF-44E3-9099-C40C66FF867C}">
                  <a14:compatExt spid="_x0000_s1393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99</xdr:row>
          <xdr:rowOff>31750</xdr:rowOff>
        </xdr:from>
        <xdr:to>
          <xdr:col>1</xdr:col>
          <xdr:colOff>990600</xdr:colOff>
          <xdr:row>99</xdr:row>
          <xdr:rowOff>184150</xdr:rowOff>
        </xdr:to>
        <xdr:sp macro="" textlink="">
          <xdr:nvSpPr>
            <xdr:cNvPr id="139358" name="Option Button 94" hidden="1">
              <a:extLst>
                <a:ext uri="{63B3BB69-23CF-44E3-9099-C40C66FF867C}">
                  <a14:compatExt spid="_x0000_s1393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100</xdr:row>
          <xdr:rowOff>31750</xdr:rowOff>
        </xdr:from>
        <xdr:to>
          <xdr:col>1</xdr:col>
          <xdr:colOff>990600</xdr:colOff>
          <xdr:row>100</xdr:row>
          <xdr:rowOff>184150</xdr:rowOff>
        </xdr:to>
        <xdr:sp macro="" textlink="">
          <xdr:nvSpPr>
            <xdr:cNvPr id="139359" name="Option Button 95" hidden="1">
              <a:extLst>
                <a:ext uri="{63B3BB69-23CF-44E3-9099-C40C66FF867C}">
                  <a14:compatExt spid="_x0000_s1393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101</xdr:row>
          <xdr:rowOff>31750</xdr:rowOff>
        </xdr:from>
        <xdr:to>
          <xdr:col>1</xdr:col>
          <xdr:colOff>990600</xdr:colOff>
          <xdr:row>101</xdr:row>
          <xdr:rowOff>184150</xdr:rowOff>
        </xdr:to>
        <xdr:sp macro="" textlink="">
          <xdr:nvSpPr>
            <xdr:cNvPr id="139360" name="Option Button 96" hidden="1">
              <a:extLst>
                <a:ext uri="{63B3BB69-23CF-44E3-9099-C40C66FF867C}">
                  <a14:compatExt spid="_x0000_s1393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102</xdr:row>
          <xdr:rowOff>31750</xdr:rowOff>
        </xdr:from>
        <xdr:to>
          <xdr:col>1</xdr:col>
          <xdr:colOff>990600</xdr:colOff>
          <xdr:row>102</xdr:row>
          <xdr:rowOff>184150</xdr:rowOff>
        </xdr:to>
        <xdr:sp macro="" textlink="">
          <xdr:nvSpPr>
            <xdr:cNvPr id="139361" name="Option Button 97" hidden="1">
              <a:extLst>
                <a:ext uri="{63B3BB69-23CF-44E3-9099-C40C66FF867C}">
                  <a14:compatExt spid="_x0000_s1393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103</xdr:row>
          <xdr:rowOff>31750</xdr:rowOff>
        </xdr:from>
        <xdr:to>
          <xdr:col>1</xdr:col>
          <xdr:colOff>990600</xdr:colOff>
          <xdr:row>103</xdr:row>
          <xdr:rowOff>184150</xdr:rowOff>
        </xdr:to>
        <xdr:sp macro="" textlink="">
          <xdr:nvSpPr>
            <xdr:cNvPr id="139362" name="Option Button 98" hidden="1">
              <a:extLst>
                <a:ext uri="{63B3BB69-23CF-44E3-9099-C40C66FF867C}">
                  <a14:compatExt spid="_x0000_s1393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104</xdr:row>
          <xdr:rowOff>31750</xdr:rowOff>
        </xdr:from>
        <xdr:to>
          <xdr:col>1</xdr:col>
          <xdr:colOff>990600</xdr:colOff>
          <xdr:row>104</xdr:row>
          <xdr:rowOff>184150</xdr:rowOff>
        </xdr:to>
        <xdr:sp macro="" textlink="">
          <xdr:nvSpPr>
            <xdr:cNvPr id="139363" name="Option Button 99" hidden="1">
              <a:extLst>
                <a:ext uri="{63B3BB69-23CF-44E3-9099-C40C66FF867C}">
                  <a14:compatExt spid="_x0000_s1393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105</xdr:row>
          <xdr:rowOff>31750</xdr:rowOff>
        </xdr:from>
        <xdr:to>
          <xdr:col>1</xdr:col>
          <xdr:colOff>990600</xdr:colOff>
          <xdr:row>105</xdr:row>
          <xdr:rowOff>184150</xdr:rowOff>
        </xdr:to>
        <xdr:sp macro="" textlink="">
          <xdr:nvSpPr>
            <xdr:cNvPr id="139364" name="Option Button 100" hidden="1">
              <a:extLst>
                <a:ext uri="{63B3BB69-23CF-44E3-9099-C40C66FF867C}">
                  <a14:compatExt spid="_x0000_s1393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106</xdr:row>
          <xdr:rowOff>31750</xdr:rowOff>
        </xdr:from>
        <xdr:to>
          <xdr:col>1</xdr:col>
          <xdr:colOff>990600</xdr:colOff>
          <xdr:row>106</xdr:row>
          <xdr:rowOff>184150</xdr:rowOff>
        </xdr:to>
        <xdr:sp macro="" textlink="">
          <xdr:nvSpPr>
            <xdr:cNvPr id="139365" name="Option Button 101" hidden="1">
              <a:extLst>
                <a:ext uri="{63B3BB69-23CF-44E3-9099-C40C66FF867C}">
                  <a14:compatExt spid="_x0000_s1393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107</xdr:row>
          <xdr:rowOff>31750</xdr:rowOff>
        </xdr:from>
        <xdr:to>
          <xdr:col>1</xdr:col>
          <xdr:colOff>990600</xdr:colOff>
          <xdr:row>107</xdr:row>
          <xdr:rowOff>184150</xdr:rowOff>
        </xdr:to>
        <xdr:sp macro="" textlink="">
          <xdr:nvSpPr>
            <xdr:cNvPr id="139366" name="Option Button 102" hidden="1">
              <a:extLst>
                <a:ext uri="{63B3BB69-23CF-44E3-9099-C40C66FF867C}">
                  <a14:compatExt spid="_x0000_s1393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108</xdr:row>
          <xdr:rowOff>31750</xdr:rowOff>
        </xdr:from>
        <xdr:to>
          <xdr:col>1</xdr:col>
          <xdr:colOff>990600</xdr:colOff>
          <xdr:row>108</xdr:row>
          <xdr:rowOff>184150</xdr:rowOff>
        </xdr:to>
        <xdr:sp macro="" textlink="">
          <xdr:nvSpPr>
            <xdr:cNvPr id="139367" name="Option Button 103" hidden="1">
              <a:extLst>
                <a:ext uri="{63B3BB69-23CF-44E3-9099-C40C66FF867C}">
                  <a14:compatExt spid="_x0000_s1393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109</xdr:row>
          <xdr:rowOff>31750</xdr:rowOff>
        </xdr:from>
        <xdr:to>
          <xdr:col>1</xdr:col>
          <xdr:colOff>990600</xdr:colOff>
          <xdr:row>109</xdr:row>
          <xdr:rowOff>184150</xdr:rowOff>
        </xdr:to>
        <xdr:sp macro="" textlink="">
          <xdr:nvSpPr>
            <xdr:cNvPr id="139368" name="Option Button 104" hidden="1">
              <a:extLst>
                <a:ext uri="{63B3BB69-23CF-44E3-9099-C40C66FF867C}">
                  <a14:compatExt spid="_x0000_s1393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110</xdr:row>
          <xdr:rowOff>31750</xdr:rowOff>
        </xdr:from>
        <xdr:to>
          <xdr:col>1</xdr:col>
          <xdr:colOff>990600</xdr:colOff>
          <xdr:row>110</xdr:row>
          <xdr:rowOff>184150</xdr:rowOff>
        </xdr:to>
        <xdr:sp macro="" textlink="">
          <xdr:nvSpPr>
            <xdr:cNvPr id="139369" name="Option Button 105" hidden="1">
              <a:extLst>
                <a:ext uri="{63B3BB69-23CF-44E3-9099-C40C66FF867C}">
                  <a14:compatExt spid="_x0000_s1393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111</xdr:row>
          <xdr:rowOff>31750</xdr:rowOff>
        </xdr:from>
        <xdr:to>
          <xdr:col>1</xdr:col>
          <xdr:colOff>990600</xdr:colOff>
          <xdr:row>111</xdr:row>
          <xdr:rowOff>184150</xdr:rowOff>
        </xdr:to>
        <xdr:sp macro="" textlink="">
          <xdr:nvSpPr>
            <xdr:cNvPr id="139370" name="Option Button 106" hidden="1">
              <a:extLst>
                <a:ext uri="{63B3BB69-23CF-44E3-9099-C40C66FF867C}">
                  <a14:compatExt spid="_x0000_s1393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112</xdr:row>
          <xdr:rowOff>31750</xdr:rowOff>
        </xdr:from>
        <xdr:to>
          <xdr:col>1</xdr:col>
          <xdr:colOff>990600</xdr:colOff>
          <xdr:row>112</xdr:row>
          <xdr:rowOff>184150</xdr:rowOff>
        </xdr:to>
        <xdr:sp macro="" textlink="">
          <xdr:nvSpPr>
            <xdr:cNvPr id="139371" name="Option Button 107" hidden="1">
              <a:extLst>
                <a:ext uri="{63B3BB69-23CF-44E3-9099-C40C66FF867C}">
                  <a14:compatExt spid="_x0000_s1393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113</xdr:row>
          <xdr:rowOff>31750</xdr:rowOff>
        </xdr:from>
        <xdr:to>
          <xdr:col>1</xdr:col>
          <xdr:colOff>990600</xdr:colOff>
          <xdr:row>113</xdr:row>
          <xdr:rowOff>184150</xdr:rowOff>
        </xdr:to>
        <xdr:sp macro="" textlink="">
          <xdr:nvSpPr>
            <xdr:cNvPr id="139372" name="Option Button 108" hidden="1">
              <a:extLst>
                <a:ext uri="{63B3BB69-23CF-44E3-9099-C40C66FF867C}">
                  <a14:compatExt spid="_x0000_s1393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114</xdr:row>
          <xdr:rowOff>31750</xdr:rowOff>
        </xdr:from>
        <xdr:to>
          <xdr:col>1</xdr:col>
          <xdr:colOff>990600</xdr:colOff>
          <xdr:row>114</xdr:row>
          <xdr:rowOff>184150</xdr:rowOff>
        </xdr:to>
        <xdr:sp macro="" textlink="">
          <xdr:nvSpPr>
            <xdr:cNvPr id="139373" name="Option Button 109" hidden="1">
              <a:extLst>
                <a:ext uri="{63B3BB69-23CF-44E3-9099-C40C66FF867C}">
                  <a14:compatExt spid="_x0000_s1393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115</xdr:row>
          <xdr:rowOff>31750</xdr:rowOff>
        </xdr:from>
        <xdr:to>
          <xdr:col>1</xdr:col>
          <xdr:colOff>990600</xdr:colOff>
          <xdr:row>115</xdr:row>
          <xdr:rowOff>184150</xdr:rowOff>
        </xdr:to>
        <xdr:sp macro="" textlink="">
          <xdr:nvSpPr>
            <xdr:cNvPr id="139374" name="Option Button 110" hidden="1">
              <a:extLst>
                <a:ext uri="{63B3BB69-23CF-44E3-9099-C40C66FF867C}">
                  <a14:compatExt spid="_x0000_s1393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116</xdr:row>
          <xdr:rowOff>31750</xdr:rowOff>
        </xdr:from>
        <xdr:to>
          <xdr:col>1</xdr:col>
          <xdr:colOff>990600</xdr:colOff>
          <xdr:row>116</xdr:row>
          <xdr:rowOff>184150</xdr:rowOff>
        </xdr:to>
        <xdr:sp macro="" textlink="">
          <xdr:nvSpPr>
            <xdr:cNvPr id="139375" name="Option Button 111" hidden="1">
              <a:extLst>
                <a:ext uri="{63B3BB69-23CF-44E3-9099-C40C66FF867C}">
                  <a14:compatExt spid="_x0000_s1393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117</xdr:row>
          <xdr:rowOff>31750</xdr:rowOff>
        </xdr:from>
        <xdr:to>
          <xdr:col>1</xdr:col>
          <xdr:colOff>990600</xdr:colOff>
          <xdr:row>117</xdr:row>
          <xdr:rowOff>184150</xdr:rowOff>
        </xdr:to>
        <xdr:sp macro="" textlink="">
          <xdr:nvSpPr>
            <xdr:cNvPr id="139376" name="Option Button 112" hidden="1">
              <a:extLst>
                <a:ext uri="{63B3BB69-23CF-44E3-9099-C40C66FF867C}">
                  <a14:compatExt spid="_x0000_s1393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118</xdr:row>
          <xdr:rowOff>31750</xdr:rowOff>
        </xdr:from>
        <xdr:to>
          <xdr:col>1</xdr:col>
          <xdr:colOff>990600</xdr:colOff>
          <xdr:row>118</xdr:row>
          <xdr:rowOff>184150</xdr:rowOff>
        </xdr:to>
        <xdr:sp macro="" textlink="">
          <xdr:nvSpPr>
            <xdr:cNvPr id="139377" name="Option Button 113" hidden="1">
              <a:extLst>
                <a:ext uri="{63B3BB69-23CF-44E3-9099-C40C66FF867C}">
                  <a14:compatExt spid="_x0000_s1393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119</xdr:row>
          <xdr:rowOff>31750</xdr:rowOff>
        </xdr:from>
        <xdr:to>
          <xdr:col>1</xdr:col>
          <xdr:colOff>990600</xdr:colOff>
          <xdr:row>119</xdr:row>
          <xdr:rowOff>184150</xdr:rowOff>
        </xdr:to>
        <xdr:sp macro="" textlink="">
          <xdr:nvSpPr>
            <xdr:cNvPr id="139378" name="Option Button 114" hidden="1">
              <a:extLst>
                <a:ext uri="{63B3BB69-23CF-44E3-9099-C40C66FF867C}">
                  <a14:compatExt spid="_x0000_s1393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120</xdr:row>
          <xdr:rowOff>31750</xdr:rowOff>
        </xdr:from>
        <xdr:to>
          <xdr:col>1</xdr:col>
          <xdr:colOff>990600</xdr:colOff>
          <xdr:row>120</xdr:row>
          <xdr:rowOff>184150</xdr:rowOff>
        </xdr:to>
        <xdr:sp macro="" textlink="">
          <xdr:nvSpPr>
            <xdr:cNvPr id="139379" name="Option Button 115" hidden="1">
              <a:extLst>
                <a:ext uri="{63B3BB69-23CF-44E3-9099-C40C66FF867C}">
                  <a14:compatExt spid="_x0000_s1393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121</xdr:row>
          <xdr:rowOff>31750</xdr:rowOff>
        </xdr:from>
        <xdr:to>
          <xdr:col>1</xdr:col>
          <xdr:colOff>990600</xdr:colOff>
          <xdr:row>121</xdr:row>
          <xdr:rowOff>184150</xdr:rowOff>
        </xdr:to>
        <xdr:sp macro="" textlink="">
          <xdr:nvSpPr>
            <xdr:cNvPr id="139380" name="Option Button 116" hidden="1">
              <a:extLst>
                <a:ext uri="{63B3BB69-23CF-44E3-9099-C40C66FF867C}">
                  <a14:compatExt spid="_x0000_s1393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122</xdr:row>
          <xdr:rowOff>31750</xdr:rowOff>
        </xdr:from>
        <xdr:to>
          <xdr:col>1</xdr:col>
          <xdr:colOff>990600</xdr:colOff>
          <xdr:row>122</xdr:row>
          <xdr:rowOff>184150</xdr:rowOff>
        </xdr:to>
        <xdr:sp macro="" textlink="">
          <xdr:nvSpPr>
            <xdr:cNvPr id="139381" name="Option Button 117" hidden="1">
              <a:extLst>
                <a:ext uri="{63B3BB69-23CF-44E3-9099-C40C66FF867C}">
                  <a14:compatExt spid="_x0000_s1393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123</xdr:row>
          <xdr:rowOff>31750</xdr:rowOff>
        </xdr:from>
        <xdr:to>
          <xdr:col>1</xdr:col>
          <xdr:colOff>990600</xdr:colOff>
          <xdr:row>123</xdr:row>
          <xdr:rowOff>184150</xdr:rowOff>
        </xdr:to>
        <xdr:sp macro="" textlink="">
          <xdr:nvSpPr>
            <xdr:cNvPr id="139382" name="Option Button 118" hidden="1">
              <a:extLst>
                <a:ext uri="{63B3BB69-23CF-44E3-9099-C40C66FF867C}">
                  <a14:compatExt spid="_x0000_s1393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124</xdr:row>
          <xdr:rowOff>31750</xdr:rowOff>
        </xdr:from>
        <xdr:to>
          <xdr:col>1</xdr:col>
          <xdr:colOff>990600</xdr:colOff>
          <xdr:row>124</xdr:row>
          <xdr:rowOff>184150</xdr:rowOff>
        </xdr:to>
        <xdr:sp macro="" textlink="">
          <xdr:nvSpPr>
            <xdr:cNvPr id="139383" name="Option Button 119" hidden="1">
              <a:extLst>
                <a:ext uri="{63B3BB69-23CF-44E3-9099-C40C66FF867C}">
                  <a14:compatExt spid="_x0000_s1393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125</xdr:row>
          <xdr:rowOff>31750</xdr:rowOff>
        </xdr:from>
        <xdr:to>
          <xdr:col>1</xdr:col>
          <xdr:colOff>990600</xdr:colOff>
          <xdr:row>125</xdr:row>
          <xdr:rowOff>184150</xdr:rowOff>
        </xdr:to>
        <xdr:sp macro="" textlink="">
          <xdr:nvSpPr>
            <xdr:cNvPr id="139384" name="Option Button 120" hidden="1">
              <a:extLst>
                <a:ext uri="{63B3BB69-23CF-44E3-9099-C40C66FF867C}">
                  <a14:compatExt spid="_x0000_s1393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126</xdr:row>
          <xdr:rowOff>31750</xdr:rowOff>
        </xdr:from>
        <xdr:to>
          <xdr:col>1</xdr:col>
          <xdr:colOff>990600</xdr:colOff>
          <xdr:row>126</xdr:row>
          <xdr:rowOff>184150</xdr:rowOff>
        </xdr:to>
        <xdr:sp macro="" textlink="">
          <xdr:nvSpPr>
            <xdr:cNvPr id="139385" name="Option Button 121" hidden="1">
              <a:extLst>
                <a:ext uri="{63B3BB69-23CF-44E3-9099-C40C66FF867C}">
                  <a14:compatExt spid="_x0000_s1393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127</xdr:row>
          <xdr:rowOff>31750</xdr:rowOff>
        </xdr:from>
        <xdr:to>
          <xdr:col>1</xdr:col>
          <xdr:colOff>990600</xdr:colOff>
          <xdr:row>127</xdr:row>
          <xdr:rowOff>184150</xdr:rowOff>
        </xdr:to>
        <xdr:sp macro="" textlink="">
          <xdr:nvSpPr>
            <xdr:cNvPr id="139386" name="Option Button 122" hidden="1">
              <a:extLst>
                <a:ext uri="{63B3BB69-23CF-44E3-9099-C40C66FF867C}">
                  <a14:compatExt spid="_x0000_s1393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128</xdr:row>
          <xdr:rowOff>31750</xdr:rowOff>
        </xdr:from>
        <xdr:to>
          <xdr:col>1</xdr:col>
          <xdr:colOff>990600</xdr:colOff>
          <xdr:row>128</xdr:row>
          <xdr:rowOff>184150</xdr:rowOff>
        </xdr:to>
        <xdr:sp macro="" textlink="">
          <xdr:nvSpPr>
            <xdr:cNvPr id="139387" name="Option Button 123" hidden="1">
              <a:extLst>
                <a:ext uri="{63B3BB69-23CF-44E3-9099-C40C66FF867C}">
                  <a14:compatExt spid="_x0000_s1393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129</xdr:row>
          <xdr:rowOff>31750</xdr:rowOff>
        </xdr:from>
        <xdr:to>
          <xdr:col>1</xdr:col>
          <xdr:colOff>990600</xdr:colOff>
          <xdr:row>129</xdr:row>
          <xdr:rowOff>184150</xdr:rowOff>
        </xdr:to>
        <xdr:sp macro="" textlink="">
          <xdr:nvSpPr>
            <xdr:cNvPr id="139388" name="Option Button 124" hidden="1">
              <a:extLst>
                <a:ext uri="{63B3BB69-23CF-44E3-9099-C40C66FF867C}">
                  <a14:compatExt spid="_x0000_s1393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130</xdr:row>
          <xdr:rowOff>31750</xdr:rowOff>
        </xdr:from>
        <xdr:to>
          <xdr:col>1</xdr:col>
          <xdr:colOff>990600</xdr:colOff>
          <xdr:row>130</xdr:row>
          <xdr:rowOff>184150</xdr:rowOff>
        </xdr:to>
        <xdr:sp macro="" textlink="">
          <xdr:nvSpPr>
            <xdr:cNvPr id="139389" name="Option Button 125" hidden="1">
              <a:extLst>
                <a:ext uri="{63B3BB69-23CF-44E3-9099-C40C66FF867C}">
                  <a14:compatExt spid="_x0000_s1393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131</xdr:row>
          <xdr:rowOff>31750</xdr:rowOff>
        </xdr:from>
        <xdr:to>
          <xdr:col>1</xdr:col>
          <xdr:colOff>990600</xdr:colOff>
          <xdr:row>131</xdr:row>
          <xdr:rowOff>184150</xdr:rowOff>
        </xdr:to>
        <xdr:sp macro="" textlink="">
          <xdr:nvSpPr>
            <xdr:cNvPr id="139390" name="Option Button 126" hidden="1">
              <a:extLst>
                <a:ext uri="{63B3BB69-23CF-44E3-9099-C40C66FF867C}">
                  <a14:compatExt spid="_x0000_s1393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132</xdr:row>
          <xdr:rowOff>31750</xdr:rowOff>
        </xdr:from>
        <xdr:to>
          <xdr:col>1</xdr:col>
          <xdr:colOff>990600</xdr:colOff>
          <xdr:row>132</xdr:row>
          <xdr:rowOff>184150</xdr:rowOff>
        </xdr:to>
        <xdr:sp macro="" textlink="">
          <xdr:nvSpPr>
            <xdr:cNvPr id="139391" name="Option Button 127" hidden="1">
              <a:extLst>
                <a:ext uri="{63B3BB69-23CF-44E3-9099-C40C66FF867C}">
                  <a14:compatExt spid="_x0000_s1393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133</xdr:row>
          <xdr:rowOff>31750</xdr:rowOff>
        </xdr:from>
        <xdr:to>
          <xdr:col>1</xdr:col>
          <xdr:colOff>990600</xdr:colOff>
          <xdr:row>133</xdr:row>
          <xdr:rowOff>184150</xdr:rowOff>
        </xdr:to>
        <xdr:sp macro="" textlink="">
          <xdr:nvSpPr>
            <xdr:cNvPr id="139392" name="Option Button 128" hidden="1">
              <a:extLst>
                <a:ext uri="{63B3BB69-23CF-44E3-9099-C40C66FF867C}">
                  <a14:compatExt spid="_x0000_s1393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134</xdr:row>
          <xdr:rowOff>31750</xdr:rowOff>
        </xdr:from>
        <xdr:to>
          <xdr:col>1</xdr:col>
          <xdr:colOff>990600</xdr:colOff>
          <xdr:row>134</xdr:row>
          <xdr:rowOff>184150</xdr:rowOff>
        </xdr:to>
        <xdr:sp macro="" textlink="">
          <xdr:nvSpPr>
            <xdr:cNvPr id="139393" name="Option Button 129" hidden="1">
              <a:extLst>
                <a:ext uri="{63B3BB69-23CF-44E3-9099-C40C66FF867C}">
                  <a14:compatExt spid="_x0000_s1393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135</xdr:row>
          <xdr:rowOff>31750</xdr:rowOff>
        </xdr:from>
        <xdr:to>
          <xdr:col>1</xdr:col>
          <xdr:colOff>990600</xdr:colOff>
          <xdr:row>135</xdr:row>
          <xdr:rowOff>184150</xdr:rowOff>
        </xdr:to>
        <xdr:sp macro="" textlink="">
          <xdr:nvSpPr>
            <xdr:cNvPr id="139394" name="Option Button 130" hidden="1">
              <a:extLst>
                <a:ext uri="{63B3BB69-23CF-44E3-9099-C40C66FF867C}">
                  <a14:compatExt spid="_x0000_s1393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136</xdr:row>
          <xdr:rowOff>31750</xdr:rowOff>
        </xdr:from>
        <xdr:to>
          <xdr:col>1</xdr:col>
          <xdr:colOff>990600</xdr:colOff>
          <xdr:row>136</xdr:row>
          <xdr:rowOff>184150</xdr:rowOff>
        </xdr:to>
        <xdr:sp macro="" textlink="">
          <xdr:nvSpPr>
            <xdr:cNvPr id="139395" name="Option Button 131" hidden="1">
              <a:extLst>
                <a:ext uri="{63B3BB69-23CF-44E3-9099-C40C66FF867C}">
                  <a14:compatExt spid="_x0000_s1393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137</xdr:row>
          <xdr:rowOff>31750</xdr:rowOff>
        </xdr:from>
        <xdr:to>
          <xdr:col>1</xdr:col>
          <xdr:colOff>990600</xdr:colOff>
          <xdr:row>137</xdr:row>
          <xdr:rowOff>184150</xdr:rowOff>
        </xdr:to>
        <xdr:sp macro="" textlink="">
          <xdr:nvSpPr>
            <xdr:cNvPr id="139396" name="Option Button 132" hidden="1">
              <a:extLst>
                <a:ext uri="{63B3BB69-23CF-44E3-9099-C40C66FF867C}">
                  <a14:compatExt spid="_x0000_s1393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138</xdr:row>
          <xdr:rowOff>31750</xdr:rowOff>
        </xdr:from>
        <xdr:to>
          <xdr:col>1</xdr:col>
          <xdr:colOff>990600</xdr:colOff>
          <xdr:row>138</xdr:row>
          <xdr:rowOff>184150</xdr:rowOff>
        </xdr:to>
        <xdr:sp macro="" textlink="">
          <xdr:nvSpPr>
            <xdr:cNvPr id="139397" name="Option Button 133" hidden="1">
              <a:extLst>
                <a:ext uri="{63B3BB69-23CF-44E3-9099-C40C66FF867C}">
                  <a14:compatExt spid="_x0000_s1393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139</xdr:row>
          <xdr:rowOff>31750</xdr:rowOff>
        </xdr:from>
        <xdr:to>
          <xdr:col>1</xdr:col>
          <xdr:colOff>990600</xdr:colOff>
          <xdr:row>139</xdr:row>
          <xdr:rowOff>184150</xdr:rowOff>
        </xdr:to>
        <xdr:sp macro="" textlink="">
          <xdr:nvSpPr>
            <xdr:cNvPr id="139398" name="Option Button 134" hidden="1">
              <a:extLst>
                <a:ext uri="{63B3BB69-23CF-44E3-9099-C40C66FF867C}">
                  <a14:compatExt spid="_x0000_s1393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140</xdr:row>
          <xdr:rowOff>31750</xdr:rowOff>
        </xdr:from>
        <xdr:to>
          <xdr:col>1</xdr:col>
          <xdr:colOff>990600</xdr:colOff>
          <xdr:row>140</xdr:row>
          <xdr:rowOff>184150</xdr:rowOff>
        </xdr:to>
        <xdr:sp macro="" textlink="">
          <xdr:nvSpPr>
            <xdr:cNvPr id="139399" name="Option Button 135" hidden="1">
              <a:extLst>
                <a:ext uri="{63B3BB69-23CF-44E3-9099-C40C66FF867C}">
                  <a14:compatExt spid="_x0000_s1393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141</xdr:row>
          <xdr:rowOff>31750</xdr:rowOff>
        </xdr:from>
        <xdr:to>
          <xdr:col>1</xdr:col>
          <xdr:colOff>990600</xdr:colOff>
          <xdr:row>141</xdr:row>
          <xdr:rowOff>184150</xdr:rowOff>
        </xdr:to>
        <xdr:sp macro="" textlink="">
          <xdr:nvSpPr>
            <xdr:cNvPr id="139400" name="Option Button 136" hidden="1">
              <a:extLst>
                <a:ext uri="{63B3BB69-23CF-44E3-9099-C40C66FF867C}">
                  <a14:compatExt spid="_x0000_s1394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142</xdr:row>
          <xdr:rowOff>31750</xdr:rowOff>
        </xdr:from>
        <xdr:to>
          <xdr:col>1</xdr:col>
          <xdr:colOff>990600</xdr:colOff>
          <xdr:row>142</xdr:row>
          <xdr:rowOff>184150</xdr:rowOff>
        </xdr:to>
        <xdr:sp macro="" textlink="">
          <xdr:nvSpPr>
            <xdr:cNvPr id="139401" name="Option Button 137" hidden="1">
              <a:extLst>
                <a:ext uri="{63B3BB69-23CF-44E3-9099-C40C66FF867C}">
                  <a14:compatExt spid="_x0000_s1394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143</xdr:row>
          <xdr:rowOff>31750</xdr:rowOff>
        </xdr:from>
        <xdr:to>
          <xdr:col>1</xdr:col>
          <xdr:colOff>990600</xdr:colOff>
          <xdr:row>143</xdr:row>
          <xdr:rowOff>184150</xdr:rowOff>
        </xdr:to>
        <xdr:sp macro="" textlink="">
          <xdr:nvSpPr>
            <xdr:cNvPr id="139402" name="Option Button 138" hidden="1">
              <a:extLst>
                <a:ext uri="{63B3BB69-23CF-44E3-9099-C40C66FF867C}">
                  <a14:compatExt spid="_x0000_s139402"/>
                </a:ext>
              </a:extLst>
            </xdr:cNvPr>
            <xdr:cNvSpPr/>
          </xdr:nvSpPr>
          <xdr:spPr>
            <a:xfrm>
              <a:off x="0" y="0"/>
              <a:ext cx="0" cy="0"/>
            </a:xfrm>
            <a:prstGeom prst="rect">
              <a:avLst/>
            </a:prstGeom>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editAs="oneCell">
    <xdr:from>
      <xdr:col>2</xdr:col>
      <xdr:colOff>6725</xdr:colOff>
      <xdr:row>9</xdr:row>
      <xdr:rowOff>11206</xdr:rowOff>
    </xdr:from>
    <xdr:to>
      <xdr:col>2</xdr:col>
      <xdr:colOff>1176368</xdr:colOff>
      <xdr:row>10</xdr:row>
      <xdr:rowOff>364707</xdr:rowOff>
    </xdr:to>
    <xdr:pic>
      <xdr:nvPicPr>
        <xdr:cNvPr id="10" name="図 9"/>
        <xdr:cNvPicPr>
          <a:picLocks/>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55813" y="2767853"/>
          <a:ext cx="1169643" cy="734501"/>
        </a:xfrm>
        <a:prstGeom prst="rect">
          <a:avLst/>
        </a:prstGeom>
      </xdr:spPr>
    </xdr:pic>
    <xdr:clientData/>
  </xdr:twoCellAnchor>
  <xdr:twoCellAnchor>
    <xdr:from>
      <xdr:col>2</xdr:col>
      <xdr:colOff>302435</xdr:colOff>
      <xdr:row>7</xdr:row>
      <xdr:rowOff>141195</xdr:rowOff>
    </xdr:from>
    <xdr:to>
      <xdr:col>2</xdr:col>
      <xdr:colOff>880658</xdr:colOff>
      <xdr:row>8</xdr:row>
      <xdr:rowOff>284630</xdr:rowOff>
    </xdr:to>
    <xdr:pic>
      <xdr:nvPicPr>
        <xdr:cNvPr id="2" name="図 1" descr="アイコン&#10;&#10;自動的に生成された説明">
          <a:extLst>
            <a:ext uri="{FF2B5EF4-FFF2-40B4-BE49-F238E27FC236}">
              <a16:creationId xmlns:a16="http://schemas.microsoft.com/office/drawing/2014/main" xmlns="" id="{090547B2-F1DC-43CA-9CBC-CE21116F3AA9}"/>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851523" y="2135842"/>
          <a:ext cx="578223" cy="524435"/>
        </a:xfrm>
        <a:prstGeom prst="rect">
          <a:avLst/>
        </a:prstGeom>
      </xdr:spPr>
    </xdr:pic>
    <xdr:clientData/>
  </xdr:twoCellAnchor>
  <xdr:twoCellAnchor>
    <xdr:from>
      <xdr:col>2</xdr:col>
      <xdr:colOff>244164</xdr:colOff>
      <xdr:row>5</xdr:row>
      <xdr:rowOff>78442</xdr:rowOff>
    </xdr:from>
    <xdr:to>
      <xdr:col>2</xdr:col>
      <xdr:colOff>938928</xdr:colOff>
      <xdr:row>6</xdr:row>
      <xdr:rowOff>338419</xdr:rowOff>
    </xdr:to>
    <xdr:pic>
      <xdr:nvPicPr>
        <xdr:cNvPr id="3" name="図 2" descr="ロゴ&#10;&#10;自動的に生成された説明">
          <a:extLst>
            <a:ext uri="{FF2B5EF4-FFF2-40B4-BE49-F238E27FC236}">
              <a16:creationId xmlns:a16="http://schemas.microsoft.com/office/drawing/2014/main" xmlns="" id="{78C2C555-24BD-43AD-A935-A4E3CCAC36EA}"/>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793252" y="1311089"/>
          <a:ext cx="694764" cy="640977"/>
        </a:xfrm>
        <a:prstGeom prst="rect">
          <a:avLst/>
        </a:prstGeom>
      </xdr:spPr>
    </xdr:pic>
    <xdr:clientData/>
  </xdr:twoCellAnchor>
  <xdr:twoCellAnchor editAs="oneCell">
    <xdr:from>
      <xdr:col>2</xdr:col>
      <xdr:colOff>271059</xdr:colOff>
      <xdr:row>11</xdr:row>
      <xdr:rowOff>96372</xdr:rowOff>
    </xdr:from>
    <xdr:to>
      <xdr:col>2</xdr:col>
      <xdr:colOff>912034</xdr:colOff>
      <xdr:row>12</xdr:row>
      <xdr:rowOff>302560</xdr:rowOff>
    </xdr:to>
    <xdr:pic>
      <xdr:nvPicPr>
        <xdr:cNvPr id="5" name="図 4">
          <a:extLst>
            <a:ext uri="{FF2B5EF4-FFF2-40B4-BE49-F238E27FC236}">
              <a16:creationId xmlns:a16="http://schemas.microsoft.com/office/drawing/2014/main" xmlns="" id="{724E4173-6141-4115-9D2C-6AA38E9271A6}"/>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20147" y="3615019"/>
          <a:ext cx="640975" cy="58718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203200</xdr:colOff>
          <xdr:row>9</xdr:row>
          <xdr:rowOff>285750</xdr:rowOff>
        </xdr:from>
        <xdr:to>
          <xdr:col>4</xdr:col>
          <xdr:colOff>660400</xdr:colOff>
          <xdr:row>10</xdr:row>
          <xdr:rowOff>114300</xdr:rowOff>
        </xdr:to>
        <xdr:sp macro="" textlink="">
          <xdr:nvSpPr>
            <xdr:cNvPr id="155651" name="Check Box 3" hidden="1">
              <a:extLst>
                <a:ext uri="{63B3BB69-23CF-44E3-9099-C40C66FF867C}">
                  <a14:compatExt spid="_x0000_s1556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203200</xdr:colOff>
          <xdr:row>11</xdr:row>
          <xdr:rowOff>285750</xdr:rowOff>
        </xdr:from>
        <xdr:to>
          <xdr:col>4</xdr:col>
          <xdr:colOff>660400</xdr:colOff>
          <xdr:row>12</xdr:row>
          <xdr:rowOff>114300</xdr:rowOff>
        </xdr:to>
        <xdr:sp macro="" textlink="">
          <xdr:nvSpPr>
            <xdr:cNvPr id="155652" name="Check Box 4" hidden="1">
              <a:extLst>
                <a:ext uri="{63B3BB69-23CF-44E3-9099-C40C66FF867C}">
                  <a14:compatExt spid="_x0000_s155652"/>
                </a:ext>
              </a:extLst>
            </xdr:cNvPr>
            <xdr:cNvSpPr/>
          </xdr:nvSpPr>
          <xdr:spPr>
            <a:xfrm>
              <a:off x="0" y="0"/>
              <a:ext cx="0" cy="0"/>
            </a:xfrm>
            <a:prstGeom prst="rect">
              <a:avLst/>
            </a:prstGeom>
          </xdr:spPr>
        </xdr:sp>
        <xdr:clientData/>
      </xdr:twoCellAnchor>
    </mc:Choice>
    <mc:Fallback/>
  </mc:AlternateContent>
  <xdr:twoCellAnchor editAs="oneCell">
    <xdr:from>
      <xdr:col>2</xdr:col>
      <xdr:colOff>244880</xdr:colOff>
      <xdr:row>13</xdr:row>
      <xdr:rowOff>44827</xdr:rowOff>
    </xdr:from>
    <xdr:to>
      <xdr:col>2</xdr:col>
      <xdr:colOff>938213</xdr:colOff>
      <xdr:row>14</xdr:row>
      <xdr:rowOff>343827</xdr:rowOff>
    </xdr:to>
    <xdr:pic>
      <xdr:nvPicPr>
        <xdr:cNvPr id="7" name="図 6"/>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793968" y="4325474"/>
          <a:ext cx="693333" cy="6800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203200</xdr:colOff>
          <xdr:row>13</xdr:row>
          <xdr:rowOff>285750</xdr:rowOff>
        </xdr:from>
        <xdr:to>
          <xdr:col>4</xdr:col>
          <xdr:colOff>660400</xdr:colOff>
          <xdr:row>14</xdr:row>
          <xdr:rowOff>114300</xdr:rowOff>
        </xdr:to>
        <xdr:sp macro="" textlink="">
          <xdr:nvSpPr>
            <xdr:cNvPr id="155655" name="Check Box 7" hidden="1">
              <a:extLst>
                <a:ext uri="{63B3BB69-23CF-44E3-9099-C40C66FF867C}">
                  <a14:compatExt spid="_x0000_s1556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203200</xdr:colOff>
          <xdr:row>15</xdr:row>
          <xdr:rowOff>285750</xdr:rowOff>
        </xdr:from>
        <xdr:to>
          <xdr:col>4</xdr:col>
          <xdr:colOff>660400</xdr:colOff>
          <xdr:row>16</xdr:row>
          <xdr:rowOff>114300</xdr:rowOff>
        </xdr:to>
        <xdr:sp macro="" textlink="">
          <xdr:nvSpPr>
            <xdr:cNvPr id="155657" name="Check Box 9" hidden="1">
              <a:extLst>
                <a:ext uri="{63B3BB69-23CF-44E3-9099-C40C66FF867C}">
                  <a14:compatExt spid="_x0000_s155657"/>
                </a:ext>
              </a:extLst>
            </xdr:cNvPr>
            <xdr:cNvSpPr/>
          </xdr:nvSpPr>
          <xdr:spPr>
            <a:xfrm>
              <a:off x="0" y="0"/>
              <a:ext cx="0" cy="0"/>
            </a:xfrm>
            <a:prstGeom prst="rect">
              <a:avLst/>
            </a:prstGeom>
          </xdr:spPr>
        </xdr:sp>
        <xdr:clientData/>
      </xdr:twoCellAnchor>
    </mc:Choice>
    <mc:Fallback/>
  </mc:AlternateContent>
  <xdr:twoCellAnchor editAs="oneCell">
    <xdr:from>
      <xdr:col>2</xdr:col>
      <xdr:colOff>248118</xdr:colOff>
      <xdr:row>15</xdr:row>
      <xdr:rowOff>44827</xdr:rowOff>
    </xdr:from>
    <xdr:to>
      <xdr:col>2</xdr:col>
      <xdr:colOff>934975</xdr:colOff>
      <xdr:row>16</xdr:row>
      <xdr:rowOff>350684</xdr:rowOff>
    </xdr:to>
    <xdr:pic>
      <xdr:nvPicPr>
        <xdr:cNvPr id="4" name="図 3"/>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797206" y="5087474"/>
          <a:ext cx="686857" cy="68685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203200</xdr:colOff>
          <xdr:row>17</xdr:row>
          <xdr:rowOff>285750</xdr:rowOff>
        </xdr:from>
        <xdr:to>
          <xdr:col>4</xdr:col>
          <xdr:colOff>660400</xdr:colOff>
          <xdr:row>18</xdr:row>
          <xdr:rowOff>114300</xdr:rowOff>
        </xdr:to>
        <xdr:sp macro="" textlink="">
          <xdr:nvSpPr>
            <xdr:cNvPr id="155661" name="Check Box 13" hidden="1">
              <a:extLst>
                <a:ext uri="{63B3BB69-23CF-44E3-9099-C40C66FF867C}">
                  <a14:compatExt spid="_x0000_s1556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203200</xdr:colOff>
          <xdr:row>19</xdr:row>
          <xdr:rowOff>285750</xdr:rowOff>
        </xdr:from>
        <xdr:to>
          <xdr:col>4</xdr:col>
          <xdr:colOff>660400</xdr:colOff>
          <xdr:row>20</xdr:row>
          <xdr:rowOff>114300</xdr:rowOff>
        </xdr:to>
        <xdr:sp macro="" textlink="">
          <xdr:nvSpPr>
            <xdr:cNvPr id="155662" name="Check Box 14" hidden="1">
              <a:extLst>
                <a:ext uri="{63B3BB69-23CF-44E3-9099-C40C66FF867C}">
                  <a14:compatExt spid="_x0000_s155662"/>
                </a:ext>
              </a:extLst>
            </xdr:cNvPr>
            <xdr:cNvSpPr/>
          </xdr:nvSpPr>
          <xdr:spPr>
            <a:xfrm>
              <a:off x="0" y="0"/>
              <a:ext cx="0" cy="0"/>
            </a:xfrm>
            <a:prstGeom prst="rect">
              <a:avLst/>
            </a:prstGeom>
          </xdr:spPr>
        </xdr:sp>
        <xdr:clientData/>
      </xdr:twoCellAnchor>
    </mc:Choice>
    <mc:Fallback/>
  </mc:AlternateContent>
  <xdr:twoCellAnchor editAs="oneCell">
    <xdr:from>
      <xdr:col>2</xdr:col>
      <xdr:colOff>263927</xdr:colOff>
      <xdr:row>17</xdr:row>
      <xdr:rowOff>67264</xdr:rowOff>
    </xdr:from>
    <xdr:to>
      <xdr:col>2</xdr:col>
      <xdr:colOff>919165</xdr:colOff>
      <xdr:row>18</xdr:row>
      <xdr:rowOff>341502</xdr:rowOff>
    </xdr:to>
    <xdr:pic>
      <xdr:nvPicPr>
        <xdr:cNvPr id="6" name="図 5"/>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813015" y="5871911"/>
          <a:ext cx="655238" cy="655238"/>
        </a:xfrm>
        <a:prstGeom prst="rect">
          <a:avLst/>
        </a:prstGeom>
      </xdr:spPr>
    </xdr:pic>
    <xdr:clientData/>
  </xdr:twoCellAnchor>
  <xdr:twoCellAnchor editAs="oneCell">
    <xdr:from>
      <xdr:col>2</xdr:col>
      <xdr:colOff>241546</xdr:colOff>
      <xdr:row>19</xdr:row>
      <xdr:rowOff>33646</xdr:rowOff>
    </xdr:from>
    <xdr:to>
      <xdr:col>2</xdr:col>
      <xdr:colOff>941546</xdr:colOff>
      <xdr:row>20</xdr:row>
      <xdr:rowOff>352646</xdr:rowOff>
    </xdr:to>
    <xdr:pic>
      <xdr:nvPicPr>
        <xdr:cNvPr id="8" name="図 7"/>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790634" y="6600293"/>
          <a:ext cx="700000" cy="7000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203200</xdr:colOff>
          <xdr:row>21</xdr:row>
          <xdr:rowOff>285750</xdr:rowOff>
        </xdr:from>
        <xdr:to>
          <xdr:col>4</xdr:col>
          <xdr:colOff>660400</xdr:colOff>
          <xdr:row>22</xdr:row>
          <xdr:rowOff>114300</xdr:rowOff>
        </xdr:to>
        <xdr:sp macro="" textlink="">
          <xdr:nvSpPr>
            <xdr:cNvPr id="155664" name="Check Box 16" hidden="1">
              <a:extLst>
                <a:ext uri="{63B3BB69-23CF-44E3-9099-C40C66FF867C}">
                  <a14:compatExt spid="_x0000_s155664"/>
                </a:ext>
              </a:extLst>
            </xdr:cNvPr>
            <xdr:cNvSpPr/>
          </xdr:nvSpPr>
          <xdr:spPr>
            <a:xfrm>
              <a:off x="0" y="0"/>
              <a:ext cx="0" cy="0"/>
            </a:xfrm>
            <a:prstGeom prst="rect">
              <a:avLst/>
            </a:prstGeom>
          </xdr:spPr>
        </xdr:sp>
        <xdr:clientData/>
      </xdr:twoCellAnchor>
    </mc:Choice>
    <mc:Fallback/>
  </mc:AlternateContent>
  <xdr:twoCellAnchor editAs="oneCell">
    <xdr:from>
      <xdr:col>2</xdr:col>
      <xdr:colOff>274594</xdr:colOff>
      <xdr:row>21</xdr:row>
      <xdr:rowOff>56035</xdr:rowOff>
    </xdr:from>
    <xdr:to>
      <xdr:col>2</xdr:col>
      <xdr:colOff>908499</xdr:colOff>
      <xdr:row>22</xdr:row>
      <xdr:rowOff>308940</xdr:rowOff>
    </xdr:to>
    <xdr:pic>
      <xdr:nvPicPr>
        <xdr:cNvPr id="9" name="図 8"/>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823682" y="7384682"/>
          <a:ext cx="633905" cy="633905"/>
        </a:xfrm>
        <a:prstGeom prst="rect">
          <a:avLst/>
        </a:prstGeom>
      </xdr:spPr>
    </xdr:pic>
    <xdr:clientData/>
  </xdr:twoCellAnchor>
  <xdr:twoCellAnchor editAs="oneCell">
    <xdr:from>
      <xdr:col>2</xdr:col>
      <xdr:colOff>246532</xdr:colOff>
      <xdr:row>23</xdr:row>
      <xdr:rowOff>22412</xdr:rowOff>
    </xdr:from>
    <xdr:to>
      <xdr:col>2</xdr:col>
      <xdr:colOff>914403</xdr:colOff>
      <xdr:row>26</xdr:row>
      <xdr:rowOff>324613</xdr:rowOff>
    </xdr:to>
    <xdr:pic>
      <xdr:nvPicPr>
        <xdr:cNvPr id="24" name="図 23"/>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795620" y="8113059"/>
          <a:ext cx="667871" cy="70561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203200</xdr:colOff>
          <xdr:row>25</xdr:row>
          <xdr:rowOff>285750</xdr:rowOff>
        </xdr:from>
        <xdr:to>
          <xdr:col>4</xdr:col>
          <xdr:colOff>660400</xdr:colOff>
          <xdr:row>26</xdr:row>
          <xdr:rowOff>114300</xdr:rowOff>
        </xdr:to>
        <xdr:sp macro="" textlink="">
          <xdr:nvSpPr>
            <xdr:cNvPr id="155668" name="Check Box 20" hidden="1">
              <a:extLst>
                <a:ext uri="{63B3BB69-23CF-44E3-9099-C40C66FF867C}">
                  <a14:compatExt spid="_x0000_s155668"/>
                </a:ext>
              </a:extLst>
            </xdr:cNvPr>
            <xdr:cNvSpPr/>
          </xdr:nvSpPr>
          <xdr:spPr>
            <a:xfrm>
              <a:off x="0" y="0"/>
              <a:ext cx="0" cy="0"/>
            </a:xfrm>
            <a:prstGeom prst="rect">
              <a:avLst/>
            </a:prstGeom>
          </xdr:spPr>
        </xdr:sp>
        <xdr:clientData/>
      </xdr:twoCellAnchor>
    </mc:Choice>
    <mc:Fallback/>
  </mc:AlternateContent>
  <xdr:twoCellAnchor editAs="oneCell">
    <xdr:from>
      <xdr:col>2</xdr:col>
      <xdr:colOff>235333</xdr:colOff>
      <xdr:row>25</xdr:row>
      <xdr:rowOff>33625</xdr:rowOff>
    </xdr:from>
    <xdr:to>
      <xdr:col>2</xdr:col>
      <xdr:colOff>921048</xdr:colOff>
      <xdr:row>26</xdr:row>
      <xdr:rowOff>338340</xdr:rowOff>
    </xdr:to>
    <xdr:pic>
      <xdr:nvPicPr>
        <xdr:cNvPr id="11" name="図 10"/>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784421" y="8886272"/>
          <a:ext cx="685715" cy="68571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203200</xdr:colOff>
          <xdr:row>27</xdr:row>
          <xdr:rowOff>285750</xdr:rowOff>
        </xdr:from>
        <xdr:to>
          <xdr:col>4</xdr:col>
          <xdr:colOff>660400</xdr:colOff>
          <xdr:row>28</xdr:row>
          <xdr:rowOff>114300</xdr:rowOff>
        </xdr:to>
        <xdr:sp macro="" textlink="">
          <xdr:nvSpPr>
            <xdr:cNvPr id="155669" name="Check Box 21" hidden="1">
              <a:extLst>
                <a:ext uri="{63B3BB69-23CF-44E3-9099-C40C66FF867C}">
                  <a14:compatExt spid="_x0000_s1556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203200</xdr:colOff>
          <xdr:row>29</xdr:row>
          <xdr:rowOff>285750</xdr:rowOff>
        </xdr:from>
        <xdr:to>
          <xdr:col>4</xdr:col>
          <xdr:colOff>660400</xdr:colOff>
          <xdr:row>30</xdr:row>
          <xdr:rowOff>114300</xdr:rowOff>
        </xdr:to>
        <xdr:sp macro="" textlink="">
          <xdr:nvSpPr>
            <xdr:cNvPr id="155670" name="Check Box 22" hidden="1">
              <a:extLst>
                <a:ext uri="{63B3BB69-23CF-44E3-9099-C40C66FF867C}">
                  <a14:compatExt spid="_x0000_s155670"/>
                </a:ext>
              </a:extLst>
            </xdr:cNvPr>
            <xdr:cNvSpPr/>
          </xdr:nvSpPr>
          <xdr:spPr>
            <a:xfrm>
              <a:off x="0" y="0"/>
              <a:ext cx="0" cy="0"/>
            </a:xfrm>
            <a:prstGeom prst="rect">
              <a:avLst/>
            </a:prstGeom>
          </xdr:spPr>
        </xdr:sp>
        <xdr:clientData/>
      </xdr:twoCellAnchor>
    </mc:Choice>
    <mc:Fallback/>
  </mc:AlternateContent>
  <xdr:twoCellAnchor editAs="oneCell">
    <xdr:from>
      <xdr:col>2</xdr:col>
      <xdr:colOff>224141</xdr:colOff>
      <xdr:row>27</xdr:row>
      <xdr:rowOff>33639</xdr:rowOff>
    </xdr:from>
    <xdr:to>
      <xdr:col>2</xdr:col>
      <xdr:colOff>939855</xdr:colOff>
      <xdr:row>28</xdr:row>
      <xdr:rowOff>368353</xdr:rowOff>
    </xdr:to>
    <xdr:pic>
      <xdr:nvPicPr>
        <xdr:cNvPr id="12" name="図 11"/>
        <xdr:cNvPicPr>
          <a:picLocks noChangeAspect="1"/>
        </xdr:cNvPicPr>
      </xdr:nvPicPr>
      <xdr:blipFill>
        <a:blip xmlns:r="http://schemas.openxmlformats.org/officeDocument/2006/relationships" r:embed="rId12"/>
        <a:stretch>
          <a:fillRect/>
        </a:stretch>
      </xdr:blipFill>
      <xdr:spPr>
        <a:xfrm>
          <a:off x="773229" y="8886286"/>
          <a:ext cx="715714" cy="715714"/>
        </a:xfrm>
        <a:prstGeom prst="rect">
          <a:avLst/>
        </a:prstGeom>
      </xdr:spPr>
    </xdr:pic>
    <xdr:clientData/>
  </xdr:twoCellAnchor>
  <xdr:twoCellAnchor editAs="oneCell">
    <xdr:from>
      <xdr:col>2</xdr:col>
      <xdr:colOff>224129</xdr:colOff>
      <xdr:row>29</xdr:row>
      <xdr:rowOff>33627</xdr:rowOff>
    </xdr:from>
    <xdr:to>
      <xdr:col>2</xdr:col>
      <xdr:colOff>918986</xdr:colOff>
      <xdr:row>30</xdr:row>
      <xdr:rowOff>347484</xdr:rowOff>
    </xdr:to>
    <xdr:pic>
      <xdr:nvPicPr>
        <xdr:cNvPr id="13" name="図 12"/>
        <xdr:cNvPicPr>
          <a:picLocks noChangeAspect="1"/>
        </xdr:cNvPicPr>
      </xdr:nvPicPr>
      <xdr:blipFill>
        <a:blip xmlns:r="http://schemas.openxmlformats.org/officeDocument/2006/relationships" r:embed="rId13"/>
        <a:stretch>
          <a:fillRect/>
        </a:stretch>
      </xdr:blipFill>
      <xdr:spPr>
        <a:xfrm>
          <a:off x="773217" y="9648274"/>
          <a:ext cx="694857" cy="69485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203200</xdr:colOff>
          <xdr:row>31</xdr:row>
          <xdr:rowOff>285750</xdr:rowOff>
        </xdr:from>
        <xdr:to>
          <xdr:col>4</xdr:col>
          <xdr:colOff>660400</xdr:colOff>
          <xdr:row>32</xdr:row>
          <xdr:rowOff>114300</xdr:rowOff>
        </xdr:to>
        <xdr:sp macro="" textlink="">
          <xdr:nvSpPr>
            <xdr:cNvPr id="155673" name="Check Box 25" hidden="1">
              <a:extLst>
                <a:ext uri="{63B3BB69-23CF-44E3-9099-C40C66FF867C}">
                  <a14:compatExt spid="_x0000_s1556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203200</xdr:colOff>
          <xdr:row>33</xdr:row>
          <xdr:rowOff>285750</xdr:rowOff>
        </xdr:from>
        <xdr:to>
          <xdr:col>4</xdr:col>
          <xdr:colOff>660400</xdr:colOff>
          <xdr:row>34</xdr:row>
          <xdr:rowOff>114300</xdr:rowOff>
        </xdr:to>
        <xdr:sp macro="" textlink="">
          <xdr:nvSpPr>
            <xdr:cNvPr id="155674" name="Check Box 26" hidden="1">
              <a:extLst>
                <a:ext uri="{63B3BB69-23CF-44E3-9099-C40C66FF867C}">
                  <a14:compatExt spid="_x0000_s155674"/>
                </a:ext>
              </a:extLst>
            </xdr:cNvPr>
            <xdr:cNvSpPr/>
          </xdr:nvSpPr>
          <xdr:spPr>
            <a:xfrm>
              <a:off x="0" y="0"/>
              <a:ext cx="0" cy="0"/>
            </a:xfrm>
            <a:prstGeom prst="rect">
              <a:avLst/>
            </a:prstGeom>
          </xdr:spPr>
        </xdr:sp>
        <xdr:clientData/>
      </xdr:twoCellAnchor>
    </mc:Choice>
    <mc:Fallback/>
  </mc:AlternateContent>
  <xdr:twoCellAnchor editAs="oneCell">
    <xdr:from>
      <xdr:col>2</xdr:col>
      <xdr:colOff>190502</xdr:colOff>
      <xdr:row>31</xdr:row>
      <xdr:rowOff>22412</xdr:rowOff>
    </xdr:from>
    <xdr:to>
      <xdr:col>2</xdr:col>
      <xdr:colOff>922022</xdr:colOff>
      <xdr:row>32</xdr:row>
      <xdr:rowOff>372932</xdr:rowOff>
    </xdr:to>
    <xdr:pic>
      <xdr:nvPicPr>
        <xdr:cNvPr id="30" name="図 29" descr="C:\Users\tchiba\AppData\Local\Packages\Microsoft.Windows.Photos_8wekyb3d8bbwe\TempState\ShareServiceTempFolder\CASHIER POS_icon.jpeg"/>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739590" y="11161059"/>
          <a:ext cx="731520" cy="731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224120</xdr:colOff>
      <xdr:row>33</xdr:row>
      <xdr:rowOff>56030</xdr:rowOff>
    </xdr:from>
    <xdr:to>
      <xdr:col>2</xdr:col>
      <xdr:colOff>874360</xdr:colOff>
      <xdr:row>34</xdr:row>
      <xdr:rowOff>325270</xdr:rowOff>
    </xdr:to>
    <xdr:pic>
      <xdr:nvPicPr>
        <xdr:cNvPr id="31" name="図 30" descr="C:\Users\tchiba\AppData\Local\Packages\Microsoft.Windows.Photos_8wekyb3d8bbwe\TempState\ShareServiceTempFolder\icon_handy.jpeg"/>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773208" y="11956677"/>
          <a:ext cx="650240" cy="650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4</xdr:col>
          <xdr:colOff>203200</xdr:colOff>
          <xdr:row>7</xdr:row>
          <xdr:rowOff>285750</xdr:rowOff>
        </xdr:from>
        <xdr:to>
          <xdr:col>4</xdr:col>
          <xdr:colOff>660400</xdr:colOff>
          <xdr:row>8</xdr:row>
          <xdr:rowOff>114300</xdr:rowOff>
        </xdr:to>
        <xdr:sp macro="" textlink="">
          <xdr:nvSpPr>
            <xdr:cNvPr id="155675" name="Check Box 27" hidden="1">
              <a:extLst>
                <a:ext uri="{63B3BB69-23CF-44E3-9099-C40C66FF867C}">
                  <a14:compatExt spid="_x0000_s15567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0</xdr:colOff>
      <xdr:row>10</xdr:row>
      <xdr:rowOff>0</xdr:rowOff>
    </xdr:from>
    <xdr:to>
      <xdr:col>11</xdr:col>
      <xdr:colOff>144562</xdr:colOff>
      <xdr:row>11</xdr:row>
      <xdr:rowOff>98742</xdr:rowOff>
    </xdr:to>
    <xdr:sp macro="" textlink="">
      <xdr:nvSpPr>
        <xdr:cNvPr id="3" name="角丸四角形 2"/>
        <xdr:cNvSpPr/>
      </xdr:nvSpPr>
      <xdr:spPr>
        <a:xfrm>
          <a:off x="515471" y="2465294"/>
          <a:ext cx="2464179" cy="345272"/>
        </a:xfrm>
        <a:prstGeom prst="roundRect">
          <a:avLst>
            <a:gd name="adj" fmla="val 50000"/>
          </a:avLst>
        </a:prstGeom>
        <a:solidFill>
          <a:schemeClr val="tx1"/>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bg1"/>
              </a:solidFill>
              <a:latin typeface="+mj-ea"/>
              <a:ea typeface="+mj-ea"/>
            </a:rPr>
            <a:t>6.</a:t>
          </a:r>
          <a:r>
            <a:rPr kumimoji="1" lang="ja-JP" altLang="en-US" sz="1400" b="1">
              <a:solidFill>
                <a:schemeClr val="bg1"/>
              </a:solidFill>
              <a:latin typeface="+mj-ea"/>
              <a:ea typeface="+mj-ea"/>
            </a:rPr>
            <a:t>お申し込み決済手段</a:t>
          </a:r>
        </a:p>
      </xdr:txBody>
    </xdr:sp>
    <xdr:clientData/>
  </xdr:twoCellAnchor>
  <mc:AlternateContent xmlns:mc="http://schemas.openxmlformats.org/markup-compatibility/2006">
    <mc:Choice xmlns:a14="http://schemas.microsoft.com/office/drawing/2010/main" Requires="a14">
      <xdr:twoCellAnchor editAs="oneCell">
        <xdr:from>
          <xdr:col>11</xdr:col>
          <xdr:colOff>184150</xdr:colOff>
          <xdr:row>20</xdr:row>
          <xdr:rowOff>12700</xdr:rowOff>
        </xdr:from>
        <xdr:to>
          <xdr:col>13</xdr:col>
          <xdr:colOff>19050</xdr:colOff>
          <xdr:row>20</xdr:row>
          <xdr:rowOff>222250</xdr:rowOff>
        </xdr:to>
        <xdr:sp macro="" textlink="">
          <xdr:nvSpPr>
            <xdr:cNvPr id="89089" name="Check Box 1" hidden="1">
              <a:extLst>
                <a:ext uri="{63B3BB69-23CF-44E3-9099-C40C66FF867C}">
                  <a14:compatExt spid="_x0000_s890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184150</xdr:colOff>
          <xdr:row>21</xdr:row>
          <xdr:rowOff>12700</xdr:rowOff>
        </xdr:from>
        <xdr:to>
          <xdr:col>13</xdr:col>
          <xdr:colOff>19050</xdr:colOff>
          <xdr:row>21</xdr:row>
          <xdr:rowOff>222250</xdr:rowOff>
        </xdr:to>
        <xdr:sp macro="" textlink="">
          <xdr:nvSpPr>
            <xdr:cNvPr id="89090" name="Check Box 2" hidden="1">
              <a:extLst>
                <a:ext uri="{63B3BB69-23CF-44E3-9099-C40C66FF867C}">
                  <a14:compatExt spid="_x0000_s890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184150</xdr:colOff>
          <xdr:row>22</xdr:row>
          <xdr:rowOff>12700</xdr:rowOff>
        </xdr:from>
        <xdr:to>
          <xdr:col>13</xdr:col>
          <xdr:colOff>19050</xdr:colOff>
          <xdr:row>22</xdr:row>
          <xdr:rowOff>222250</xdr:rowOff>
        </xdr:to>
        <xdr:sp macro="" textlink="">
          <xdr:nvSpPr>
            <xdr:cNvPr id="89091" name="Check Box 3" hidden="1">
              <a:extLst>
                <a:ext uri="{63B3BB69-23CF-44E3-9099-C40C66FF867C}">
                  <a14:compatExt spid="_x0000_s890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184150</xdr:colOff>
          <xdr:row>19</xdr:row>
          <xdr:rowOff>31750</xdr:rowOff>
        </xdr:from>
        <xdr:to>
          <xdr:col>13</xdr:col>
          <xdr:colOff>19050</xdr:colOff>
          <xdr:row>19</xdr:row>
          <xdr:rowOff>241300</xdr:rowOff>
        </xdr:to>
        <xdr:sp macro="" textlink="">
          <xdr:nvSpPr>
            <xdr:cNvPr id="89093" name="Check Box 5" hidden="1">
              <a:extLst>
                <a:ext uri="{63B3BB69-23CF-44E3-9099-C40C66FF867C}">
                  <a14:compatExt spid="_x0000_s890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146050</xdr:colOff>
          <xdr:row>17</xdr:row>
          <xdr:rowOff>31750</xdr:rowOff>
        </xdr:from>
        <xdr:to>
          <xdr:col>10</xdr:col>
          <xdr:colOff>247650</xdr:colOff>
          <xdr:row>17</xdr:row>
          <xdr:rowOff>241300</xdr:rowOff>
        </xdr:to>
        <xdr:sp macro="" textlink="">
          <xdr:nvSpPr>
            <xdr:cNvPr id="89094" name="Check Box 6" hidden="1">
              <a:extLst>
                <a:ext uri="{63B3BB69-23CF-44E3-9099-C40C66FF867C}">
                  <a14:compatExt spid="_x0000_s89094"/>
                </a:ext>
              </a:extLst>
            </xdr:cNvPr>
            <xdr:cNvSpPr/>
          </xdr:nvSpPr>
          <xdr:spPr>
            <a:xfrm>
              <a:off x="0" y="0"/>
              <a:ext cx="0" cy="0"/>
            </a:xfrm>
            <a:prstGeom prst="rect">
              <a:avLst/>
            </a:prstGeom>
          </xdr:spPr>
        </xdr:sp>
        <xdr:clientData/>
      </xdr:twoCellAnchor>
    </mc:Choice>
    <mc:Fallback/>
  </mc:AlternateContent>
  <xdr:twoCellAnchor>
    <xdr:from>
      <xdr:col>2</xdr:col>
      <xdr:colOff>9104</xdr:colOff>
      <xdr:row>121</xdr:row>
      <xdr:rowOff>13343</xdr:rowOff>
    </xdr:from>
    <xdr:to>
      <xdr:col>11</xdr:col>
      <xdr:colOff>153666</xdr:colOff>
      <xdr:row>122</xdr:row>
      <xdr:rowOff>112087</xdr:rowOff>
    </xdr:to>
    <xdr:sp macro="" textlink="">
      <xdr:nvSpPr>
        <xdr:cNvPr id="12" name="角丸四角形 11"/>
        <xdr:cNvSpPr/>
      </xdr:nvSpPr>
      <xdr:spPr>
        <a:xfrm>
          <a:off x="523454" y="30093293"/>
          <a:ext cx="2459137" cy="346394"/>
        </a:xfrm>
        <a:prstGeom prst="roundRect">
          <a:avLst>
            <a:gd name="adj" fmla="val 50000"/>
          </a:avLst>
        </a:prstGeom>
        <a:solidFill>
          <a:schemeClr val="tx1"/>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bg1"/>
              </a:solidFill>
              <a:latin typeface="+mj-ea"/>
              <a:ea typeface="+mj-ea"/>
            </a:rPr>
            <a:t>7.</a:t>
          </a:r>
          <a:r>
            <a:rPr kumimoji="1" lang="ja-JP" altLang="en-US" sz="1400" b="1">
              <a:solidFill>
                <a:schemeClr val="bg1"/>
              </a:solidFill>
              <a:latin typeface="+mj-ea"/>
              <a:ea typeface="+mj-ea"/>
            </a:rPr>
            <a:t>お申し込み端末</a:t>
          </a:r>
        </a:p>
      </xdr:txBody>
    </xdr:sp>
    <xdr:clientData/>
  </xdr:twoCellAnchor>
  <mc:AlternateContent xmlns:mc="http://schemas.openxmlformats.org/markup-compatibility/2006">
    <mc:Choice xmlns:a14="http://schemas.microsoft.com/office/drawing/2010/main" Requires="a14">
      <xdr:twoCellAnchor editAs="oneCell">
        <xdr:from>
          <xdr:col>9</xdr:col>
          <xdr:colOff>171450</xdr:colOff>
          <xdr:row>28</xdr:row>
          <xdr:rowOff>12700</xdr:rowOff>
        </xdr:from>
        <xdr:to>
          <xdr:col>11</xdr:col>
          <xdr:colOff>19050</xdr:colOff>
          <xdr:row>28</xdr:row>
          <xdr:rowOff>228600</xdr:rowOff>
        </xdr:to>
        <xdr:sp macro="" textlink="">
          <xdr:nvSpPr>
            <xdr:cNvPr id="89097" name="Check Box 9" hidden="1">
              <a:extLst>
                <a:ext uri="{63B3BB69-23CF-44E3-9099-C40C66FF867C}">
                  <a14:compatExt spid="_x0000_s890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29</xdr:row>
          <xdr:rowOff>19050</xdr:rowOff>
        </xdr:from>
        <xdr:to>
          <xdr:col>11</xdr:col>
          <xdr:colOff>19050</xdr:colOff>
          <xdr:row>29</xdr:row>
          <xdr:rowOff>228600</xdr:rowOff>
        </xdr:to>
        <xdr:sp macro="" textlink="">
          <xdr:nvSpPr>
            <xdr:cNvPr id="89098" name="Check Box 10" hidden="1">
              <a:extLst>
                <a:ext uri="{63B3BB69-23CF-44E3-9099-C40C66FF867C}">
                  <a14:compatExt spid="_x0000_s890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30</xdr:row>
          <xdr:rowOff>19050</xdr:rowOff>
        </xdr:from>
        <xdr:to>
          <xdr:col>11</xdr:col>
          <xdr:colOff>19050</xdr:colOff>
          <xdr:row>30</xdr:row>
          <xdr:rowOff>228600</xdr:rowOff>
        </xdr:to>
        <xdr:sp macro="" textlink="">
          <xdr:nvSpPr>
            <xdr:cNvPr id="89099" name="Check Box 11" hidden="1">
              <a:extLst>
                <a:ext uri="{63B3BB69-23CF-44E3-9099-C40C66FF867C}">
                  <a14:compatExt spid="_x0000_s890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31</xdr:row>
          <xdr:rowOff>19050</xdr:rowOff>
        </xdr:from>
        <xdr:to>
          <xdr:col>11</xdr:col>
          <xdr:colOff>19050</xdr:colOff>
          <xdr:row>31</xdr:row>
          <xdr:rowOff>228600</xdr:rowOff>
        </xdr:to>
        <xdr:sp macro="" textlink="">
          <xdr:nvSpPr>
            <xdr:cNvPr id="89100" name="Check Box 12" hidden="1">
              <a:extLst>
                <a:ext uri="{63B3BB69-23CF-44E3-9099-C40C66FF867C}">
                  <a14:compatExt spid="_x0000_s891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32</xdr:row>
          <xdr:rowOff>19050</xdr:rowOff>
        </xdr:from>
        <xdr:to>
          <xdr:col>11</xdr:col>
          <xdr:colOff>19050</xdr:colOff>
          <xdr:row>32</xdr:row>
          <xdr:rowOff>228600</xdr:rowOff>
        </xdr:to>
        <xdr:sp macro="" textlink="">
          <xdr:nvSpPr>
            <xdr:cNvPr id="89101" name="Check Box 13" hidden="1">
              <a:extLst>
                <a:ext uri="{63B3BB69-23CF-44E3-9099-C40C66FF867C}">
                  <a14:compatExt spid="_x0000_s891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33</xdr:row>
          <xdr:rowOff>0</xdr:rowOff>
        </xdr:from>
        <xdr:to>
          <xdr:col>24</xdr:col>
          <xdr:colOff>38100</xdr:colOff>
          <xdr:row>39</xdr:row>
          <xdr:rowOff>241300</xdr:rowOff>
        </xdr:to>
        <xdr:sp macro="" textlink="">
          <xdr:nvSpPr>
            <xdr:cNvPr id="89107" name="Group Box 19" hidden="1">
              <a:extLst>
                <a:ext uri="{63B3BB69-23CF-44E3-9099-C40C66FF867C}">
                  <a14:compatExt spid="_x0000_s89107"/>
                </a:ext>
              </a:extLst>
            </xdr:cNvPr>
            <xdr:cNvSpPr/>
          </xdr:nvSpPr>
          <xdr:spPr>
            <a:xfrm>
              <a:off x="0" y="0"/>
              <a:ext cx="0" cy="0"/>
            </a:xfrm>
            <a:prstGeom prst="rect">
              <a:avLst/>
            </a:prstGeom>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621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33</xdr:row>
          <xdr:rowOff>0</xdr:rowOff>
        </xdr:from>
        <xdr:to>
          <xdr:col>24</xdr:col>
          <xdr:colOff>38100</xdr:colOff>
          <xdr:row>39</xdr:row>
          <xdr:rowOff>241300</xdr:rowOff>
        </xdr:to>
        <xdr:sp macro="" textlink="">
          <xdr:nvSpPr>
            <xdr:cNvPr id="89116" name="Group Box 28" hidden="1">
              <a:extLst>
                <a:ext uri="{63B3BB69-23CF-44E3-9099-C40C66FF867C}">
                  <a14:compatExt spid="_x0000_s89116"/>
                </a:ext>
              </a:extLst>
            </xdr:cNvPr>
            <xdr:cNvSpPr/>
          </xdr:nvSpPr>
          <xdr:spPr>
            <a:xfrm>
              <a:off x="0" y="0"/>
              <a:ext cx="0" cy="0"/>
            </a:xfrm>
            <a:prstGeom prst="rect">
              <a:avLst/>
            </a:prstGeom>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621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12700</xdr:colOff>
          <xdr:row>33</xdr:row>
          <xdr:rowOff>0</xdr:rowOff>
        </xdr:from>
        <xdr:to>
          <xdr:col>36</xdr:col>
          <xdr:colOff>127000</xdr:colOff>
          <xdr:row>39</xdr:row>
          <xdr:rowOff>31750</xdr:rowOff>
        </xdr:to>
        <xdr:sp macro="" textlink="">
          <xdr:nvSpPr>
            <xdr:cNvPr id="89122" name="Group Box 34" hidden="1">
              <a:extLst>
                <a:ext uri="{63B3BB69-23CF-44E3-9099-C40C66FF867C}">
                  <a14:compatExt spid="_x0000_s89122"/>
                </a:ext>
              </a:extLst>
            </xdr:cNvPr>
            <xdr:cNvSpPr/>
          </xdr:nvSpPr>
          <xdr:spPr>
            <a:xfrm>
              <a:off x="0" y="0"/>
              <a:ext cx="0" cy="0"/>
            </a:xfrm>
            <a:prstGeom prst="rect">
              <a:avLst/>
            </a:prstGeom>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722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33</xdr:row>
          <xdr:rowOff>0</xdr:rowOff>
        </xdr:from>
        <xdr:to>
          <xdr:col>22</xdr:col>
          <xdr:colOff>190500</xdr:colOff>
          <xdr:row>39</xdr:row>
          <xdr:rowOff>152400</xdr:rowOff>
        </xdr:to>
        <xdr:sp macro="" textlink="">
          <xdr:nvSpPr>
            <xdr:cNvPr id="89124" name="Group Box 36" hidden="1">
              <a:extLst>
                <a:ext uri="{63B3BB69-23CF-44E3-9099-C40C66FF867C}">
                  <a14:compatExt spid="_x0000_s89124"/>
                </a:ext>
              </a:extLst>
            </xdr:cNvPr>
            <xdr:cNvSpPr/>
          </xdr:nvSpPr>
          <xdr:spPr>
            <a:xfrm>
              <a:off x="0" y="0"/>
              <a:ext cx="0" cy="0"/>
            </a:xfrm>
            <a:prstGeom prst="rect">
              <a:avLst/>
            </a:prstGeom>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856</a:t>
              </a:r>
            </a:p>
          </xdr:txBody>
        </xdr:sp>
        <xdr:clientData/>
      </xdr:twoCellAnchor>
    </mc:Choice>
    <mc:Fallback/>
  </mc:AlternateContent>
  <xdr:twoCellAnchor>
    <xdr:from>
      <xdr:col>1</xdr:col>
      <xdr:colOff>212912</xdr:colOff>
      <xdr:row>1</xdr:row>
      <xdr:rowOff>145676</xdr:rowOff>
    </xdr:from>
    <xdr:to>
      <xdr:col>46</xdr:col>
      <xdr:colOff>44823</xdr:colOff>
      <xdr:row>5</xdr:row>
      <xdr:rowOff>115120</xdr:rowOff>
    </xdr:to>
    <xdr:sp macro="" textlink="">
      <xdr:nvSpPr>
        <xdr:cNvPr id="44" name="角丸四角形吹き出し 43"/>
        <xdr:cNvSpPr/>
      </xdr:nvSpPr>
      <xdr:spPr>
        <a:xfrm>
          <a:off x="470647" y="392205"/>
          <a:ext cx="11430000" cy="955562"/>
        </a:xfrm>
        <a:prstGeom prst="wedgeRoundRectCallout">
          <a:avLst>
            <a:gd name="adj1" fmla="val -35446"/>
            <a:gd name="adj2" fmla="val 6642"/>
            <a:gd name="adj3" fmla="val 16667"/>
          </a:avLst>
        </a:prstGeom>
        <a:solidFill>
          <a:srgbClr val="FFCCFF">
            <a:alpha val="56000"/>
          </a:srgbClr>
        </a:solidFill>
        <a:ln w="38100">
          <a:solidFill>
            <a:srgbClr val="0000FF"/>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en-US" altLang="ja-JP" sz="1600" b="1">
              <a:solidFill>
                <a:srgbClr val="0000FF"/>
              </a:solidFill>
              <a:latin typeface="Meiryo UI" panose="020B0604030504040204" pitchFamily="50" charset="-128"/>
              <a:ea typeface="Meiryo UI" panose="020B0604030504040204" pitchFamily="50" charset="-128"/>
              <a:cs typeface="Meiryo UI" panose="020B0604030504040204" pitchFamily="50" charset="-128"/>
            </a:rPr>
            <a:t>SBPS</a:t>
          </a:r>
          <a:r>
            <a:rPr kumimoji="1" lang="ja-JP" altLang="en-US" sz="1600" b="1">
              <a:solidFill>
                <a:srgbClr val="0000FF"/>
              </a:solidFill>
              <a:latin typeface="Meiryo UI" panose="020B0604030504040204" pitchFamily="50" charset="-128"/>
              <a:ea typeface="Meiryo UI" panose="020B0604030504040204" pitchFamily="50" charset="-128"/>
              <a:cs typeface="Meiryo UI" panose="020B0604030504040204" pitchFamily="50" charset="-128"/>
            </a:rPr>
            <a:t>入力欄となりますので、入力不要です。</a:t>
          </a:r>
          <a:endParaRPr kumimoji="1" lang="en-US" altLang="ja-JP" sz="16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11</xdr:col>
      <xdr:colOff>44824</xdr:colOff>
      <xdr:row>12</xdr:row>
      <xdr:rowOff>56030</xdr:rowOff>
    </xdr:from>
    <xdr:to>
      <xdr:col>45</xdr:col>
      <xdr:colOff>194942</xdr:colOff>
      <xdr:row>17</xdr:row>
      <xdr:rowOff>212913</xdr:rowOff>
    </xdr:to>
    <xdr:sp macro="" textlink="">
      <xdr:nvSpPr>
        <xdr:cNvPr id="45" name="角丸四角形吹き出し 44"/>
        <xdr:cNvSpPr/>
      </xdr:nvSpPr>
      <xdr:spPr>
        <a:xfrm>
          <a:off x="2879912" y="3014383"/>
          <a:ext cx="8913118" cy="1389530"/>
        </a:xfrm>
        <a:prstGeom prst="wedgeRoundRectCallout">
          <a:avLst>
            <a:gd name="adj1" fmla="val -35446"/>
            <a:gd name="adj2" fmla="val 6642"/>
            <a:gd name="adj3" fmla="val 16667"/>
          </a:avLst>
        </a:prstGeom>
        <a:solidFill>
          <a:srgbClr val="FFCCFF">
            <a:alpha val="67000"/>
          </a:srgbClr>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200" b="1">
              <a:solidFill>
                <a:srgbClr val="0000FF"/>
              </a:solidFill>
              <a:latin typeface="Meiryo UI" panose="020B0604030504040204" pitchFamily="50" charset="-128"/>
              <a:ea typeface="Meiryo UI" panose="020B0604030504040204" pitchFamily="50" charset="-128"/>
              <a:cs typeface="Meiryo UI" panose="020B0604030504040204" pitchFamily="50" charset="-128"/>
            </a:rPr>
            <a:t>オレンジの太枠内は弊社使用欄となりますので</a:t>
          </a:r>
          <a:endParaRPr kumimoji="1" lang="en-US" altLang="ja-JP" sz="12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200" b="1">
              <a:solidFill>
                <a:srgbClr val="0000FF"/>
              </a:solidFill>
              <a:latin typeface="Meiryo UI" panose="020B0604030504040204" pitchFamily="50" charset="-128"/>
              <a:ea typeface="Meiryo UI" panose="020B0604030504040204" pitchFamily="50" charset="-128"/>
              <a:cs typeface="Meiryo UI" panose="020B0604030504040204" pitchFamily="50" charset="-128"/>
            </a:rPr>
            <a:t>入力不要です。</a:t>
          </a:r>
        </a:p>
      </xdr:txBody>
    </xdr:sp>
    <xdr:clientData/>
  </xdr:twoCellAnchor>
  <xdr:twoCellAnchor editAs="oneCell">
    <xdr:from>
      <xdr:col>25</xdr:col>
      <xdr:colOff>233074</xdr:colOff>
      <xdr:row>120</xdr:row>
      <xdr:rowOff>33644</xdr:rowOff>
    </xdr:from>
    <xdr:to>
      <xdr:col>35</xdr:col>
      <xdr:colOff>43135</xdr:colOff>
      <xdr:row>122</xdr:row>
      <xdr:rowOff>201705</xdr:rowOff>
    </xdr:to>
    <xdr:sp macro="" textlink="">
      <xdr:nvSpPr>
        <xdr:cNvPr id="49" name="角丸四角形吹き出し 48"/>
        <xdr:cNvSpPr/>
      </xdr:nvSpPr>
      <xdr:spPr>
        <a:xfrm>
          <a:off x="6676456" y="19016409"/>
          <a:ext cx="2387414" cy="661120"/>
        </a:xfrm>
        <a:prstGeom prst="wedgeRoundRectCallout">
          <a:avLst>
            <a:gd name="adj1" fmla="val -21999"/>
            <a:gd name="adj2" fmla="val 78158"/>
            <a:gd name="adj3" fmla="val 16667"/>
          </a:avLst>
        </a:prstGeom>
        <a:solidFill>
          <a:srgbClr val="FFCCFF"/>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100" b="1">
              <a:solidFill>
                <a:srgbClr val="0000FF"/>
              </a:solidFill>
              <a:latin typeface="Meiryo UI" panose="020B0604030504040204" pitchFamily="50" charset="-128"/>
              <a:ea typeface="Meiryo UI" panose="020B0604030504040204" pitchFamily="50" charset="-128"/>
              <a:cs typeface="Meiryo UI" panose="020B0604030504040204" pitchFamily="50" charset="-128"/>
            </a:rPr>
            <a:t>希望数は赤網掛けが残らないように</a:t>
          </a:r>
          <a:endParaRPr kumimoji="1" lang="en-US" altLang="ja-JP" sz="11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b="1">
              <a:solidFill>
                <a:srgbClr val="0000FF"/>
              </a:solidFill>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100" b="1">
              <a:solidFill>
                <a:srgbClr val="0000FF"/>
              </a:solidFill>
              <a:latin typeface="Meiryo UI" panose="020B0604030504040204" pitchFamily="50" charset="-128"/>
              <a:ea typeface="Meiryo UI" panose="020B0604030504040204" pitchFamily="50" charset="-128"/>
              <a:cs typeface="Meiryo UI" panose="020B0604030504040204" pitchFamily="50" charset="-128"/>
            </a:rPr>
            <a:t>0</a:t>
          </a:r>
          <a:r>
            <a:rPr kumimoji="1" lang="ja-JP" altLang="en-US" sz="1100" b="1">
              <a:solidFill>
                <a:srgbClr val="0000FF"/>
              </a:solidFill>
              <a:latin typeface="Meiryo UI" panose="020B0604030504040204" pitchFamily="50" charset="-128"/>
              <a:ea typeface="Meiryo UI" panose="020B0604030504040204" pitchFamily="50" charset="-128"/>
              <a:cs typeface="Meiryo UI" panose="020B0604030504040204" pitchFamily="50" charset="-128"/>
            </a:rPr>
            <a:t>台」もご入力ください。</a:t>
          </a:r>
        </a:p>
      </xdr:txBody>
    </xdr:sp>
    <xdr:clientData/>
  </xdr:twoCellAnchor>
  <xdr:twoCellAnchor>
    <xdr:from>
      <xdr:col>11</xdr:col>
      <xdr:colOff>44824</xdr:colOff>
      <xdr:row>25</xdr:row>
      <xdr:rowOff>33618</xdr:rowOff>
    </xdr:from>
    <xdr:to>
      <xdr:col>45</xdr:col>
      <xdr:colOff>201706</xdr:colOff>
      <xdr:row>33</xdr:row>
      <xdr:rowOff>201704</xdr:rowOff>
    </xdr:to>
    <xdr:sp macro="" textlink="">
      <xdr:nvSpPr>
        <xdr:cNvPr id="50" name="角丸四角形 49"/>
        <xdr:cNvSpPr/>
      </xdr:nvSpPr>
      <xdr:spPr>
        <a:xfrm>
          <a:off x="2879912" y="5950324"/>
          <a:ext cx="8919882" cy="2140321"/>
        </a:xfrm>
        <a:prstGeom prst="roundRect">
          <a:avLst>
            <a:gd name="adj" fmla="val 4685"/>
          </a:avLst>
        </a:prstGeom>
        <a:solidFill>
          <a:srgbClr val="FFCCFF">
            <a:alpha val="67000"/>
          </a:srgbClr>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200" b="1">
              <a:solidFill>
                <a:srgbClr val="0000FF"/>
              </a:solidFill>
              <a:latin typeface="Meiryo UI" panose="020B0604030504040204" pitchFamily="50" charset="-128"/>
              <a:ea typeface="Meiryo UI" panose="020B0604030504040204" pitchFamily="50" charset="-128"/>
              <a:cs typeface="Meiryo UI" panose="020B0604030504040204" pitchFamily="50" charset="-128"/>
            </a:rPr>
            <a:t>オレンジの太枠内は弊社使用欄となりますので</a:t>
          </a:r>
          <a:endParaRPr kumimoji="1" lang="en-US" altLang="ja-JP" sz="12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200" b="1">
              <a:solidFill>
                <a:srgbClr val="0000FF"/>
              </a:solidFill>
              <a:latin typeface="Meiryo UI" panose="020B0604030504040204" pitchFamily="50" charset="-128"/>
              <a:ea typeface="Meiryo UI" panose="020B0604030504040204" pitchFamily="50" charset="-128"/>
              <a:cs typeface="Meiryo UI" panose="020B0604030504040204" pitchFamily="50" charset="-128"/>
            </a:rPr>
            <a:t>入力不要です。</a:t>
          </a:r>
        </a:p>
      </xdr:txBody>
    </xdr:sp>
    <xdr:clientData/>
  </xdr:twoCellAnchor>
  <mc:AlternateContent xmlns:mc="http://schemas.openxmlformats.org/markup-compatibility/2006">
    <mc:Choice xmlns:a14="http://schemas.microsoft.com/office/drawing/2010/main" Requires="a14">
      <xdr:twoCellAnchor editAs="oneCell">
        <xdr:from>
          <xdr:col>9</xdr:col>
          <xdr:colOff>146050</xdr:colOff>
          <xdr:row>17</xdr:row>
          <xdr:rowOff>12700</xdr:rowOff>
        </xdr:from>
        <xdr:to>
          <xdr:col>10</xdr:col>
          <xdr:colOff>247650</xdr:colOff>
          <xdr:row>17</xdr:row>
          <xdr:rowOff>228600</xdr:rowOff>
        </xdr:to>
        <xdr:sp macro="" textlink="">
          <xdr:nvSpPr>
            <xdr:cNvPr id="89163" name="Check Box 75" hidden="1">
              <a:extLst>
                <a:ext uri="{63B3BB69-23CF-44E3-9099-C40C66FF867C}">
                  <a14:compatExt spid="_x0000_s891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146050</xdr:colOff>
          <xdr:row>15</xdr:row>
          <xdr:rowOff>133350</xdr:rowOff>
        </xdr:from>
        <xdr:to>
          <xdr:col>10</xdr:col>
          <xdr:colOff>247650</xdr:colOff>
          <xdr:row>16</xdr:row>
          <xdr:rowOff>107950</xdr:rowOff>
        </xdr:to>
        <xdr:sp macro="" textlink="">
          <xdr:nvSpPr>
            <xdr:cNvPr id="89165" name="Check Box 77" hidden="1">
              <a:extLst>
                <a:ext uri="{63B3BB69-23CF-44E3-9099-C40C66FF867C}">
                  <a14:compatExt spid="_x0000_s891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33</xdr:row>
          <xdr:rowOff>0</xdr:rowOff>
        </xdr:from>
        <xdr:to>
          <xdr:col>24</xdr:col>
          <xdr:colOff>38100</xdr:colOff>
          <xdr:row>39</xdr:row>
          <xdr:rowOff>241300</xdr:rowOff>
        </xdr:to>
        <xdr:sp macro="" textlink="">
          <xdr:nvSpPr>
            <xdr:cNvPr id="89166" name="Group Box 78" hidden="1">
              <a:extLst>
                <a:ext uri="{63B3BB69-23CF-44E3-9099-C40C66FF867C}">
                  <a14:compatExt spid="_x0000_s89166"/>
                </a:ext>
              </a:extLst>
            </xdr:cNvPr>
            <xdr:cNvSpPr/>
          </xdr:nvSpPr>
          <xdr:spPr>
            <a:xfrm>
              <a:off x="0" y="0"/>
              <a:ext cx="0" cy="0"/>
            </a:xfrm>
            <a:prstGeom prst="rect">
              <a:avLst/>
            </a:prstGeom>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621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33</xdr:row>
          <xdr:rowOff>0</xdr:rowOff>
        </xdr:from>
        <xdr:to>
          <xdr:col>24</xdr:col>
          <xdr:colOff>38100</xdr:colOff>
          <xdr:row>39</xdr:row>
          <xdr:rowOff>241300</xdr:rowOff>
        </xdr:to>
        <xdr:sp macro="" textlink="">
          <xdr:nvSpPr>
            <xdr:cNvPr id="89167" name="Group Box 79" hidden="1">
              <a:extLst>
                <a:ext uri="{63B3BB69-23CF-44E3-9099-C40C66FF867C}">
                  <a14:compatExt spid="_x0000_s89167"/>
                </a:ext>
              </a:extLst>
            </xdr:cNvPr>
            <xdr:cNvSpPr/>
          </xdr:nvSpPr>
          <xdr:spPr>
            <a:xfrm>
              <a:off x="0" y="0"/>
              <a:ext cx="0" cy="0"/>
            </a:xfrm>
            <a:prstGeom prst="rect">
              <a:avLst/>
            </a:prstGeom>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621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12700</xdr:colOff>
          <xdr:row>33</xdr:row>
          <xdr:rowOff>0</xdr:rowOff>
        </xdr:from>
        <xdr:to>
          <xdr:col>36</xdr:col>
          <xdr:colOff>127000</xdr:colOff>
          <xdr:row>39</xdr:row>
          <xdr:rowOff>19050</xdr:rowOff>
        </xdr:to>
        <xdr:sp macro="" textlink="">
          <xdr:nvSpPr>
            <xdr:cNvPr id="89168" name="Group Box 80" hidden="1">
              <a:extLst>
                <a:ext uri="{63B3BB69-23CF-44E3-9099-C40C66FF867C}">
                  <a14:compatExt spid="_x0000_s89168"/>
                </a:ext>
              </a:extLst>
            </xdr:cNvPr>
            <xdr:cNvSpPr/>
          </xdr:nvSpPr>
          <xdr:spPr>
            <a:xfrm>
              <a:off x="0" y="0"/>
              <a:ext cx="0" cy="0"/>
            </a:xfrm>
            <a:prstGeom prst="rect">
              <a:avLst/>
            </a:prstGeom>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722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33</xdr:row>
          <xdr:rowOff>0</xdr:rowOff>
        </xdr:from>
        <xdr:to>
          <xdr:col>22</xdr:col>
          <xdr:colOff>190500</xdr:colOff>
          <xdr:row>39</xdr:row>
          <xdr:rowOff>152400</xdr:rowOff>
        </xdr:to>
        <xdr:sp macro="" textlink="">
          <xdr:nvSpPr>
            <xdr:cNvPr id="89169" name="Group Box 81" hidden="1">
              <a:extLst>
                <a:ext uri="{63B3BB69-23CF-44E3-9099-C40C66FF867C}">
                  <a14:compatExt spid="_x0000_s89169"/>
                </a:ext>
              </a:extLst>
            </xdr:cNvPr>
            <xdr:cNvSpPr/>
          </xdr:nvSpPr>
          <xdr:spPr>
            <a:xfrm>
              <a:off x="0" y="0"/>
              <a:ext cx="0" cy="0"/>
            </a:xfrm>
            <a:prstGeom prst="rect">
              <a:avLst/>
            </a:prstGeom>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856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33</xdr:row>
          <xdr:rowOff>19050</xdr:rowOff>
        </xdr:from>
        <xdr:to>
          <xdr:col>11</xdr:col>
          <xdr:colOff>19050</xdr:colOff>
          <xdr:row>33</xdr:row>
          <xdr:rowOff>228600</xdr:rowOff>
        </xdr:to>
        <xdr:sp macro="" textlink="">
          <xdr:nvSpPr>
            <xdr:cNvPr id="89170" name="Check Box 82" hidden="1">
              <a:extLst>
                <a:ext uri="{63B3BB69-23CF-44E3-9099-C40C66FF867C}">
                  <a14:compatExt spid="_x0000_s89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49</xdr:row>
          <xdr:rowOff>19050</xdr:rowOff>
        </xdr:from>
        <xdr:to>
          <xdr:col>11</xdr:col>
          <xdr:colOff>19050</xdr:colOff>
          <xdr:row>49</xdr:row>
          <xdr:rowOff>228600</xdr:rowOff>
        </xdr:to>
        <xdr:sp macro="" textlink="">
          <xdr:nvSpPr>
            <xdr:cNvPr id="89171" name="Check Box 83" hidden="1">
              <a:extLst>
                <a:ext uri="{63B3BB69-23CF-44E3-9099-C40C66FF867C}">
                  <a14:compatExt spid="_x0000_s89171"/>
                </a:ext>
              </a:extLst>
            </xdr:cNvPr>
            <xdr:cNvSpPr/>
          </xdr:nvSpPr>
          <xdr:spPr>
            <a:xfrm>
              <a:off x="0" y="0"/>
              <a:ext cx="0" cy="0"/>
            </a:xfrm>
            <a:prstGeom prst="rect">
              <a:avLst/>
            </a:prstGeom>
          </xdr:spPr>
        </xdr:sp>
        <xdr:clientData/>
      </xdr:twoCellAnchor>
    </mc:Choice>
    <mc:Fallback/>
  </mc:AlternateContent>
  <xdr:twoCellAnchor>
    <xdr:from>
      <xdr:col>11</xdr:col>
      <xdr:colOff>44824</xdr:colOff>
      <xdr:row>40</xdr:row>
      <xdr:rowOff>29136</xdr:rowOff>
    </xdr:from>
    <xdr:to>
      <xdr:col>45</xdr:col>
      <xdr:colOff>201706</xdr:colOff>
      <xdr:row>49</xdr:row>
      <xdr:rowOff>197222</xdr:rowOff>
    </xdr:to>
    <xdr:sp macro="" textlink="">
      <xdr:nvSpPr>
        <xdr:cNvPr id="40" name="角丸四角形 39"/>
        <xdr:cNvSpPr/>
      </xdr:nvSpPr>
      <xdr:spPr>
        <a:xfrm>
          <a:off x="2879912" y="8411136"/>
          <a:ext cx="8919882" cy="2140321"/>
        </a:xfrm>
        <a:prstGeom prst="roundRect">
          <a:avLst>
            <a:gd name="adj" fmla="val 4685"/>
          </a:avLst>
        </a:prstGeom>
        <a:solidFill>
          <a:srgbClr val="FFCCFF">
            <a:alpha val="67000"/>
          </a:srgbClr>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200" b="1">
              <a:solidFill>
                <a:srgbClr val="0000FF"/>
              </a:solidFill>
              <a:latin typeface="Meiryo UI" panose="020B0604030504040204" pitchFamily="50" charset="-128"/>
              <a:ea typeface="Meiryo UI" panose="020B0604030504040204" pitchFamily="50" charset="-128"/>
              <a:cs typeface="Meiryo UI" panose="020B0604030504040204" pitchFamily="50" charset="-128"/>
            </a:rPr>
            <a:t>オレンジの太枠内は弊社使用欄となりますので</a:t>
          </a:r>
          <a:endParaRPr kumimoji="1" lang="en-US" altLang="ja-JP" sz="12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200" b="1">
              <a:solidFill>
                <a:srgbClr val="0000FF"/>
              </a:solidFill>
              <a:latin typeface="Meiryo UI" panose="020B0604030504040204" pitchFamily="50" charset="-128"/>
              <a:ea typeface="Meiryo UI" panose="020B0604030504040204" pitchFamily="50" charset="-128"/>
              <a:cs typeface="Meiryo UI" panose="020B0604030504040204" pitchFamily="50" charset="-128"/>
            </a:rPr>
            <a:t>入力不要です。</a:t>
          </a:r>
        </a:p>
      </xdr:txBody>
    </xdr:sp>
    <xdr:clientData/>
  </xdr:twoCellAnchor>
  <mc:AlternateContent xmlns:mc="http://schemas.openxmlformats.org/markup-compatibility/2006">
    <mc:Choice xmlns:a14="http://schemas.microsoft.com/office/drawing/2010/main" Requires="a14">
      <xdr:twoCellAnchor editAs="oneCell">
        <xdr:from>
          <xdr:col>9</xdr:col>
          <xdr:colOff>171450</xdr:colOff>
          <xdr:row>43</xdr:row>
          <xdr:rowOff>19050</xdr:rowOff>
        </xdr:from>
        <xdr:to>
          <xdr:col>11</xdr:col>
          <xdr:colOff>19050</xdr:colOff>
          <xdr:row>43</xdr:row>
          <xdr:rowOff>228600</xdr:rowOff>
        </xdr:to>
        <xdr:sp macro="" textlink="">
          <xdr:nvSpPr>
            <xdr:cNvPr id="89172" name="Check Box 84" hidden="1">
              <a:extLst>
                <a:ext uri="{63B3BB69-23CF-44E3-9099-C40C66FF867C}">
                  <a14:compatExt spid="_x0000_s891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44</xdr:row>
          <xdr:rowOff>19050</xdr:rowOff>
        </xdr:from>
        <xdr:to>
          <xdr:col>11</xdr:col>
          <xdr:colOff>19050</xdr:colOff>
          <xdr:row>44</xdr:row>
          <xdr:rowOff>228600</xdr:rowOff>
        </xdr:to>
        <xdr:sp macro="" textlink="">
          <xdr:nvSpPr>
            <xdr:cNvPr id="89173" name="Check Box 85" hidden="1">
              <a:extLst>
                <a:ext uri="{63B3BB69-23CF-44E3-9099-C40C66FF867C}">
                  <a14:compatExt spid="_x0000_s89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46</xdr:row>
          <xdr:rowOff>152400</xdr:rowOff>
        </xdr:from>
        <xdr:to>
          <xdr:col>11</xdr:col>
          <xdr:colOff>19050</xdr:colOff>
          <xdr:row>47</xdr:row>
          <xdr:rowOff>114300</xdr:rowOff>
        </xdr:to>
        <xdr:sp macro="" textlink="">
          <xdr:nvSpPr>
            <xdr:cNvPr id="89174" name="Check Box 86" hidden="1">
              <a:extLst>
                <a:ext uri="{63B3BB69-23CF-44E3-9099-C40C66FF867C}">
                  <a14:compatExt spid="_x0000_s89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59</xdr:row>
          <xdr:rowOff>19050</xdr:rowOff>
        </xdr:from>
        <xdr:to>
          <xdr:col>11</xdr:col>
          <xdr:colOff>19050</xdr:colOff>
          <xdr:row>59</xdr:row>
          <xdr:rowOff>228600</xdr:rowOff>
        </xdr:to>
        <xdr:sp macro="" textlink="">
          <xdr:nvSpPr>
            <xdr:cNvPr id="89175" name="Check Box 87" hidden="1">
              <a:extLst>
                <a:ext uri="{63B3BB69-23CF-44E3-9099-C40C66FF867C}">
                  <a14:compatExt spid="_x0000_s89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64</xdr:row>
          <xdr:rowOff>19050</xdr:rowOff>
        </xdr:from>
        <xdr:to>
          <xdr:col>11</xdr:col>
          <xdr:colOff>19050</xdr:colOff>
          <xdr:row>64</xdr:row>
          <xdr:rowOff>228600</xdr:rowOff>
        </xdr:to>
        <xdr:sp macro="" textlink="">
          <xdr:nvSpPr>
            <xdr:cNvPr id="89177" name="Check Box 89" hidden="1">
              <a:extLst>
                <a:ext uri="{63B3BB69-23CF-44E3-9099-C40C66FF867C}">
                  <a14:compatExt spid="_x0000_s89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203200</xdr:colOff>
          <xdr:row>70</xdr:row>
          <xdr:rowOff>203200</xdr:rowOff>
        </xdr:from>
        <xdr:to>
          <xdr:col>45</xdr:col>
          <xdr:colOff>203200</xdr:colOff>
          <xdr:row>74</xdr:row>
          <xdr:rowOff>69850</xdr:rowOff>
        </xdr:to>
        <xdr:sp macro="" textlink="">
          <xdr:nvSpPr>
            <xdr:cNvPr id="89180" name="Group Box 92" hidden="1">
              <a:extLst>
                <a:ext uri="{63B3BB69-23CF-44E3-9099-C40C66FF867C}">
                  <a14:compatExt spid="_x0000_s89180"/>
                </a:ext>
              </a:extLst>
            </xdr:cNvPr>
            <xdr:cNvSpPr/>
          </xdr:nvSpPr>
          <xdr:spPr>
            <a:xfrm>
              <a:off x="0" y="0"/>
              <a:ext cx="0" cy="0"/>
            </a:xfrm>
            <a:prstGeom prst="rect">
              <a:avLst/>
            </a:prstGeom>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870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71</xdr:row>
          <xdr:rowOff>19050</xdr:rowOff>
        </xdr:from>
        <xdr:to>
          <xdr:col>31</xdr:col>
          <xdr:colOff>190500</xdr:colOff>
          <xdr:row>71</xdr:row>
          <xdr:rowOff>222250</xdr:rowOff>
        </xdr:to>
        <xdr:sp macro="" textlink="">
          <xdr:nvSpPr>
            <xdr:cNvPr id="89181" name="Option Button 93" hidden="1">
              <a:extLst>
                <a:ext uri="{63B3BB69-23CF-44E3-9099-C40C66FF867C}">
                  <a14:compatExt spid="_x0000_s89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71</xdr:row>
          <xdr:rowOff>19050</xdr:rowOff>
        </xdr:from>
        <xdr:to>
          <xdr:col>36</xdr:col>
          <xdr:colOff>95250</xdr:colOff>
          <xdr:row>71</xdr:row>
          <xdr:rowOff>222250</xdr:rowOff>
        </xdr:to>
        <xdr:sp macro="" textlink="">
          <xdr:nvSpPr>
            <xdr:cNvPr id="89182" name="Option Button 94" hidden="1">
              <a:extLst>
                <a:ext uri="{63B3BB69-23CF-44E3-9099-C40C66FF867C}">
                  <a14:compatExt spid="_x0000_s891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19050</xdr:colOff>
          <xdr:row>71</xdr:row>
          <xdr:rowOff>19050</xdr:rowOff>
        </xdr:from>
        <xdr:to>
          <xdr:col>43</xdr:col>
          <xdr:colOff>76200</xdr:colOff>
          <xdr:row>71</xdr:row>
          <xdr:rowOff>228600</xdr:rowOff>
        </xdr:to>
        <xdr:sp macro="" textlink="">
          <xdr:nvSpPr>
            <xdr:cNvPr id="89183" name="Option Button 95" hidden="1">
              <a:extLst>
                <a:ext uri="{63B3BB69-23CF-44E3-9099-C40C66FF867C}">
                  <a14:compatExt spid="_x0000_s89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70</xdr:row>
          <xdr:rowOff>19050</xdr:rowOff>
        </xdr:from>
        <xdr:to>
          <xdr:col>11</xdr:col>
          <xdr:colOff>19050</xdr:colOff>
          <xdr:row>70</xdr:row>
          <xdr:rowOff>228600</xdr:rowOff>
        </xdr:to>
        <xdr:sp macro="" textlink="">
          <xdr:nvSpPr>
            <xdr:cNvPr id="89184" name="Check Box 96" hidden="1">
              <a:extLst>
                <a:ext uri="{63B3BB69-23CF-44E3-9099-C40C66FF867C}">
                  <a14:compatExt spid="_x0000_s89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77</xdr:row>
          <xdr:rowOff>19050</xdr:rowOff>
        </xdr:from>
        <xdr:to>
          <xdr:col>11</xdr:col>
          <xdr:colOff>19050</xdr:colOff>
          <xdr:row>77</xdr:row>
          <xdr:rowOff>228600</xdr:rowOff>
        </xdr:to>
        <xdr:sp macro="" textlink="">
          <xdr:nvSpPr>
            <xdr:cNvPr id="89185" name="Check Box 97" hidden="1">
              <a:extLst>
                <a:ext uri="{63B3BB69-23CF-44E3-9099-C40C66FF867C}">
                  <a14:compatExt spid="_x0000_s89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76</xdr:row>
          <xdr:rowOff>0</xdr:rowOff>
        </xdr:from>
        <xdr:to>
          <xdr:col>23</xdr:col>
          <xdr:colOff>241300</xdr:colOff>
          <xdr:row>77</xdr:row>
          <xdr:rowOff>19050</xdr:rowOff>
        </xdr:to>
        <xdr:sp macro="" textlink="">
          <xdr:nvSpPr>
            <xdr:cNvPr id="89186" name="Group Box 98" hidden="1">
              <a:extLst>
                <a:ext uri="{63B3BB69-23CF-44E3-9099-C40C66FF867C}">
                  <a14:compatExt spid="_x0000_s89186"/>
                </a:ext>
              </a:extLst>
            </xdr:cNvPr>
            <xdr:cNvSpPr/>
          </xdr:nvSpPr>
          <xdr:spPr>
            <a:xfrm>
              <a:off x="0" y="0"/>
              <a:ext cx="0" cy="0"/>
            </a:xfrm>
            <a:prstGeom prst="rect">
              <a:avLst/>
            </a:prstGeom>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885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74</xdr:row>
          <xdr:rowOff>19050</xdr:rowOff>
        </xdr:from>
        <xdr:to>
          <xdr:col>11</xdr:col>
          <xdr:colOff>19050</xdr:colOff>
          <xdr:row>74</xdr:row>
          <xdr:rowOff>228600</xdr:rowOff>
        </xdr:to>
        <xdr:sp macro="" textlink="">
          <xdr:nvSpPr>
            <xdr:cNvPr id="89187" name="Check Box 99" hidden="1">
              <a:extLst>
                <a:ext uri="{63B3BB69-23CF-44E3-9099-C40C66FF867C}">
                  <a14:compatExt spid="_x0000_s89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77</xdr:row>
          <xdr:rowOff>19050</xdr:rowOff>
        </xdr:from>
        <xdr:to>
          <xdr:col>11</xdr:col>
          <xdr:colOff>19050</xdr:colOff>
          <xdr:row>77</xdr:row>
          <xdr:rowOff>228600</xdr:rowOff>
        </xdr:to>
        <xdr:sp macro="" textlink="">
          <xdr:nvSpPr>
            <xdr:cNvPr id="89188" name="Check Box 100" hidden="1">
              <a:extLst>
                <a:ext uri="{63B3BB69-23CF-44E3-9099-C40C66FF867C}">
                  <a14:compatExt spid="_x0000_s89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76</xdr:row>
          <xdr:rowOff>0</xdr:rowOff>
        </xdr:from>
        <xdr:to>
          <xdr:col>23</xdr:col>
          <xdr:colOff>241300</xdr:colOff>
          <xdr:row>77</xdr:row>
          <xdr:rowOff>19050</xdr:rowOff>
        </xdr:to>
        <xdr:sp macro="" textlink="">
          <xdr:nvSpPr>
            <xdr:cNvPr id="89189" name="Group Box 101" hidden="1">
              <a:extLst>
                <a:ext uri="{63B3BB69-23CF-44E3-9099-C40C66FF867C}">
                  <a14:compatExt spid="_x0000_s89189"/>
                </a:ext>
              </a:extLst>
            </xdr:cNvPr>
            <xdr:cNvSpPr/>
          </xdr:nvSpPr>
          <xdr:spPr>
            <a:xfrm>
              <a:off x="0" y="0"/>
              <a:ext cx="0" cy="0"/>
            </a:xfrm>
            <a:prstGeom prst="rect">
              <a:avLst/>
            </a:prstGeom>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885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76</xdr:row>
          <xdr:rowOff>19050</xdr:rowOff>
        </xdr:from>
        <xdr:to>
          <xdr:col>17</xdr:col>
          <xdr:colOff>171450</xdr:colOff>
          <xdr:row>76</xdr:row>
          <xdr:rowOff>222250</xdr:rowOff>
        </xdr:to>
        <xdr:sp macro="" textlink="">
          <xdr:nvSpPr>
            <xdr:cNvPr id="89190" name="Option Button 102" hidden="1">
              <a:extLst>
                <a:ext uri="{63B3BB69-23CF-44E3-9099-C40C66FF867C}">
                  <a14:compatExt spid="_x0000_s89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260350</xdr:colOff>
          <xdr:row>76</xdr:row>
          <xdr:rowOff>19050</xdr:rowOff>
        </xdr:from>
        <xdr:to>
          <xdr:col>22</xdr:col>
          <xdr:colOff>57150</xdr:colOff>
          <xdr:row>76</xdr:row>
          <xdr:rowOff>222250</xdr:rowOff>
        </xdr:to>
        <xdr:sp macro="" textlink="">
          <xdr:nvSpPr>
            <xdr:cNvPr id="89191" name="Option Button 103" hidden="1">
              <a:extLst>
                <a:ext uri="{63B3BB69-23CF-44E3-9099-C40C66FF867C}">
                  <a14:compatExt spid="_x0000_s89191"/>
                </a:ext>
              </a:extLst>
            </xdr:cNvPr>
            <xdr:cNvSpPr/>
          </xdr:nvSpPr>
          <xdr:spPr>
            <a:xfrm>
              <a:off x="0" y="0"/>
              <a:ext cx="0" cy="0"/>
            </a:xfrm>
            <a:prstGeom prst="rect">
              <a:avLst/>
            </a:prstGeom>
          </xdr:spPr>
        </xdr:sp>
        <xdr:clientData/>
      </xdr:twoCellAnchor>
    </mc:Choice>
    <mc:Fallback/>
  </mc:AlternateContent>
  <xdr:twoCellAnchor>
    <xdr:from>
      <xdr:col>11</xdr:col>
      <xdr:colOff>44824</xdr:colOff>
      <xdr:row>56</xdr:row>
      <xdr:rowOff>58271</xdr:rowOff>
    </xdr:from>
    <xdr:to>
      <xdr:col>45</xdr:col>
      <xdr:colOff>201706</xdr:colOff>
      <xdr:row>59</xdr:row>
      <xdr:rowOff>190501</xdr:rowOff>
    </xdr:to>
    <xdr:sp macro="" textlink="">
      <xdr:nvSpPr>
        <xdr:cNvPr id="60" name="角丸四角形 59"/>
        <xdr:cNvSpPr/>
      </xdr:nvSpPr>
      <xdr:spPr>
        <a:xfrm>
          <a:off x="2879912" y="11152095"/>
          <a:ext cx="8919882" cy="871818"/>
        </a:xfrm>
        <a:prstGeom prst="roundRect">
          <a:avLst>
            <a:gd name="adj" fmla="val 4685"/>
          </a:avLst>
        </a:prstGeom>
        <a:solidFill>
          <a:srgbClr val="FFCCFF">
            <a:alpha val="67000"/>
          </a:srgbClr>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200" b="1">
              <a:solidFill>
                <a:srgbClr val="0000FF"/>
              </a:solidFill>
              <a:latin typeface="Meiryo UI" panose="020B0604030504040204" pitchFamily="50" charset="-128"/>
              <a:ea typeface="Meiryo UI" panose="020B0604030504040204" pitchFamily="50" charset="-128"/>
              <a:cs typeface="Meiryo UI" panose="020B0604030504040204" pitchFamily="50" charset="-128"/>
            </a:rPr>
            <a:t>オレンジの太枠内は弊社使用欄となりますので</a:t>
          </a:r>
          <a:endParaRPr kumimoji="1" lang="en-US" altLang="ja-JP" sz="12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200" b="1">
              <a:solidFill>
                <a:srgbClr val="0000FF"/>
              </a:solidFill>
              <a:latin typeface="Meiryo UI" panose="020B0604030504040204" pitchFamily="50" charset="-128"/>
              <a:ea typeface="Meiryo UI" panose="020B0604030504040204" pitchFamily="50" charset="-128"/>
              <a:cs typeface="Meiryo UI" panose="020B0604030504040204" pitchFamily="50" charset="-128"/>
            </a:rPr>
            <a:t>入力不要です。</a:t>
          </a:r>
        </a:p>
      </xdr:txBody>
    </xdr:sp>
    <xdr:clientData/>
  </xdr:twoCellAnchor>
  <xdr:twoCellAnchor>
    <xdr:from>
      <xdr:col>11</xdr:col>
      <xdr:colOff>44824</xdr:colOff>
      <xdr:row>74</xdr:row>
      <xdr:rowOff>33619</xdr:rowOff>
    </xdr:from>
    <xdr:to>
      <xdr:col>45</xdr:col>
      <xdr:colOff>201706</xdr:colOff>
      <xdr:row>74</xdr:row>
      <xdr:rowOff>201707</xdr:rowOff>
    </xdr:to>
    <xdr:sp macro="" textlink="">
      <xdr:nvSpPr>
        <xdr:cNvPr id="63" name="角丸四角形 62"/>
        <xdr:cNvSpPr/>
      </xdr:nvSpPr>
      <xdr:spPr>
        <a:xfrm>
          <a:off x="2879912" y="14332325"/>
          <a:ext cx="8919882" cy="168088"/>
        </a:xfrm>
        <a:prstGeom prst="roundRect">
          <a:avLst>
            <a:gd name="adj" fmla="val 4685"/>
          </a:avLst>
        </a:prstGeom>
        <a:solidFill>
          <a:srgbClr val="FFCCFF">
            <a:alpha val="67000"/>
          </a:srgbClr>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050" b="1">
              <a:solidFill>
                <a:srgbClr val="0000FF"/>
              </a:solidFill>
              <a:latin typeface="Meiryo UI" panose="020B0604030504040204" pitchFamily="50" charset="-128"/>
              <a:ea typeface="Meiryo UI" panose="020B0604030504040204" pitchFamily="50" charset="-128"/>
              <a:cs typeface="Meiryo UI" panose="020B0604030504040204" pitchFamily="50" charset="-128"/>
            </a:rPr>
            <a:t>オレンジの太枠内は弊社使用欄となりますので入力不要です。</a:t>
          </a:r>
        </a:p>
      </xdr:txBody>
    </xdr:sp>
    <xdr:clientData/>
  </xdr:twoCellAnchor>
  <mc:AlternateContent xmlns:mc="http://schemas.openxmlformats.org/markup-compatibility/2006">
    <mc:Choice xmlns:a14="http://schemas.microsoft.com/office/drawing/2010/main" Requires="a14">
      <xdr:twoCellAnchor editAs="oneCell">
        <xdr:from>
          <xdr:col>28</xdr:col>
          <xdr:colOff>12700</xdr:colOff>
          <xdr:row>64</xdr:row>
          <xdr:rowOff>228600</xdr:rowOff>
        </xdr:from>
        <xdr:to>
          <xdr:col>36</xdr:col>
          <xdr:colOff>0</xdr:colOff>
          <xdr:row>70</xdr:row>
          <xdr:rowOff>12700</xdr:rowOff>
        </xdr:to>
        <xdr:sp macro="" textlink="">
          <xdr:nvSpPr>
            <xdr:cNvPr id="89192" name="Group Box 104" hidden="1">
              <a:extLst>
                <a:ext uri="{63B3BB69-23CF-44E3-9099-C40C66FF867C}">
                  <a14:compatExt spid="_x0000_s89192"/>
                </a:ext>
              </a:extLst>
            </xdr:cNvPr>
            <xdr:cNvSpPr/>
          </xdr:nvSpPr>
          <xdr:spPr>
            <a:xfrm>
              <a:off x="0" y="0"/>
              <a:ext cx="0" cy="0"/>
            </a:xfrm>
            <a:prstGeom prst="rect">
              <a:avLst/>
            </a:prstGeom>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1037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127000</xdr:colOff>
          <xdr:row>65</xdr:row>
          <xdr:rowOff>19050</xdr:rowOff>
        </xdr:from>
        <xdr:to>
          <xdr:col>31</xdr:col>
          <xdr:colOff>241300</xdr:colOff>
          <xdr:row>65</xdr:row>
          <xdr:rowOff>222250</xdr:rowOff>
        </xdr:to>
        <xdr:sp macro="" textlink="">
          <xdr:nvSpPr>
            <xdr:cNvPr id="89193" name="Option Button 105" hidden="1">
              <a:extLst>
                <a:ext uri="{63B3BB69-23CF-44E3-9099-C40C66FF867C}">
                  <a14:compatExt spid="_x0000_s89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107950</xdr:colOff>
          <xdr:row>65</xdr:row>
          <xdr:rowOff>19050</xdr:rowOff>
        </xdr:from>
        <xdr:to>
          <xdr:col>35</xdr:col>
          <xdr:colOff>222250</xdr:colOff>
          <xdr:row>65</xdr:row>
          <xdr:rowOff>222250</xdr:rowOff>
        </xdr:to>
        <xdr:sp macro="" textlink="">
          <xdr:nvSpPr>
            <xdr:cNvPr id="89194" name="Option Button 106" hidden="1">
              <a:extLst>
                <a:ext uri="{63B3BB69-23CF-44E3-9099-C40C66FF867C}">
                  <a14:compatExt spid="_x0000_s89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50800</xdr:colOff>
          <xdr:row>60</xdr:row>
          <xdr:rowOff>241300</xdr:rowOff>
        </xdr:from>
        <xdr:to>
          <xdr:col>23</xdr:col>
          <xdr:colOff>209550</xdr:colOff>
          <xdr:row>62</xdr:row>
          <xdr:rowOff>209550</xdr:rowOff>
        </xdr:to>
        <xdr:sp macro="" textlink="">
          <xdr:nvSpPr>
            <xdr:cNvPr id="89195" name="Group Box 107" hidden="1">
              <a:extLst>
                <a:ext uri="{63B3BB69-23CF-44E3-9099-C40C66FF867C}">
                  <a14:compatExt spid="_x0000_s89195"/>
                </a:ext>
              </a:extLst>
            </xdr:cNvPr>
            <xdr:cNvSpPr/>
          </xdr:nvSpPr>
          <xdr:spPr>
            <a:xfrm>
              <a:off x="0" y="0"/>
              <a:ext cx="0" cy="0"/>
            </a:xfrm>
            <a:prstGeom prst="rect">
              <a:avLst/>
            </a:prstGeom>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1032</a:t>
              </a:r>
            </a:p>
          </xdr:txBody>
        </xdr:sp>
        <xdr:clientData/>
      </xdr:twoCellAnchor>
    </mc:Choice>
    <mc:Fallback/>
  </mc:AlternateContent>
  <xdr:oneCellAnchor>
    <xdr:from>
      <xdr:col>25</xdr:col>
      <xdr:colOff>100854</xdr:colOff>
      <xdr:row>178</xdr:row>
      <xdr:rowOff>60973</xdr:rowOff>
    </xdr:from>
    <xdr:ext cx="72768" cy="338811"/>
    <xdr:sp macro="" textlink="" fLocksText="0">
      <xdr:nvSpPr>
        <xdr:cNvPr id="70" name="テキスト ボックス 69"/>
        <xdr:cNvSpPr txBox="1"/>
      </xdr:nvSpPr>
      <xdr:spPr>
        <a:xfrm>
          <a:off x="6544236" y="23481267"/>
          <a:ext cx="72768" cy="3388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endParaRPr kumimoji="1" lang="ja-JP" altLang="en-US" sz="1600">
            <a:solidFill>
              <a:srgbClr val="FF0000"/>
            </a:solidFill>
            <a:latin typeface="Meiryo UI" panose="020B0604030504040204" pitchFamily="50" charset="-128"/>
            <a:ea typeface="Meiryo UI" panose="020B0604030504040204" pitchFamily="50" charset="-128"/>
          </a:endParaRPr>
        </a:p>
      </xdr:txBody>
    </xdr:sp>
    <xdr:clientData/>
  </xdr:oneCellAnchor>
  <xdr:twoCellAnchor>
    <xdr:from>
      <xdr:col>11</xdr:col>
      <xdr:colOff>44824</xdr:colOff>
      <xdr:row>70</xdr:row>
      <xdr:rowOff>33618</xdr:rowOff>
    </xdr:from>
    <xdr:to>
      <xdr:col>45</xdr:col>
      <xdr:colOff>201706</xdr:colOff>
      <xdr:row>70</xdr:row>
      <xdr:rowOff>201706</xdr:rowOff>
    </xdr:to>
    <xdr:sp macro="" textlink="">
      <xdr:nvSpPr>
        <xdr:cNvPr id="73" name="角丸四角形 72"/>
        <xdr:cNvSpPr/>
      </xdr:nvSpPr>
      <xdr:spPr>
        <a:xfrm>
          <a:off x="2879912" y="14085794"/>
          <a:ext cx="8919882" cy="168088"/>
        </a:xfrm>
        <a:prstGeom prst="roundRect">
          <a:avLst>
            <a:gd name="adj" fmla="val 4685"/>
          </a:avLst>
        </a:prstGeom>
        <a:solidFill>
          <a:srgbClr val="FFCCFF">
            <a:alpha val="67000"/>
          </a:srgbClr>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050" b="1">
              <a:solidFill>
                <a:srgbClr val="0000FF"/>
              </a:solidFill>
              <a:latin typeface="Meiryo UI" panose="020B0604030504040204" pitchFamily="50" charset="-128"/>
              <a:ea typeface="Meiryo UI" panose="020B0604030504040204" pitchFamily="50" charset="-128"/>
              <a:cs typeface="Meiryo UI" panose="020B0604030504040204" pitchFamily="50" charset="-128"/>
            </a:rPr>
            <a:t>オレンジの太枠内は弊社使用欄となりますので入力不要です。</a:t>
          </a:r>
        </a:p>
      </xdr:txBody>
    </xdr:sp>
    <xdr:clientData/>
  </xdr:twoCellAnchor>
  <mc:AlternateContent xmlns:mc="http://schemas.openxmlformats.org/markup-compatibility/2006">
    <mc:Choice xmlns:a14="http://schemas.microsoft.com/office/drawing/2010/main" Requires="a14">
      <xdr:twoCellAnchor editAs="oneCell">
        <xdr:from>
          <xdr:col>14</xdr:col>
          <xdr:colOff>31750</xdr:colOff>
          <xdr:row>80</xdr:row>
          <xdr:rowOff>247650</xdr:rowOff>
        </xdr:from>
        <xdr:to>
          <xdr:col>23</xdr:col>
          <xdr:colOff>222250</xdr:colOff>
          <xdr:row>82</xdr:row>
          <xdr:rowOff>0</xdr:rowOff>
        </xdr:to>
        <xdr:sp macro="" textlink="">
          <xdr:nvSpPr>
            <xdr:cNvPr id="89198" name="Group Box 110" hidden="1">
              <a:extLst>
                <a:ext uri="{63B3BB69-23CF-44E3-9099-C40C66FF867C}">
                  <a14:compatExt spid="_x0000_s89198"/>
                </a:ext>
              </a:extLst>
            </xdr:cNvPr>
            <xdr:cNvSpPr/>
          </xdr:nvSpPr>
          <xdr:spPr>
            <a:xfrm>
              <a:off x="0" y="0"/>
              <a:ext cx="0" cy="0"/>
            </a:xfrm>
            <a:prstGeom prst="rect">
              <a:avLst/>
            </a:prstGeom>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203200</xdr:colOff>
          <xdr:row>81</xdr:row>
          <xdr:rowOff>0</xdr:rowOff>
        </xdr:from>
        <xdr:to>
          <xdr:col>18</xdr:col>
          <xdr:colOff>107950</xdr:colOff>
          <xdr:row>81</xdr:row>
          <xdr:rowOff>241300</xdr:rowOff>
        </xdr:to>
        <xdr:sp macro="" textlink="">
          <xdr:nvSpPr>
            <xdr:cNvPr id="89199" name="Option Button 111" hidden="1">
              <a:extLst>
                <a:ext uri="{63B3BB69-23CF-44E3-9099-C40C66FF867C}">
                  <a14:compatExt spid="_x0000_s89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209550</xdr:colOff>
          <xdr:row>81</xdr:row>
          <xdr:rowOff>0</xdr:rowOff>
        </xdr:from>
        <xdr:to>
          <xdr:col>23</xdr:col>
          <xdr:colOff>114300</xdr:colOff>
          <xdr:row>81</xdr:row>
          <xdr:rowOff>241300</xdr:rowOff>
        </xdr:to>
        <xdr:sp macro="" textlink="">
          <xdr:nvSpPr>
            <xdr:cNvPr id="89200" name="Option Button 112" hidden="1">
              <a:extLst>
                <a:ext uri="{63B3BB69-23CF-44E3-9099-C40C66FF867C}">
                  <a14:compatExt spid="_x0000_s89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82</xdr:row>
          <xdr:rowOff>19050</xdr:rowOff>
        </xdr:from>
        <xdr:to>
          <xdr:col>23</xdr:col>
          <xdr:colOff>222250</xdr:colOff>
          <xdr:row>83</xdr:row>
          <xdr:rowOff>222250</xdr:rowOff>
        </xdr:to>
        <xdr:sp macro="" textlink="">
          <xdr:nvSpPr>
            <xdr:cNvPr id="89201" name="Group Box 113" hidden="1">
              <a:extLst>
                <a:ext uri="{63B3BB69-23CF-44E3-9099-C40C66FF867C}">
                  <a14:compatExt spid="_x0000_s89201"/>
                </a:ext>
              </a:extLst>
            </xdr:cNvPr>
            <xdr:cNvSpPr/>
          </xdr:nvSpPr>
          <xdr:spPr>
            <a:xfrm>
              <a:off x="0" y="0"/>
              <a:ext cx="0" cy="0"/>
            </a:xfrm>
            <a:prstGeom prst="rect">
              <a:avLst/>
            </a:prstGeom>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1190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31750</xdr:colOff>
          <xdr:row>153</xdr:row>
          <xdr:rowOff>0</xdr:rowOff>
        </xdr:from>
        <xdr:to>
          <xdr:col>27</xdr:col>
          <xdr:colOff>241300</xdr:colOff>
          <xdr:row>153</xdr:row>
          <xdr:rowOff>241300</xdr:rowOff>
        </xdr:to>
        <xdr:sp macro="" textlink="">
          <xdr:nvSpPr>
            <xdr:cNvPr id="89204" name="Group Box 116" hidden="1">
              <a:extLst>
                <a:ext uri="{63B3BB69-23CF-44E3-9099-C40C66FF867C}">
                  <a14:compatExt spid="_x0000_s89204"/>
                </a:ext>
              </a:extLst>
            </xdr:cNvPr>
            <xdr:cNvSpPr/>
          </xdr:nvSpPr>
          <xdr:spPr>
            <a:xfrm>
              <a:off x="0" y="0"/>
              <a:ext cx="0" cy="0"/>
            </a:xfrm>
            <a:prstGeom prst="rect">
              <a:avLst/>
            </a:prstGeom>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1206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222250</xdr:colOff>
          <xdr:row>153</xdr:row>
          <xdr:rowOff>0</xdr:rowOff>
        </xdr:from>
        <xdr:to>
          <xdr:col>20</xdr:col>
          <xdr:colOff>165100</xdr:colOff>
          <xdr:row>153</xdr:row>
          <xdr:rowOff>241300</xdr:rowOff>
        </xdr:to>
        <xdr:sp macro="" textlink="">
          <xdr:nvSpPr>
            <xdr:cNvPr id="89205" name="Option Button 117" hidden="1">
              <a:extLst>
                <a:ext uri="{63B3BB69-23CF-44E3-9099-C40C66FF867C}">
                  <a14:compatExt spid="_x0000_s89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203200</xdr:colOff>
          <xdr:row>153</xdr:row>
          <xdr:rowOff>0</xdr:rowOff>
        </xdr:from>
        <xdr:to>
          <xdr:col>26</xdr:col>
          <xdr:colOff>146050</xdr:colOff>
          <xdr:row>153</xdr:row>
          <xdr:rowOff>241300</xdr:rowOff>
        </xdr:to>
        <xdr:sp macro="" textlink="">
          <xdr:nvSpPr>
            <xdr:cNvPr id="89206" name="Option Button 118" hidden="1">
              <a:extLst>
                <a:ext uri="{63B3BB69-23CF-44E3-9099-C40C66FF867C}">
                  <a14:compatExt spid="_x0000_s89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31750</xdr:colOff>
          <xdr:row>155</xdr:row>
          <xdr:rowOff>12700</xdr:rowOff>
        </xdr:from>
        <xdr:to>
          <xdr:col>27</xdr:col>
          <xdr:colOff>241300</xdr:colOff>
          <xdr:row>156</xdr:row>
          <xdr:rowOff>0</xdr:rowOff>
        </xdr:to>
        <xdr:sp macro="" textlink="">
          <xdr:nvSpPr>
            <xdr:cNvPr id="89207" name="Group Box 119" hidden="1">
              <a:extLst>
                <a:ext uri="{63B3BB69-23CF-44E3-9099-C40C66FF867C}">
                  <a14:compatExt spid="_x0000_s89207"/>
                </a:ext>
              </a:extLst>
            </xdr:cNvPr>
            <xdr:cNvSpPr/>
          </xdr:nvSpPr>
          <xdr:spPr>
            <a:xfrm>
              <a:off x="0" y="0"/>
              <a:ext cx="0" cy="0"/>
            </a:xfrm>
            <a:prstGeom prst="rect">
              <a:avLst/>
            </a:prstGeom>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1206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222250</xdr:colOff>
          <xdr:row>155</xdr:row>
          <xdr:rowOff>12700</xdr:rowOff>
        </xdr:from>
        <xdr:to>
          <xdr:col>20</xdr:col>
          <xdr:colOff>165100</xdr:colOff>
          <xdr:row>156</xdr:row>
          <xdr:rowOff>0</xdr:rowOff>
        </xdr:to>
        <xdr:sp macro="" textlink="">
          <xdr:nvSpPr>
            <xdr:cNvPr id="89208" name="Option Button 120" hidden="1">
              <a:extLst>
                <a:ext uri="{63B3BB69-23CF-44E3-9099-C40C66FF867C}">
                  <a14:compatExt spid="_x0000_s89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203200</xdr:colOff>
          <xdr:row>155</xdr:row>
          <xdr:rowOff>12700</xdr:rowOff>
        </xdr:from>
        <xdr:to>
          <xdr:col>26</xdr:col>
          <xdr:colOff>146050</xdr:colOff>
          <xdr:row>156</xdr:row>
          <xdr:rowOff>0</xdr:rowOff>
        </xdr:to>
        <xdr:sp macro="" textlink="">
          <xdr:nvSpPr>
            <xdr:cNvPr id="89209" name="Option Button 121" hidden="1">
              <a:extLst>
                <a:ext uri="{63B3BB69-23CF-44E3-9099-C40C66FF867C}">
                  <a14:compatExt spid="_x0000_s89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31750</xdr:colOff>
          <xdr:row>155</xdr:row>
          <xdr:rowOff>12700</xdr:rowOff>
        </xdr:from>
        <xdr:to>
          <xdr:col>45</xdr:col>
          <xdr:colOff>241300</xdr:colOff>
          <xdr:row>156</xdr:row>
          <xdr:rowOff>0</xdr:rowOff>
        </xdr:to>
        <xdr:sp macro="" textlink="">
          <xdr:nvSpPr>
            <xdr:cNvPr id="89210" name="Group Box 122" hidden="1">
              <a:extLst>
                <a:ext uri="{63B3BB69-23CF-44E3-9099-C40C66FF867C}">
                  <a14:compatExt spid="_x0000_s89210"/>
                </a:ext>
              </a:extLst>
            </xdr:cNvPr>
            <xdr:cNvSpPr/>
          </xdr:nvSpPr>
          <xdr:spPr>
            <a:xfrm>
              <a:off x="0" y="0"/>
              <a:ext cx="0" cy="0"/>
            </a:xfrm>
            <a:prstGeom prst="rect">
              <a:avLst/>
            </a:prstGeom>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1206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222250</xdr:colOff>
          <xdr:row>155</xdr:row>
          <xdr:rowOff>12700</xdr:rowOff>
        </xdr:from>
        <xdr:to>
          <xdr:col>38</xdr:col>
          <xdr:colOff>165100</xdr:colOff>
          <xdr:row>156</xdr:row>
          <xdr:rowOff>0</xdr:rowOff>
        </xdr:to>
        <xdr:sp macro="" textlink="">
          <xdr:nvSpPr>
            <xdr:cNvPr id="89211" name="Option Button 123" hidden="1">
              <a:extLst>
                <a:ext uri="{63B3BB69-23CF-44E3-9099-C40C66FF867C}">
                  <a14:compatExt spid="_x0000_s89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203200</xdr:colOff>
          <xdr:row>155</xdr:row>
          <xdr:rowOff>12700</xdr:rowOff>
        </xdr:from>
        <xdr:to>
          <xdr:col>44</xdr:col>
          <xdr:colOff>146050</xdr:colOff>
          <xdr:row>156</xdr:row>
          <xdr:rowOff>0</xdr:rowOff>
        </xdr:to>
        <xdr:sp macro="" textlink="">
          <xdr:nvSpPr>
            <xdr:cNvPr id="89212" name="Option Button 124" hidden="1">
              <a:extLst>
                <a:ext uri="{63B3BB69-23CF-44E3-9099-C40C66FF867C}">
                  <a14:compatExt spid="_x0000_s89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156</xdr:row>
          <xdr:rowOff>12700</xdr:rowOff>
        </xdr:from>
        <xdr:to>
          <xdr:col>27</xdr:col>
          <xdr:colOff>247650</xdr:colOff>
          <xdr:row>157</xdr:row>
          <xdr:rowOff>0</xdr:rowOff>
        </xdr:to>
        <xdr:sp macro="" textlink="">
          <xdr:nvSpPr>
            <xdr:cNvPr id="89213" name="Group Box 125" hidden="1">
              <a:extLst>
                <a:ext uri="{63B3BB69-23CF-44E3-9099-C40C66FF867C}">
                  <a14:compatExt spid="_x0000_s89213"/>
                </a:ext>
              </a:extLst>
            </xdr:cNvPr>
            <xdr:cNvSpPr/>
          </xdr:nvSpPr>
          <xdr:spPr>
            <a:xfrm>
              <a:off x="0" y="0"/>
              <a:ext cx="0" cy="0"/>
            </a:xfrm>
            <a:prstGeom prst="rect">
              <a:avLst/>
            </a:prstGeom>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1206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222250</xdr:colOff>
          <xdr:row>156</xdr:row>
          <xdr:rowOff>12700</xdr:rowOff>
        </xdr:from>
        <xdr:to>
          <xdr:col>20</xdr:col>
          <xdr:colOff>165100</xdr:colOff>
          <xdr:row>157</xdr:row>
          <xdr:rowOff>0</xdr:rowOff>
        </xdr:to>
        <xdr:sp macro="" textlink="">
          <xdr:nvSpPr>
            <xdr:cNvPr id="89214" name="Option Button 126" hidden="1">
              <a:extLst>
                <a:ext uri="{63B3BB69-23CF-44E3-9099-C40C66FF867C}">
                  <a14:compatExt spid="_x0000_s892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203200</xdr:colOff>
          <xdr:row>156</xdr:row>
          <xdr:rowOff>12700</xdr:rowOff>
        </xdr:from>
        <xdr:to>
          <xdr:col>26</xdr:col>
          <xdr:colOff>146050</xdr:colOff>
          <xdr:row>157</xdr:row>
          <xdr:rowOff>0</xdr:rowOff>
        </xdr:to>
        <xdr:sp macro="" textlink="">
          <xdr:nvSpPr>
            <xdr:cNvPr id="89215" name="Option Button 127" hidden="1">
              <a:extLst>
                <a:ext uri="{63B3BB69-23CF-44E3-9099-C40C66FF867C}">
                  <a14:compatExt spid="_x0000_s89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158</xdr:row>
          <xdr:rowOff>0</xdr:rowOff>
        </xdr:from>
        <xdr:to>
          <xdr:col>27</xdr:col>
          <xdr:colOff>247650</xdr:colOff>
          <xdr:row>158</xdr:row>
          <xdr:rowOff>241300</xdr:rowOff>
        </xdr:to>
        <xdr:sp macro="" textlink="">
          <xdr:nvSpPr>
            <xdr:cNvPr id="89216" name="Group Box 128" hidden="1">
              <a:extLst>
                <a:ext uri="{63B3BB69-23CF-44E3-9099-C40C66FF867C}">
                  <a14:compatExt spid="_x0000_s89216"/>
                </a:ext>
              </a:extLst>
            </xdr:cNvPr>
            <xdr:cNvSpPr/>
          </xdr:nvSpPr>
          <xdr:spPr>
            <a:xfrm>
              <a:off x="0" y="0"/>
              <a:ext cx="0" cy="0"/>
            </a:xfrm>
            <a:prstGeom prst="rect">
              <a:avLst/>
            </a:prstGeom>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1206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31750</xdr:colOff>
          <xdr:row>159</xdr:row>
          <xdr:rowOff>0</xdr:rowOff>
        </xdr:from>
        <xdr:to>
          <xdr:col>27</xdr:col>
          <xdr:colOff>241300</xdr:colOff>
          <xdr:row>161</xdr:row>
          <xdr:rowOff>241300</xdr:rowOff>
        </xdr:to>
        <xdr:sp macro="" textlink="">
          <xdr:nvSpPr>
            <xdr:cNvPr id="89219" name="Group Box 131" hidden="1">
              <a:extLst>
                <a:ext uri="{63B3BB69-23CF-44E3-9099-C40C66FF867C}">
                  <a14:compatExt spid="_x0000_s89219"/>
                </a:ext>
              </a:extLst>
            </xdr:cNvPr>
            <xdr:cNvSpPr/>
          </xdr:nvSpPr>
          <xdr:spPr>
            <a:xfrm>
              <a:off x="0" y="0"/>
              <a:ext cx="0" cy="0"/>
            </a:xfrm>
            <a:prstGeom prst="rect">
              <a:avLst/>
            </a:prstGeom>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1206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31750</xdr:colOff>
          <xdr:row>160</xdr:row>
          <xdr:rowOff>0</xdr:rowOff>
        </xdr:from>
        <xdr:to>
          <xdr:col>29</xdr:col>
          <xdr:colOff>241300</xdr:colOff>
          <xdr:row>161</xdr:row>
          <xdr:rowOff>241300</xdr:rowOff>
        </xdr:to>
        <xdr:sp macro="" textlink="">
          <xdr:nvSpPr>
            <xdr:cNvPr id="89222" name="Group Box 134" hidden="1">
              <a:extLst>
                <a:ext uri="{63B3BB69-23CF-44E3-9099-C40C66FF867C}">
                  <a14:compatExt spid="_x0000_s89222"/>
                </a:ext>
              </a:extLst>
            </xdr:cNvPr>
            <xdr:cNvSpPr/>
          </xdr:nvSpPr>
          <xdr:spPr>
            <a:xfrm>
              <a:off x="0" y="0"/>
              <a:ext cx="0" cy="0"/>
            </a:xfrm>
            <a:prstGeom prst="rect">
              <a:avLst/>
            </a:prstGeom>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1206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31750</xdr:colOff>
          <xdr:row>160</xdr:row>
          <xdr:rowOff>0</xdr:rowOff>
        </xdr:from>
        <xdr:to>
          <xdr:col>45</xdr:col>
          <xdr:colOff>241300</xdr:colOff>
          <xdr:row>161</xdr:row>
          <xdr:rowOff>241300</xdr:rowOff>
        </xdr:to>
        <xdr:sp macro="" textlink="">
          <xdr:nvSpPr>
            <xdr:cNvPr id="89225" name="Group Box 137" hidden="1">
              <a:extLst>
                <a:ext uri="{63B3BB69-23CF-44E3-9099-C40C66FF867C}">
                  <a14:compatExt spid="_x0000_s89225"/>
                </a:ext>
              </a:extLst>
            </xdr:cNvPr>
            <xdr:cNvSpPr/>
          </xdr:nvSpPr>
          <xdr:spPr>
            <a:xfrm>
              <a:off x="0" y="0"/>
              <a:ext cx="0" cy="0"/>
            </a:xfrm>
            <a:prstGeom prst="rect">
              <a:avLst/>
            </a:prstGeom>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1206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50800</xdr:colOff>
          <xdr:row>156</xdr:row>
          <xdr:rowOff>241300</xdr:rowOff>
        </xdr:from>
        <xdr:to>
          <xdr:col>31</xdr:col>
          <xdr:colOff>50800</xdr:colOff>
          <xdr:row>158</xdr:row>
          <xdr:rowOff>0</xdr:rowOff>
        </xdr:to>
        <xdr:sp macro="" textlink="">
          <xdr:nvSpPr>
            <xdr:cNvPr id="89228" name="Group Box 140" hidden="1">
              <a:extLst>
                <a:ext uri="{63B3BB69-23CF-44E3-9099-C40C66FF867C}">
                  <a14:compatExt spid="_x0000_s89228"/>
                </a:ext>
              </a:extLst>
            </xdr:cNvPr>
            <xdr:cNvSpPr/>
          </xdr:nvSpPr>
          <xdr:spPr>
            <a:xfrm>
              <a:off x="0" y="0"/>
              <a:ext cx="0" cy="0"/>
            </a:xfrm>
            <a:prstGeom prst="rect">
              <a:avLst/>
            </a:prstGeom>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209550</xdr:colOff>
          <xdr:row>157</xdr:row>
          <xdr:rowOff>0</xdr:rowOff>
        </xdr:from>
        <xdr:to>
          <xdr:col>20</xdr:col>
          <xdr:colOff>146050</xdr:colOff>
          <xdr:row>157</xdr:row>
          <xdr:rowOff>241300</xdr:rowOff>
        </xdr:to>
        <xdr:sp macro="" textlink="">
          <xdr:nvSpPr>
            <xdr:cNvPr id="89229" name="Option Button 141" hidden="1">
              <a:extLst>
                <a:ext uri="{63B3BB69-23CF-44E3-9099-C40C66FF867C}">
                  <a14:compatExt spid="_x0000_s892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222250</xdr:colOff>
          <xdr:row>157</xdr:row>
          <xdr:rowOff>0</xdr:rowOff>
        </xdr:from>
        <xdr:to>
          <xdr:col>25</xdr:col>
          <xdr:colOff>165100</xdr:colOff>
          <xdr:row>157</xdr:row>
          <xdr:rowOff>241300</xdr:rowOff>
        </xdr:to>
        <xdr:sp macro="" textlink="">
          <xdr:nvSpPr>
            <xdr:cNvPr id="89230" name="Option Button 142" hidden="1">
              <a:extLst>
                <a:ext uri="{63B3BB69-23CF-44E3-9099-C40C66FF867C}">
                  <a14:compatExt spid="_x0000_s892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222250</xdr:colOff>
          <xdr:row>157</xdr:row>
          <xdr:rowOff>0</xdr:rowOff>
        </xdr:from>
        <xdr:to>
          <xdr:col>30</xdr:col>
          <xdr:colOff>165100</xdr:colOff>
          <xdr:row>157</xdr:row>
          <xdr:rowOff>241300</xdr:rowOff>
        </xdr:to>
        <xdr:sp macro="" textlink="">
          <xdr:nvSpPr>
            <xdr:cNvPr id="89231" name="Option Button 143" hidden="1">
              <a:extLst>
                <a:ext uri="{63B3BB69-23CF-44E3-9099-C40C66FF867C}">
                  <a14:compatExt spid="_x0000_s89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82</xdr:row>
          <xdr:rowOff>19050</xdr:rowOff>
        </xdr:from>
        <xdr:to>
          <xdr:col>23</xdr:col>
          <xdr:colOff>222250</xdr:colOff>
          <xdr:row>83</xdr:row>
          <xdr:rowOff>222250</xdr:rowOff>
        </xdr:to>
        <xdr:sp macro="" textlink="">
          <xdr:nvSpPr>
            <xdr:cNvPr id="89232" name="Group Box 144" hidden="1">
              <a:extLst>
                <a:ext uri="{63B3BB69-23CF-44E3-9099-C40C66FF867C}">
                  <a14:compatExt spid="_x0000_s89232"/>
                </a:ext>
              </a:extLst>
            </xdr:cNvPr>
            <xdr:cNvSpPr/>
          </xdr:nvSpPr>
          <xdr:spPr>
            <a:xfrm>
              <a:off x="0" y="0"/>
              <a:ext cx="0" cy="0"/>
            </a:xfrm>
            <a:prstGeom prst="rect">
              <a:avLst/>
            </a:prstGeom>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1190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381000</xdr:colOff>
          <xdr:row>83</xdr:row>
          <xdr:rowOff>107950</xdr:rowOff>
        </xdr:from>
        <xdr:to>
          <xdr:col>140</xdr:col>
          <xdr:colOff>95250</xdr:colOff>
          <xdr:row>111</xdr:row>
          <xdr:rowOff>184150</xdr:rowOff>
        </xdr:to>
        <xdr:sp macro="" textlink="">
          <xdr:nvSpPr>
            <xdr:cNvPr id="89242" name="Group Box 154" hidden="1">
              <a:extLst>
                <a:ext uri="{63B3BB69-23CF-44E3-9099-C40C66FF867C}">
                  <a14:compatExt spid="_x0000_s89242"/>
                </a:ext>
              </a:extLst>
            </xdr:cNvPr>
            <xdr:cNvSpPr/>
          </xdr:nvSpPr>
          <xdr:spPr>
            <a:xfrm>
              <a:off x="0" y="0"/>
              <a:ext cx="0" cy="0"/>
            </a:xfrm>
            <a:prstGeom prst="rect">
              <a:avLst/>
            </a:prstGeom>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154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149</xdr:row>
          <xdr:rowOff>12700</xdr:rowOff>
        </xdr:from>
        <xdr:to>
          <xdr:col>25</xdr:col>
          <xdr:colOff>260350</xdr:colOff>
          <xdr:row>150</xdr:row>
          <xdr:rowOff>0</xdr:rowOff>
        </xdr:to>
        <xdr:sp macro="" textlink="">
          <xdr:nvSpPr>
            <xdr:cNvPr id="89243" name="Option Button 155" hidden="1">
              <a:extLst>
                <a:ext uri="{63B3BB69-23CF-44E3-9099-C40C66FF867C}">
                  <a14:compatExt spid="_x0000_s89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165100</xdr:colOff>
          <xdr:row>149</xdr:row>
          <xdr:rowOff>12700</xdr:rowOff>
        </xdr:from>
        <xdr:to>
          <xdr:col>14</xdr:col>
          <xdr:colOff>0</xdr:colOff>
          <xdr:row>150</xdr:row>
          <xdr:rowOff>0</xdr:rowOff>
        </xdr:to>
        <xdr:sp macro="" textlink="">
          <xdr:nvSpPr>
            <xdr:cNvPr id="89244" name="Option Button 156" hidden="1">
              <a:extLst>
                <a:ext uri="{63B3BB69-23CF-44E3-9099-C40C66FF867C}">
                  <a14:compatExt spid="_x0000_s89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165100</xdr:colOff>
          <xdr:row>149</xdr:row>
          <xdr:rowOff>12700</xdr:rowOff>
        </xdr:from>
        <xdr:to>
          <xdr:col>38</xdr:col>
          <xdr:colOff>0</xdr:colOff>
          <xdr:row>150</xdr:row>
          <xdr:rowOff>0</xdr:rowOff>
        </xdr:to>
        <xdr:sp macro="" textlink="">
          <xdr:nvSpPr>
            <xdr:cNvPr id="89245" name="Option Button 157" hidden="1">
              <a:extLst>
                <a:ext uri="{63B3BB69-23CF-44E3-9099-C40C66FF867C}">
                  <a14:compatExt spid="_x0000_s89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59</xdr:row>
          <xdr:rowOff>19050</xdr:rowOff>
        </xdr:from>
        <xdr:to>
          <xdr:col>11</xdr:col>
          <xdr:colOff>19050</xdr:colOff>
          <xdr:row>59</xdr:row>
          <xdr:rowOff>228600</xdr:rowOff>
        </xdr:to>
        <xdr:sp macro="" textlink="">
          <xdr:nvSpPr>
            <xdr:cNvPr id="89246" name="Check Box 158" hidden="1">
              <a:extLst>
                <a:ext uri="{63B3BB69-23CF-44E3-9099-C40C66FF867C}">
                  <a14:compatExt spid="_x0000_s89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62</xdr:row>
          <xdr:rowOff>19050</xdr:rowOff>
        </xdr:from>
        <xdr:to>
          <xdr:col>11</xdr:col>
          <xdr:colOff>19050</xdr:colOff>
          <xdr:row>62</xdr:row>
          <xdr:rowOff>228600</xdr:rowOff>
        </xdr:to>
        <xdr:sp macro="" textlink="">
          <xdr:nvSpPr>
            <xdr:cNvPr id="89247" name="Check Box 159" hidden="1">
              <a:extLst>
                <a:ext uri="{63B3BB69-23CF-44E3-9099-C40C66FF867C}">
                  <a14:compatExt spid="_x0000_s89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50800</xdr:colOff>
          <xdr:row>60</xdr:row>
          <xdr:rowOff>241300</xdr:rowOff>
        </xdr:from>
        <xdr:to>
          <xdr:col>23</xdr:col>
          <xdr:colOff>209550</xdr:colOff>
          <xdr:row>62</xdr:row>
          <xdr:rowOff>209550</xdr:rowOff>
        </xdr:to>
        <xdr:sp macro="" textlink="">
          <xdr:nvSpPr>
            <xdr:cNvPr id="89248" name="Group Box 160" hidden="1">
              <a:extLst>
                <a:ext uri="{63B3BB69-23CF-44E3-9099-C40C66FF867C}">
                  <a14:compatExt spid="_x0000_s89248"/>
                </a:ext>
              </a:extLst>
            </xdr:cNvPr>
            <xdr:cNvSpPr/>
          </xdr:nvSpPr>
          <xdr:spPr>
            <a:xfrm>
              <a:off x="0" y="0"/>
              <a:ext cx="0" cy="0"/>
            </a:xfrm>
            <a:prstGeom prst="rect">
              <a:avLst/>
            </a:prstGeom>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1032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61</xdr:row>
          <xdr:rowOff>12700</xdr:rowOff>
        </xdr:from>
        <xdr:to>
          <xdr:col>17</xdr:col>
          <xdr:colOff>241300</xdr:colOff>
          <xdr:row>61</xdr:row>
          <xdr:rowOff>209550</xdr:rowOff>
        </xdr:to>
        <xdr:sp macro="" textlink="">
          <xdr:nvSpPr>
            <xdr:cNvPr id="89249" name="Option Button 161" hidden="1">
              <a:extLst>
                <a:ext uri="{63B3BB69-23CF-44E3-9099-C40C66FF867C}">
                  <a14:compatExt spid="_x0000_s89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61</xdr:row>
          <xdr:rowOff>12700</xdr:rowOff>
        </xdr:from>
        <xdr:to>
          <xdr:col>22</xdr:col>
          <xdr:colOff>152400</xdr:colOff>
          <xdr:row>61</xdr:row>
          <xdr:rowOff>209550</xdr:rowOff>
        </xdr:to>
        <xdr:sp macro="" textlink="">
          <xdr:nvSpPr>
            <xdr:cNvPr id="89250" name="Option Button 162" hidden="1">
              <a:extLst>
                <a:ext uri="{63B3BB69-23CF-44E3-9099-C40C66FF867C}">
                  <a14:compatExt spid="_x0000_s89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0</xdr:rowOff>
        </xdr:from>
        <xdr:to>
          <xdr:col>25</xdr:col>
          <xdr:colOff>247650</xdr:colOff>
          <xdr:row>60</xdr:row>
          <xdr:rowOff>241300</xdr:rowOff>
        </xdr:to>
        <xdr:sp macro="" textlink="">
          <xdr:nvSpPr>
            <xdr:cNvPr id="89253" name="Group Box 165" hidden="1">
              <a:extLst>
                <a:ext uri="{63B3BB69-23CF-44E3-9099-C40C66FF867C}">
                  <a14:compatExt spid="_x0000_s89253"/>
                </a:ext>
              </a:extLst>
            </xdr:cNvPr>
            <xdr:cNvSpPr/>
          </xdr:nvSpPr>
          <xdr:spPr>
            <a:xfrm>
              <a:off x="0" y="0"/>
              <a:ext cx="0" cy="0"/>
            </a:xfrm>
            <a:prstGeom prst="rect">
              <a:avLst/>
            </a:prstGeom>
          </xdr:spPr>
        </xdr:sp>
        <xdr:clientData/>
      </xdr:twoCellAnchor>
    </mc:Choice>
    <mc:Fallback/>
  </mc:AlternateContent>
  <xdr:twoCellAnchor>
    <xdr:from>
      <xdr:col>11</xdr:col>
      <xdr:colOff>44824</xdr:colOff>
      <xdr:row>64</xdr:row>
      <xdr:rowOff>33618</xdr:rowOff>
    </xdr:from>
    <xdr:to>
      <xdr:col>45</xdr:col>
      <xdr:colOff>201706</xdr:colOff>
      <xdr:row>64</xdr:row>
      <xdr:rowOff>201706</xdr:rowOff>
    </xdr:to>
    <xdr:sp macro="" textlink="">
      <xdr:nvSpPr>
        <xdr:cNvPr id="113" name="角丸四角形 112"/>
        <xdr:cNvSpPr/>
      </xdr:nvSpPr>
      <xdr:spPr>
        <a:xfrm>
          <a:off x="2879912" y="13099677"/>
          <a:ext cx="8919882" cy="168088"/>
        </a:xfrm>
        <a:prstGeom prst="roundRect">
          <a:avLst>
            <a:gd name="adj" fmla="val 4685"/>
          </a:avLst>
        </a:prstGeom>
        <a:solidFill>
          <a:srgbClr val="FFCCFF">
            <a:alpha val="67000"/>
          </a:srgbClr>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050" b="1">
              <a:solidFill>
                <a:srgbClr val="0000FF"/>
              </a:solidFill>
              <a:latin typeface="Meiryo UI" panose="020B0604030504040204" pitchFamily="50" charset="-128"/>
              <a:ea typeface="Meiryo UI" panose="020B0604030504040204" pitchFamily="50" charset="-128"/>
              <a:cs typeface="Meiryo UI" panose="020B0604030504040204" pitchFamily="50" charset="-128"/>
            </a:rPr>
            <a:t>オレンジの太枠内は弊社使用欄となりますので入力不要です。</a:t>
          </a:r>
        </a:p>
      </xdr:txBody>
    </xdr:sp>
    <xdr:clientData/>
  </xdr:twoCellAnchor>
  <xdr:twoCellAnchor>
    <xdr:from>
      <xdr:col>11</xdr:col>
      <xdr:colOff>44824</xdr:colOff>
      <xdr:row>62</xdr:row>
      <xdr:rowOff>33618</xdr:rowOff>
    </xdr:from>
    <xdr:to>
      <xdr:col>45</xdr:col>
      <xdr:colOff>201706</xdr:colOff>
      <xdr:row>62</xdr:row>
      <xdr:rowOff>201706</xdr:rowOff>
    </xdr:to>
    <xdr:sp macro="" textlink="">
      <xdr:nvSpPr>
        <xdr:cNvPr id="114" name="角丸四角形 113"/>
        <xdr:cNvSpPr/>
      </xdr:nvSpPr>
      <xdr:spPr>
        <a:xfrm>
          <a:off x="2879912" y="12606618"/>
          <a:ext cx="8919882" cy="168088"/>
        </a:xfrm>
        <a:prstGeom prst="roundRect">
          <a:avLst>
            <a:gd name="adj" fmla="val 4685"/>
          </a:avLst>
        </a:prstGeom>
        <a:solidFill>
          <a:srgbClr val="FFCCFF">
            <a:alpha val="67000"/>
          </a:srgbClr>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050" b="1">
              <a:solidFill>
                <a:srgbClr val="0000FF"/>
              </a:solidFill>
              <a:latin typeface="Meiryo UI" panose="020B0604030504040204" pitchFamily="50" charset="-128"/>
              <a:ea typeface="Meiryo UI" panose="020B0604030504040204" pitchFamily="50" charset="-128"/>
              <a:cs typeface="Meiryo UI" panose="020B0604030504040204" pitchFamily="50" charset="-128"/>
            </a:rPr>
            <a:t>オレンジの太枠内は弊社使用欄となりますので入力不要です。</a:t>
          </a:r>
        </a:p>
      </xdr:txBody>
    </xdr:sp>
    <xdr:clientData/>
  </xdr:twoCellAnchor>
  <xdr:twoCellAnchor editAs="oneCell">
    <xdr:from>
      <xdr:col>14</xdr:col>
      <xdr:colOff>100853</xdr:colOff>
      <xdr:row>16</xdr:row>
      <xdr:rowOff>224116</xdr:rowOff>
    </xdr:from>
    <xdr:to>
      <xdr:col>26</xdr:col>
      <xdr:colOff>116537</xdr:colOff>
      <xdr:row>20</xdr:row>
      <xdr:rowOff>67235</xdr:rowOff>
    </xdr:to>
    <xdr:sp macro="" textlink="">
      <xdr:nvSpPr>
        <xdr:cNvPr id="111" name="角丸四角形吹き出し 110"/>
        <xdr:cNvSpPr/>
      </xdr:nvSpPr>
      <xdr:spPr>
        <a:xfrm>
          <a:off x="3709147" y="4168587"/>
          <a:ext cx="3108508" cy="582707"/>
        </a:xfrm>
        <a:prstGeom prst="wedgeRoundRectCallout">
          <a:avLst>
            <a:gd name="adj1" fmla="val -65180"/>
            <a:gd name="adj2" fmla="val -30345"/>
            <a:gd name="adj3" fmla="val 16667"/>
          </a:avLst>
        </a:prstGeom>
        <a:solidFill>
          <a:srgbClr val="FFCCFF"/>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lang="en-US" altLang="ja-JP" sz="10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JCB</a:t>
          </a:r>
          <a:r>
            <a:rPr lang="ja-JP" altLang="en-US" sz="10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をお申込の場合は、別シートの</a:t>
          </a:r>
          <a:endParaRPr lang="en-US" altLang="ja-JP" sz="10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endParaRPr>
        </a:p>
        <a:p>
          <a:pPr algn="l"/>
          <a:r>
            <a:rPr lang="en-US" altLang="ja-JP" sz="10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【JCB</a:t>
          </a:r>
          <a:r>
            <a:rPr lang="ja-JP" altLang="en-US" sz="10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用</a:t>
          </a:r>
          <a:r>
            <a:rPr lang="en-US" altLang="ja-JP" sz="10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a:t>
          </a:r>
          <a:r>
            <a:rPr lang="ja-JP" altLang="en-US" sz="10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業態シートから業種をご選択ください。</a:t>
          </a:r>
          <a:endParaRPr lang="en-US" altLang="ja-JP" sz="10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14</xdr:col>
          <xdr:colOff>57150</xdr:colOff>
          <xdr:row>82</xdr:row>
          <xdr:rowOff>228600</xdr:rowOff>
        </xdr:from>
        <xdr:to>
          <xdr:col>38</xdr:col>
          <xdr:colOff>241300</xdr:colOff>
          <xdr:row>84</xdr:row>
          <xdr:rowOff>38100</xdr:rowOff>
        </xdr:to>
        <xdr:sp macro="" textlink="">
          <xdr:nvSpPr>
            <xdr:cNvPr id="89255" name="Group Box 167" hidden="1">
              <a:extLst>
                <a:ext uri="{63B3BB69-23CF-44E3-9099-C40C66FF867C}">
                  <a14:compatExt spid="_x0000_s89255"/>
                </a:ext>
              </a:extLst>
            </xdr:cNvPr>
            <xdr:cNvSpPr/>
          </xdr:nvSpPr>
          <xdr:spPr>
            <a:xfrm>
              <a:off x="0" y="0"/>
              <a:ext cx="0" cy="0"/>
            </a:xfrm>
            <a:prstGeom prst="rect">
              <a:avLst/>
            </a:prstGeom>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1261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203200</xdr:colOff>
          <xdr:row>82</xdr:row>
          <xdr:rowOff>247650</xdr:rowOff>
        </xdr:from>
        <xdr:to>
          <xdr:col>18</xdr:col>
          <xdr:colOff>107950</xdr:colOff>
          <xdr:row>83</xdr:row>
          <xdr:rowOff>241300</xdr:rowOff>
        </xdr:to>
        <xdr:sp macro="" textlink="">
          <xdr:nvSpPr>
            <xdr:cNvPr id="89256" name="Option Button 168" hidden="1">
              <a:extLst>
                <a:ext uri="{63B3BB69-23CF-44E3-9099-C40C66FF867C}">
                  <a14:compatExt spid="_x0000_s89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209550</xdr:colOff>
          <xdr:row>82</xdr:row>
          <xdr:rowOff>247650</xdr:rowOff>
        </xdr:from>
        <xdr:to>
          <xdr:col>23</xdr:col>
          <xdr:colOff>114300</xdr:colOff>
          <xdr:row>83</xdr:row>
          <xdr:rowOff>241300</xdr:rowOff>
        </xdr:to>
        <xdr:sp macro="" textlink="">
          <xdr:nvSpPr>
            <xdr:cNvPr id="89257" name="Option Button 169" hidden="1">
              <a:extLst>
                <a:ext uri="{63B3BB69-23CF-44E3-9099-C40C66FF867C}">
                  <a14:compatExt spid="_x0000_s89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209550</xdr:colOff>
          <xdr:row>82</xdr:row>
          <xdr:rowOff>247650</xdr:rowOff>
        </xdr:from>
        <xdr:to>
          <xdr:col>33</xdr:col>
          <xdr:colOff>114300</xdr:colOff>
          <xdr:row>83</xdr:row>
          <xdr:rowOff>241300</xdr:rowOff>
        </xdr:to>
        <xdr:sp macro="" textlink="">
          <xdr:nvSpPr>
            <xdr:cNvPr id="89258" name="Option Button 170" hidden="1">
              <a:extLst>
                <a:ext uri="{63B3BB69-23CF-44E3-9099-C40C66FF867C}">
                  <a14:compatExt spid="_x0000_s89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107950</xdr:colOff>
          <xdr:row>85</xdr:row>
          <xdr:rowOff>228600</xdr:rowOff>
        </xdr:from>
        <xdr:to>
          <xdr:col>23</xdr:col>
          <xdr:colOff>152400</xdr:colOff>
          <xdr:row>88</xdr:row>
          <xdr:rowOff>19050</xdr:rowOff>
        </xdr:to>
        <xdr:sp macro="" textlink="">
          <xdr:nvSpPr>
            <xdr:cNvPr id="89259" name="Group Box 171" hidden="1">
              <a:extLst>
                <a:ext uri="{63B3BB69-23CF-44E3-9099-C40C66FF867C}">
                  <a14:compatExt spid="_x0000_s89259"/>
                </a:ext>
              </a:extLst>
            </xdr:cNvPr>
            <xdr:cNvSpPr/>
          </xdr:nvSpPr>
          <xdr:spPr>
            <a:xfrm>
              <a:off x="0" y="0"/>
              <a:ext cx="0" cy="0"/>
            </a:xfrm>
            <a:prstGeom prst="rect">
              <a:avLst/>
            </a:prstGeom>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1268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203200</xdr:colOff>
          <xdr:row>85</xdr:row>
          <xdr:rowOff>247650</xdr:rowOff>
        </xdr:from>
        <xdr:to>
          <xdr:col>18</xdr:col>
          <xdr:colOff>107950</xdr:colOff>
          <xdr:row>86</xdr:row>
          <xdr:rowOff>241300</xdr:rowOff>
        </xdr:to>
        <xdr:sp macro="" textlink="">
          <xdr:nvSpPr>
            <xdr:cNvPr id="89260" name="Option Button 172" hidden="1">
              <a:extLst>
                <a:ext uri="{63B3BB69-23CF-44E3-9099-C40C66FF867C}">
                  <a14:compatExt spid="_x0000_s89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209550</xdr:colOff>
          <xdr:row>85</xdr:row>
          <xdr:rowOff>247650</xdr:rowOff>
        </xdr:from>
        <xdr:to>
          <xdr:col>23</xdr:col>
          <xdr:colOff>114300</xdr:colOff>
          <xdr:row>86</xdr:row>
          <xdr:rowOff>241300</xdr:rowOff>
        </xdr:to>
        <xdr:sp macro="" textlink="">
          <xdr:nvSpPr>
            <xdr:cNvPr id="89261" name="Option Button 173" hidden="1">
              <a:extLst>
                <a:ext uri="{63B3BB69-23CF-44E3-9099-C40C66FF867C}">
                  <a14:compatExt spid="_x0000_s89261"/>
                </a:ext>
              </a:extLst>
            </xdr:cNvPr>
            <xdr:cNvSpPr/>
          </xdr:nvSpPr>
          <xdr:spPr>
            <a:xfrm>
              <a:off x="0" y="0"/>
              <a:ext cx="0" cy="0"/>
            </a:xfrm>
            <a:prstGeom prst="rect">
              <a:avLst/>
            </a:prstGeom>
          </xdr:spPr>
        </xdr:sp>
        <xdr:clientData/>
      </xdr:twoCellAnchor>
    </mc:Choice>
    <mc:Fallback/>
  </mc:AlternateContent>
  <xdr:twoCellAnchor>
    <xdr:from>
      <xdr:col>21</xdr:col>
      <xdr:colOff>56030</xdr:colOff>
      <xdr:row>111</xdr:row>
      <xdr:rowOff>44824</xdr:rowOff>
    </xdr:from>
    <xdr:to>
      <xdr:col>27</xdr:col>
      <xdr:colOff>201706</xdr:colOff>
      <xdr:row>119</xdr:row>
      <xdr:rowOff>190500</xdr:rowOff>
    </xdr:to>
    <xdr:sp macro="" textlink="">
      <xdr:nvSpPr>
        <xdr:cNvPr id="120" name="角丸四角形 119"/>
        <xdr:cNvSpPr/>
      </xdr:nvSpPr>
      <xdr:spPr>
        <a:xfrm>
          <a:off x="5468471" y="17301883"/>
          <a:ext cx="1692088" cy="1871382"/>
        </a:xfrm>
        <a:prstGeom prst="roundRect">
          <a:avLst>
            <a:gd name="adj" fmla="val 4685"/>
          </a:avLst>
        </a:prstGeom>
        <a:solidFill>
          <a:srgbClr val="FFCCFF">
            <a:alpha val="67000"/>
          </a:srgbClr>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200" b="1">
              <a:solidFill>
                <a:srgbClr val="0000FF"/>
              </a:solidFill>
              <a:latin typeface="Meiryo UI" panose="020B0604030504040204" pitchFamily="50" charset="-128"/>
              <a:ea typeface="Meiryo UI" panose="020B0604030504040204" pitchFamily="50" charset="-128"/>
              <a:cs typeface="Meiryo UI" panose="020B0604030504040204" pitchFamily="50" charset="-128"/>
            </a:rPr>
            <a:t>オレンジの太枠内は弊社使用欄となりますので入力不要です。</a:t>
          </a:r>
        </a:p>
      </xdr:txBody>
    </xdr:sp>
    <xdr:clientData/>
  </xdr:twoCellAnchor>
  <xdr:twoCellAnchor>
    <xdr:from>
      <xdr:col>21</xdr:col>
      <xdr:colOff>44824</xdr:colOff>
      <xdr:row>125</xdr:row>
      <xdr:rowOff>56029</xdr:rowOff>
    </xdr:from>
    <xdr:to>
      <xdr:col>25</xdr:col>
      <xdr:colOff>201706</xdr:colOff>
      <xdr:row>146</xdr:row>
      <xdr:rowOff>190499</xdr:rowOff>
    </xdr:to>
    <xdr:sp macro="" textlink="">
      <xdr:nvSpPr>
        <xdr:cNvPr id="121" name="角丸四角形 120"/>
        <xdr:cNvSpPr/>
      </xdr:nvSpPr>
      <xdr:spPr>
        <a:xfrm>
          <a:off x="5457265" y="20271441"/>
          <a:ext cx="1187823" cy="1860176"/>
        </a:xfrm>
        <a:prstGeom prst="roundRect">
          <a:avLst>
            <a:gd name="adj" fmla="val 4685"/>
          </a:avLst>
        </a:prstGeom>
        <a:solidFill>
          <a:srgbClr val="FFCCFF">
            <a:alpha val="67000"/>
          </a:srgbClr>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200" b="1">
              <a:solidFill>
                <a:srgbClr val="0000FF"/>
              </a:solidFill>
              <a:latin typeface="Meiryo UI" panose="020B0604030504040204" pitchFamily="50" charset="-128"/>
              <a:ea typeface="Meiryo UI" panose="020B0604030504040204" pitchFamily="50" charset="-128"/>
              <a:cs typeface="Meiryo UI" panose="020B0604030504040204" pitchFamily="50" charset="-128"/>
            </a:rPr>
            <a:t>オレンジの太枠内は弊社使用欄となりますので入力不要です。</a:t>
          </a:r>
        </a:p>
      </xdr:txBody>
    </xdr:sp>
    <xdr:clientData/>
  </xdr:twoCellAnchor>
  <xdr:twoCellAnchor>
    <xdr:from>
      <xdr:col>10</xdr:col>
      <xdr:colOff>67235</xdr:colOff>
      <xdr:row>162</xdr:row>
      <xdr:rowOff>56030</xdr:rowOff>
    </xdr:from>
    <xdr:to>
      <xdr:col>45</xdr:col>
      <xdr:colOff>201706</xdr:colOff>
      <xdr:row>166</xdr:row>
      <xdr:rowOff>190500</xdr:rowOff>
    </xdr:to>
    <xdr:sp macro="" textlink="">
      <xdr:nvSpPr>
        <xdr:cNvPr id="122" name="角丸四角形 121"/>
        <xdr:cNvSpPr/>
      </xdr:nvSpPr>
      <xdr:spPr>
        <a:xfrm>
          <a:off x="2644588" y="25448559"/>
          <a:ext cx="9155206" cy="1120588"/>
        </a:xfrm>
        <a:prstGeom prst="roundRect">
          <a:avLst>
            <a:gd name="adj" fmla="val 4685"/>
          </a:avLst>
        </a:prstGeom>
        <a:solidFill>
          <a:srgbClr val="FFCCFF">
            <a:alpha val="67000"/>
          </a:srgbClr>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200" b="1">
              <a:solidFill>
                <a:srgbClr val="0000FF"/>
              </a:solidFill>
              <a:latin typeface="Meiryo UI" panose="020B0604030504040204" pitchFamily="50" charset="-128"/>
              <a:ea typeface="Meiryo UI" panose="020B0604030504040204" pitchFamily="50" charset="-128"/>
              <a:cs typeface="Meiryo UI" panose="020B0604030504040204" pitchFamily="50" charset="-128"/>
            </a:rPr>
            <a:t>オレンジの太枠内は弊社使用欄となりますので入力不要です。</a:t>
          </a:r>
        </a:p>
      </xdr:txBody>
    </xdr:sp>
    <xdr:clientData/>
  </xdr:twoCellAnchor>
  <xdr:twoCellAnchor editAs="oneCell">
    <xdr:from>
      <xdr:col>17</xdr:col>
      <xdr:colOff>0</xdr:colOff>
      <xdr:row>197</xdr:row>
      <xdr:rowOff>108895</xdr:rowOff>
    </xdr:from>
    <xdr:to>
      <xdr:col>31</xdr:col>
      <xdr:colOff>165516</xdr:colOff>
      <xdr:row>199</xdr:row>
      <xdr:rowOff>89646</xdr:rowOff>
    </xdr:to>
    <xdr:pic>
      <xdr:nvPicPr>
        <xdr:cNvPr id="109" name="図 108"/>
        <xdr:cNvPicPr>
          <a:picLocks noChangeAspect="1"/>
        </xdr:cNvPicPr>
      </xdr:nvPicPr>
      <xdr:blipFill>
        <a:blip xmlns:r="http://schemas.openxmlformats.org/officeDocument/2006/relationships" r:embed="rId1"/>
        <a:stretch>
          <a:fillRect/>
        </a:stretch>
      </xdr:blipFill>
      <xdr:spPr>
        <a:xfrm>
          <a:off x="4371975" y="32798695"/>
          <a:ext cx="3765966" cy="476051"/>
        </a:xfrm>
        <a:prstGeom prst="rect">
          <a:avLst/>
        </a:prstGeom>
      </xdr:spPr>
    </xdr:pic>
    <xdr:clientData/>
  </xdr:twoCellAnchor>
  <xdr:oneCellAnchor>
    <xdr:from>
      <xdr:col>25</xdr:col>
      <xdr:colOff>100854</xdr:colOff>
      <xdr:row>189</xdr:row>
      <xdr:rowOff>60973</xdr:rowOff>
    </xdr:from>
    <xdr:ext cx="4462623" cy="338811"/>
    <xdr:sp macro="" textlink="" fLocksText="0">
      <xdr:nvSpPr>
        <xdr:cNvPr id="110" name="テキスト ボックス 109"/>
        <xdr:cNvSpPr txBox="1"/>
      </xdr:nvSpPr>
      <xdr:spPr>
        <a:xfrm>
          <a:off x="6530229" y="30769573"/>
          <a:ext cx="4462623" cy="3388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en-US" altLang="ja-JP" sz="1600">
              <a:solidFill>
                <a:srgbClr val="FF0000"/>
              </a:solidFill>
              <a:latin typeface="Meiryo UI" panose="020B0604030504040204" pitchFamily="50" charset="-128"/>
              <a:ea typeface="Meiryo UI" panose="020B0604030504040204" pitchFamily="50" charset="-128"/>
            </a:rPr>
            <a:t>sbps-dp-attachments@poc-operation.com</a:t>
          </a:r>
          <a:endParaRPr kumimoji="1" lang="ja-JP" altLang="en-US" sz="1600">
            <a:solidFill>
              <a:srgbClr val="FF0000"/>
            </a:solidFill>
            <a:latin typeface="Meiryo UI" panose="020B0604030504040204" pitchFamily="50" charset="-128"/>
            <a:ea typeface="Meiryo UI" panose="020B0604030504040204" pitchFamily="50" charset="-128"/>
          </a:endParaRPr>
        </a:p>
      </xdr:txBody>
    </xdr:sp>
    <xdr:clientData/>
  </xdr:oneCellAnchor>
  <xdr:twoCellAnchor>
    <xdr:from>
      <xdr:col>2</xdr:col>
      <xdr:colOff>0</xdr:colOff>
      <xdr:row>171</xdr:row>
      <xdr:rowOff>0</xdr:rowOff>
    </xdr:from>
    <xdr:to>
      <xdr:col>11</xdr:col>
      <xdr:colOff>144562</xdr:colOff>
      <xdr:row>172</xdr:row>
      <xdr:rowOff>98743</xdr:rowOff>
    </xdr:to>
    <xdr:sp macro="" textlink="">
      <xdr:nvSpPr>
        <xdr:cNvPr id="115" name="角丸四角形 114"/>
        <xdr:cNvSpPr/>
      </xdr:nvSpPr>
      <xdr:spPr>
        <a:xfrm>
          <a:off x="514350" y="26250900"/>
          <a:ext cx="2459137" cy="346393"/>
        </a:xfrm>
        <a:prstGeom prst="roundRect">
          <a:avLst>
            <a:gd name="adj" fmla="val 50000"/>
          </a:avLst>
        </a:prstGeom>
        <a:solidFill>
          <a:schemeClr val="tx1"/>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bg1"/>
              </a:solidFill>
              <a:latin typeface="+mj-ea"/>
              <a:ea typeface="+mj-ea"/>
            </a:rPr>
            <a:t>8.</a:t>
          </a:r>
          <a:r>
            <a:rPr kumimoji="1" lang="ja-JP" altLang="ja-JP" sz="1400" b="1">
              <a:solidFill>
                <a:schemeClr val="lt1"/>
              </a:solidFill>
              <a:effectLst/>
              <a:latin typeface="+mn-lt"/>
              <a:ea typeface="+mn-ea"/>
              <a:cs typeface="+mn-cs"/>
            </a:rPr>
            <a:t>追加アプリ</a:t>
          </a:r>
          <a:r>
            <a:rPr kumimoji="1" lang="ja-JP" altLang="ja-JP" sz="1400" b="1" baseline="0">
              <a:solidFill>
                <a:schemeClr val="lt1"/>
              </a:solidFill>
              <a:effectLst/>
              <a:latin typeface="+mn-lt"/>
              <a:ea typeface="+mn-ea"/>
              <a:cs typeface="+mn-cs"/>
            </a:rPr>
            <a:t> </a:t>
          </a:r>
          <a:r>
            <a:rPr kumimoji="1" lang="ja-JP" altLang="ja-JP" sz="1400" b="1">
              <a:solidFill>
                <a:schemeClr val="lt1"/>
              </a:solidFill>
              <a:effectLst/>
              <a:latin typeface="+mn-lt"/>
              <a:ea typeface="+mn-ea"/>
              <a:cs typeface="+mn-cs"/>
            </a:rPr>
            <a:t>お申込み</a:t>
          </a:r>
          <a:endParaRPr kumimoji="1" lang="ja-JP" altLang="en-US" sz="1400" b="1">
            <a:solidFill>
              <a:schemeClr val="bg1"/>
            </a:solidFill>
            <a:latin typeface="+mj-ea"/>
            <a:ea typeface="+mj-ea"/>
          </a:endParaRPr>
        </a:p>
      </xdr:txBody>
    </xdr:sp>
    <xdr:clientData/>
  </xdr:twoCellAnchor>
  <mc:AlternateContent xmlns:mc="http://schemas.openxmlformats.org/markup-compatibility/2006">
    <mc:Choice xmlns:a14="http://schemas.microsoft.com/office/drawing/2010/main" Requires="a14">
      <xdr:twoCellAnchor editAs="oneCell">
        <xdr:from>
          <xdr:col>10</xdr:col>
          <xdr:colOff>146050</xdr:colOff>
          <xdr:row>174</xdr:row>
          <xdr:rowOff>0</xdr:rowOff>
        </xdr:from>
        <xdr:to>
          <xdr:col>15</xdr:col>
          <xdr:colOff>241300</xdr:colOff>
          <xdr:row>175</xdr:row>
          <xdr:rowOff>0</xdr:rowOff>
        </xdr:to>
        <xdr:sp macro="" textlink="">
          <xdr:nvSpPr>
            <xdr:cNvPr id="89265" name="Check Box 177" hidden="1">
              <a:extLst>
                <a:ext uri="{63B3BB69-23CF-44E3-9099-C40C66FF867C}">
                  <a14:compatExt spid="_x0000_s89265"/>
                </a:ext>
              </a:extLst>
            </xdr:cNvPr>
            <xdr:cNvSpPr/>
          </xdr:nvSpPr>
          <xdr:spPr>
            <a:xfrm>
              <a:off x="0" y="0"/>
              <a:ext cx="0" cy="0"/>
            </a:xfrm>
            <a:prstGeom prst="rect">
              <a:avLst/>
            </a:prstGeom>
          </xdr:spPr>
        </xdr:sp>
        <xdr:clientData/>
      </xdr:twoCellAnchor>
    </mc:Choice>
    <mc:Fallback/>
  </mc:AlternateContent>
  <xdr:twoCellAnchor editAs="oneCell">
    <xdr:from>
      <xdr:col>29</xdr:col>
      <xdr:colOff>145675</xdr:colOff>
      <xdr:row>172</xdr:row>
      <xdr:rowOff>44824</xdr:rowOff>
    </xdr:from>
    <xdr:to>
      <xdr:col>42</xdr:col>
      <xdr:colOff>112059</xdr:colOff>
      <xdr:row>174</xdr:row>
      <xdr:rowOff>212885</xdr:rowOff>
    </xdr:to>
    <xdr:sp macro="" textlink="">
      <xdr:nvSpPr>
        <xdr:cNvPr id="116" name="角丸四角形吹き出し 115"/>
        <xdr:cNvSpPr/>
      </xdr:nvSpPr>
      <xdr:spPr>
        <a:xfrm>
          <a:off x="7619999" y="26423471"/>
          <a:ext cx="3316942" cy="661120"/>
        </a:xfrm>
        <a:prstGeom prst="wedgeRoundRectCallout">
          <a:avLst>
            <a:gd name="adj1" fmla="val -60018"/>
            <a:gd name="adj2" fmla="val 30698"/>
            <a:gd name="adj3" fmla="val 16667"/>
          </a:avLst>
        </a:prstGeom>
        <a:solidFill>
          <a:srgbClr val="FFCCFF"/>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100" b="1">
              <a:solidFill>
                <a:srgbClr val="0000FF"/>
              </a:solidFill>
              <a:latin typeface="Meiryo UI" panose="020B0604030504040204" pitchFamily="50" charset="-128"/>
              <a:ea typeface="Meiryo UI" panose="020B0604030504040204" pitchFamily="50" charset="-128"/>
              <a:cs typeface="Meiryo UI" panose="020B0604030504040204" pitchFamily="50" charset="-128"/>
            </a:rPr>
            <a:t>追加アプリをお申込の場合は、規約をご確認のうえチェックをお願いいたします。</a:t>
          </a:r>
        </a:p>
      </xdr:txBody>
    </xdr:sp>
    <xdr:clientData/>
  </xdr:twoCellAnchor>
  <mc:AlternateContent xmlns:mc="http://schemas.openxmlformats.org/markup-compatibility/2006">
    <mc:Choice xmlns:a14="http://schemas.microsoft.com/office/drawing/2010/main" Requires="a14">
      <xdr:twoCellAnchor editAs="oneCell">
        <xdr:from>
          <xdr:col>9</xdr:col>
          <xdr:colOff>171450</xdr:colOff>
          <xdr:row>77</xdr:row>
          <xdr:rowOff>19050</xdr:rowOff>
        </xdr:from>
        <xdr:to>
          <xdr:col>11</xdr:col>
          <xdr:colOff>19050</xdr:colOff>
          <xdr:row>77</xdr:row>
          <xdr:rowOff>228600</xdr:rowOff>
        </xdr:to>
        <xdr:sp macro="" textlink="">
          <xdr:nvSpPr>
            <xdr:cNvPr id="89266" name="Check Box 178" hidden="1">
              <a:extLst>
                <a:ext uri="{63B3BB69-23CF-44E3-9099-C40C66FF867C}">
                  <a14:compatExt spid="_x0000_s89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76</xdr:row>
          <xdr:rowOff>0</xdr:rowOff>
        </xdr:from>
        <xdr:to>
          <xdr:col>23</xdr:col>
          <xdr:colOff>241300</xdr:colOff>
          <xdr:row>77</xdr:row>
          <xdr:rowOff>19050</xdr:rowOff>
        </xdr:to>
        <xdr:sp macro="" textlink="">
          <xdr:nvSpPr>
            <xdr:cNvPr id="89267" name="Group Box 179" hidden="1">
              <a:extLst>
                <a:ext uri="{63B3BB69-23CF-44E3-9099-C40C66FF867C}">
                  <a14:compatExt spid="_x0000_s89267"/>
                </a:ext>
              </a:extLst>
            </xdr:cNvPr>
            <xdr:cNvSpPr/>
          </xdr:nvSpPr>
          <xdr:spPr>
            <a:xfrm>
              <a:off x="0" y="0"/>
              <a:ext cx="0" cy="0"/>
            </a:xfrm>
            <a:prstGeom prst="rect">
              <a:avLst/>
            </a:prstGeom>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885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79</xdr:row>
          <xdr:rowOff>19050</xdr:rowOff>
        </xdr:from>
        <xdr:to>
          <xdr:col>11</xdr:col>
          <xdr:colOff>19050</xdr:colOff>
          <xdr:row>79</xdr:row>
          <xdr:rowOff>228600</xdr:rowOff>
        </xdr:to>
        <xdr:sp macro="" textlink="">
          <xdr:nvSpPr>
            <xdr:cNvPr id="89268" name="Check Box 180" hidden="1">
              <a:extLst>
                <a:ext uri="{63B3BB69-23CF-44E3-9099-C40C66FF867C}">
                  <a14:compatExt spid="_x0000_s892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203200</xdr:colOff>
          <xdr:row>77</xdr:row>
          <xdr:rowOff>209550</xdr:rowOff>
        </xdr:from>
        <xdr:to>
          <xdr:col>46</xdr:col>
          <xdr:colOff>50800</xdr:colOff>
          <xdr:row>79</xdr:row>
          <xdr:rowOff>38100</xdr:rowOff>
        </xdr:to>
        <xdr:sp macro="" textlink="">
          <xdr:nvSpPr>
            <xdr:cNvPr id="89269" name="Group Box 181" hidden="1">
              <a:extLst>
                <a:ext uri="{63B3BB69-23CF-44E3-9099-C40C66FF867C}">
                  <a14:compatExt spid="_x0000_s89269"/>
                </a:ext>
              </a:extLst>
            </xdr:cNvPr>
            <xdr:cNvSpPr/>
          </xdr:nvSpPr>
          <xdr:spPr>
            <a:xfrm>
              <a:off x="0" y="0"/>
              <a:ext cx="0" cy="0"/>
            </a:xfrm>
            <a:prstGeom prst="rect">
              <a:avLst/>
            </a:prstGeom>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1296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78</xdr:row>
          <xdr:rowOff>0</xdr:rowOff>
        </xdr:from>
        <xdr:to>
          <xdr:col>42</xdr:col>
          <xdr:colOff>0</xdr:colOff>
          <xdr:row>78</xdr:row>
          <xdr:rowOff>241300</xdr:rowOff>
        </xdr:to>
        <xdr:sp macro="" textlink="">
          <xdr:nvSpPr>
            <xdr:cNvPr id="89270" name="Option Button 182" hidden="1">
              <a:extLst>
                <a:ext uri="{63B3BB69-23CF-44E3-9099-C40C66FF867C}">
                  <a14:compatExt spid="_x0000_s892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76200</xdr:colOff>
          <xdr:row>78</xdr:row>
          <xdr:rowOff>0</xdr:rowOff>
        </xdr:from>
        <xdr:to>
          <xdr:col>45</xdr:col>
          <xdr:colOff>241300</xdr:colOff>
          <xdr:row>78</xdr:row>
          <xdr:rowOff>241300</xdr:rowOff>
        </xdr:to>
        <xdr:sp macro="" textlink="">
          <xdr:nvSpPr>
            <xdr:cNvPr id="89271" name="Option Button 183" hidden="1">
              <a:extLst>
                <a:ext uri="{63B3BB69-23CF-44E3-9099-C40C66FF867C}">
                  <a14:compatExt spid="_x0000_s89271"/>
                </a:ext>
              </a:extLst>
            </xdr:cNvPr>
            <xdr:cNvSpPr/>
          </xdr:nvSpPr>
          <xdr:spPr>
            <a:xfrm>
              <a:off x="0" y="0"/>
              <a:ext cx="0" cy="0"/>
            </a:xfrm>
            <a:prstGeom prst="rect">
              <a:avLst/>
            </a:prstGeom>
          </xdr:spPr>
        </xdr:sp>
        <xdr:clientData/>
      </xdr:twoCellAnchor>
    </mc:Choice>
    <mc:Fallback/>
  </mc:AlternateContent>
  <xdr:twoCellAnchor>
    <xdr:from>
      <xdr:col>11</xdr:col>
      <xdr:colOff>44824</xdr:colOff>
      <xdr:row>77</xdr:row>
      <xdr:rowOff>33618</xdr:rowOff>
    </xdr:from>
    <xdr:to>
      <xdr:col>45</xdr:col>
      <xdr:colOff>201706</xdr:colOff>
      <xdr:row>77</xdr:row>
      <xdr:rowOff>201706</xdr:rowOff>
    </xdr:to>
    <xdr:sp macro="" textlink="">
      <xdr:nvSpPr>
        <xdr:cNvPr id="119" name="角丸四角形 118"/>
        <xdr:cNvSpPr/>
      </xdr:nvSpPr>
      <xdr:spPr>
        <a:xfrm>
          <a:off x="2879912" y="14578853"/>
          <a:ext cx="8919882" cy="168088"/>
        </a:xfrm>
        <a:prstGeom prst="roundRect">
          <a:avLst>
            <a:gd name="adj" fmla="val 4685"/>
          </a:avLst>
        </a:prstGeom>
        <a:solidFill>
          <a:srgbClr val="FFCCFF">
            <a:alpha val="67000"/>
          </a:srgbClr>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050" b="1">
              <a:solidFill>
                <a:srgbClr val="0000FF"/>
              </a:solidFill>
              <a:latin typeface="Meiryo UI" panose="020B0604030504040204" pitchFamily="50" charset="-128"/>
              <a:ea typeface="Meiryo UI" panose="020B0604030504040204" pitchFamily="50" charset="-128"/>
              <a:cs typeface="Meiryo UI" panose="020B0604030504040204" pitchFamily="50" charset="-128"/>
            </a:rPr>
            <a:t>オレンジの太枠内は弊社使用欄となりますので入力不要です。</a:t>
          </a:r>
        </a:p>
      </xdr:txBody>
    </xdr:sp>
    <xdr:clientData/>
  </xdr:twoCellAnchor>
  <xdr:twoCellAnchor>
    <xdr:from>
      <xdr:col>11</xdr:col>
      <xdr:colOff>44824</xdr:colOff>
      <xdr:row>79</xdr:row>
      <xdr:rowOff>33618</xdr:rowOff>
    </xdr:from>
    <xdr:to>
      <xdr:col>45</xdr:col>
      <xdr:colOff>201706</xdr:colOff>
      <xdr:row>79</xdr:row>
      <xdr:rowOff>201706</xdr:rowOff>
    </xdr:to>
    <xdr:sp macro="" textlink="">
      <xdr:nvSpPr>
        <xdr:cNvPr id="123" name="角丸四角形 122"/>
        <xdr:cNvSpPr/>
      </xdr:nvSpPr>
      <xdr:spPr>
        <a:xfrm>
          <a:off x="2879912" y="15071912"/>
          <a:ext cx="8919882" cy="168088"/>
        </a:xfrm>
        <a:prstGeom prst="roundRect">
          <a:avLst>
            <a:gd name="adj" fmla="val 4685"/>
          </a:avLst>
        </a:prstGeom>
        <a:solidFill>
          <a:srgbClr val="FFCCFF">
            <a:alpha val="67000"/>
          </a:srgbClr>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050" b="1">
              <a:solidFill>
                <a:srgbClr val="0000FF"/>
              </a:solidFill>
              <a:latin typeface="Meiryo UI" panose="020B0604030504040204" pitchFamily="50" charset="-128"/>
              <a:ea typeface="Meiryo UI" panose="020B0604030504040204" pitchFamily="50" charset="-128"/>
              <a:cs typeface="Meiryo UI" panose="020B0604030504040204" pitchFamily="50" charset="-128"/>
            </a:rPr>
            <a:t>オレンジの太枠内は弊社使用欄となりますので入力不要です。</a:t>
          </a:r>
        </a:p>
      </xdr:txBody>
    </xdr:sp>
    <xdr:clientData/>
  </xdr:twoCellAnchor>
  <mc:AlternateContent xmlns:mc="http://schemas.openxmlformats.org/markup-compatibility/2006">
    <mc:Choice xmlns:a14="http://schemas.microsoft.com/office/drawing/2010/main" Requires="a14">
      <xdr:twoCellAnchor editAs="oneCell">
        <xdr:from>
          <xdr:col>9</xdr:col>
          <xdr:colOff>171450</xdr:colOff>
          <xdr:row>88</xdr:row>
          <xdr:rowOff>19050</xdr:rowOff>
        </xdr:from>
        <xdr:to>
          <xdr:col>11</xdr:col>
          <xdr:colOff>19050</xdr:colOff>
          <xdr:row>88</xdr:row>
          <xdr:rowOff>228600</xdr:rowOff>
        </xdr:to>
        <xdr:sp macro="" textlink="">
          <xdr:nvSpPr>
            <xdr:cNvPr id="89273" name="Check Box 185" hidden="1">
              <a:extLst>
                <a:ext uri="{63B3BB69-23CF-44E3-9099-C40C66FF867C}">
                  <a14:compatExt spid="_x0000_s89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247650</xdr:colOff>
          <xdr:row>158</xdr:row>
          <xdr:rowOff>12700</xdr:rowOff>
        </xdr:from>
        <xdr:to>
          <xdr:col>27</xdr:col>
          <xdr:colOff>247650</xdr:colOff>
          <xdr:row>161</xdr:row>
          <xdr:rowOff>241300</xdr:rowOff>
        </xdr:to>
        <xdr:sp macro="" textlink="">
          <xdr:nvSpPr>
            <xdr:cNvPr id="89274" name="Group Box 186" hidden="1">
              <a:extLst>
                <a:ext uri="{63B3BB69-23CF-44E3-9099-C40C66FF867C}">
                  <a14:compatExt spid="_x0000_s89274"/>
                </a:ext>
              </a:extLst>
            </xdr:cNvPr>
            <xdr:cNvSpPr/>
          </xdr:nvSpPr>
          <xdr:spPr>
            <a:xfrm>
              <a:off x="0" y="0"/>
              <a:ext cx="0" cy="0"/>
            </a:xfrm>
            <a:prstGeom prst="rect">
              <a:avLst/>
            </a:prstGeom>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222250</xdr:colOff>
          <xdr:row>158</xdr:row>
          <xdr:rowOff>12700</xdr:rowOff>
        </xdr:from>
        <xdr:to>
          <xdr:col>20</xdr:col>
          <xdr:colOff>50800</xdr:colOff>
          <xdr:row>159</xdr:row>
          <xdr:rowOff>0</xdr:rowOff>
        </xdr:to>
        <xdr:sp macro="" textlink="">
          <xdr:nvSpPr>
            <xdr:cNvPr id="89275" name="Option Button 187" hidden="1">
              <a:extLst>
                <a:ext uri="{63B3BB69-23CF-44E3-9099-C40C66FF867C}">
                  <a14:compatExt spid="_x0000_s892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203200</xdr:colOff>
          <xdr:row>158</xdr:row>
          <xdr:rowOff>12700</xdr:rowOff>
        </xdr:from>
        <xdr:to>
          <xdr:col>26</xdr:col>
          <xdr:colOff>38100</xdr:colOff>
          <xdr:row>159</xdr:row>
          <xdr:rowOff>0</xdr:rowOff>
        </xdr:to>
        <xdr:sp macro="" textlink="">
          <xdr:nvSpPr>
            <xdr:cNvPr id="89276" name="Option Button 188" hidden="1">
              <a:extLst>
                <a:ext uri="{63B3BB69-23CF-44E3-9099-C40C66FF867C}">
                  <a14:compatExt spid="_x0000_s89276"/>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438150</xdr:colOff>
          <xdr:row>6</xdr:row>
          <xdr:rowOff>31750</xdr:rowOff>
        </xdr:from>
        <xdr:to>
          <xdr:col>1</xdr:col>
          <xdr:colOff>984250</xdr:colOff>
          <xdr:row>6</xdr:row>
          <xdr:rowOff>184150</xdr:rowOff>
        </xdr:to>
        <xdr:sp macro="" textlink="">
          <xdr:nvSpPr>
            <xdr:cNvPr id="159745" name="Option Button 1" hidden="1">
              <a:extLst>
                <a:ext uri="{63B3BB69-23CF-44E3-9099-C40C66FF867C}">
                  <a14:compatExt spid="_x0000_s1597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xdr:row>
          <xdr:rowOff>31750</xdr:rowOff>
        </xdr:from>
        <xdr:to>
          <xdr:col>1</xdr:col>
          <xdr:colOff>984250</xdr:colOff>
          <xdr:row>7</xdr:row>
          <xdr:rowOff>184150</xdr:rowOff>
        </xdr:to>
        <xdr:sp macro="" textlink="">
          <xdr:nvSpPr>
            <xdr:cNvPr id="159746" name="Option Button 2" hidden="1">
              <a:extLst>
                <a:ext uri="{63B3BB69-23CF-44E3-9099-C40C66FF867C}">
                  <a14:compatExt spid="_x0000_s1597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xdr:row>
          <xdr:rowOff>31750</xdr:rowOff>
        </xdr:from>
        <xdr:to>
          <xdr:col>1</xdr:col>
          <xdr:colOff>984250</xdr:colOff>
          <xdr:row>8</xdr:row>
          <xdr:rowOff>184150</xdr:rowOff>
        </xdr:to>
        <xdr:sp macro="" textlink="">
          <xdr:nvSpPr>
            <xdr:cNvPr id="159747" name="Option Button 3" hidden="1">
              <a:extLst>
                <a:ext uri="{63B3BB69-23CF-44E3-9099-C40C66FF867C}">
                  <a14:compatExt spid="_x0000_s1597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xdr:row>
          <xdr:rowOff>31750</xdr:rowOff>
        </xdr:from>
        <xdr:to>
          <xdr:col>1</xdr:col>
          <xdr:colOff>984250</xdr:colOff>
          <xdr:row>9</xdr:row>
          <xdr:rowOff>184150</xdr:rowOff>
        </xdr:to>
        <xdr:sp macro="" textlink="">
          <xdr:nvSpPr>
            <xdr:cNvPr id="159748" name="Option Button 4" hidden="1">
              <a:extLst>
                <a:ext uri="{63B3BB69-23CF-44E3-9099-C40C66FF867C}">
                  <a14:compatExt spid="_x0000_s1597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xdr:row>
          <xdr:rowOff>31750</xdr:rowOff>
        </xdr:from>
        <xdr:to>
          <xdr:col>1</xdr:col>
          <xdr:colOff>984250</xdr:colOff>
          <xdr:row>10</xdr:row>
          <xdr:rowOff>184150</xdr:rowOff>
        </xdr:to>
        <xdr:sp macro="" textlink="">
          <xdr:nvSpPr>
            <xdr:cNvPr id="159749" name="Option Button 5" hidden="1">
              <a:extLst>
                <a:ext uri="{63B3BB69-23CF-44E3-9099-C40C66FF867C}">
                  <a14:compatExt spid="_x0000_s1597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xdr:row>
          <xdr:rowOff>31750</xdr:rowOff>
        </xdr:from>
        <xdr:to>
          <xdr:col>1</xdr:col>
          <xdr:colOff>984250</xdr:colOff>
          <xdr:row>11</xdr:row>
          <xdr:rowOff>184150</xdr:rowOff>
        </xdr:to>
        <xdr:sp macro="" textlink="">
          <xdr:nvSpPr>
            <xdr:cNvPr id="159750" name="Option Button 6" hidden="1">
              <a:extLst>
                <a:ext uri="{63B3BB69-23CF-44E3-9099-C40C66FF867C}">
                  <a14:compatExt spid="_x0000_s1597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12</xdr:row>
          <xdr:rowOff>31750</xdr:rowOff>
        </xdr:from>
        <xdr:to>
          <xdr:col>1</xdr:col>
          <xdr:colOff>984250</xdr:colOff>
          <xdr:row>12</xdr:row>
          <xdr:rowOff>184150</xdr:rowOff>
        </xdr:to>
        <xdr:sp macro="" textlink="">
          <xdr:nvSpPr>
            <xdr:cNvPr id="159751" name="Option Button 7" hidden="1">
              <a:extLst>
                <a:ext uri="{63B3BB69-23CF-44E3-9099-C40C66FF867C}">
                  <a14:compatExt spid="_x0000_s1597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13</xdr:row>
          <xdr:rowOff>31750</xdr:rowOff>
        </xdr:from>
        <xdr:to>
          <xdr:col>1</xdr:col>
          <xdr:colOff>984250</xdr:colOff>
          <xdr:row>13</xdr:row>
          <xdr:rowOff>184150</xdr:rowOff>
        </xdr:to>
        <xdr:sp macro="" textlink="">
          <xdr:nvSpPr>
            <xdr:cNvPr id="159752" name="Option Button 8" hidden="1">
              <a:extLst>
                <a:ext uri="{63B3BB69-23CF-44E3-9099-C40C66FF867C}">
                  <a14:compatExt spid="_x0000_s1597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14</xdr:row>
          <xdr:rowOff>31750</xdr:rowOff>
        </xdr:from>
        <xdr:to>
          <xdr:col>1</xdr:col>
          <xdr:colOff>984250</xdr:colOff>
          <xdr:row>14</xdr:row>
          <xdr:rowOff>184150</xdr:rowOff>
        </xdr:to>
        <xdr:sp macro="" textlink="">
          <xdr:nvSpPr>
            <xdr:cNvPr id="159753" name="Option Button 9" hidden="1">
              <a:extLst>
                <a:ext uri="{63B3BB69-23CF-44E3-9099-C40C66FF867C}">
                  <a14:compatExt spid="_x0000_s1597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15</xdr:row>
          <xdr:rowOff>31750</xdr:rowOff>
        </xdr:from>
        <xdr:to>
          <xdr:col>1</xdr:col>
          <xdr:colOff>984250</xdr:colOff>
          <xdr:row>15</xdr:row>
          <xdr:rowOff>184150</xdr:rowOff>
        </xdr:to>
        <xdr:sp macro="" textlink="">
          <xdr:nvSpPr>
            <xdr:cNvPr id="159754" name="Option Button 10" hidden="1">
              <a:extLst>
                <a:ext uri="{63B3BB69-23CF-44E3-9099-C40C66FF867C}">
                  <a14:compatExt spid="_x0000_s1597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16</xdr:row>
          <xdr:rowOff>31750</xdr:rowOff>
        </xdr:from>
        <xdr:to>
          <xdr:col>1</xdr:col>
          <xdr:colOff>984250</xdr:colOff>
          <xdr:row>16</xdr:row>
          <xdr:rowOff>184150</xdr:rowOff>
        </xdr:to>
        <xdr:sp macro="" textlink="">
          <xdr:nvSpPr>
            <xdr:cNvPr id="159755" name="Option Button 11" hidden="1">
              <a:extLst>
                <a:ext uri="{63B3BB69-23CF-44E3-9099-C40C66FF867C}">
                  <a14:compatExt spid="_x0000_s1597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17</xdr:row>
          <xdr:rowOff>31750</xdr:rowOff>
        </xdr:from>
        <xdr:to>
          <xdr:col>1</xdr:col>
          <xdr:colOff>984250</xdr:colOff>
          <xdr:row>17</xdr:row>
          <xdr:rowOff>184150</xdr:rowOff>
        </xdr:to>
        <xdr:sp macro="" textlink="">
          <xdr:nvSpPr>
            <xdr:cNvPr id="159756" name="Option Button 12" hidden="1">
              <a:extLst>
                <a:ext uri="{63B3BB69-23CF-44E3-9099-C40C66FF867C}">
                  <a14:compatExt spid="_x0000_s1597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18</xdr:row>
          <xdr:rowOff>31750</xdr:rowOff>
        </xdr:from>
        <xdr:to>
          <xdr:col>1</xdr:col>
          <xdr:colOff>984250</xdr:colOff>
          <xdr:row>18</xdr:row>
          <xdr:rowOff>184150</xdr:rowOff>
        </xdr:to>
        <xdr:sp macro="" textlink="">
          <xdr:nvSpPr>
            <xdr:cNvPr id="159757" name="Option Button 13" hidden="1">
              <a:extLst>
                <a:ext uri="{63B3BB69-23CF-44E3-9099-C40C66FF867C}">
                  <a14:compatExt spid="_x0000_s1597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19</xdr:row>
          <xdr:rowOff>31750</xdr:rowOff>
        </xdr:from>
        <xdr:to>
          <xdr:col>1</xdr:col>
          <xdr:colOff>984250</xdr:colOff>
          <xdr:row>19</xdr:row>
          <xdr:rowOff>184150</xdr:rowOff>
        </xdr:to>
        <xdr:sp macro="" textlink="">
          <xdr:nvSpPr>
            <xdr:cNvPr id="159758" name="Option Button 14" hidden="1">
              <a:extLst>
                <a:ext uri="{63B3BB69-23CF-44E3-9099-C40C66FF867C}">
                  <a14:compatExt spid="_x0000_s1597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20</xdr:row>
          <xdr:rowOff>31750</xdr:rowOff>
        </xdr:from>
        <xdr:to>
          <xdr:col>1</xdr:col>
          <xdr:colOff>984250</xdr:colOff>
          <xdr:row>20</xdr:row>
          <xdr:rowOff>184150</xdr:rowOff>
        </xdr:to>
        <xdr:sp macro="" textlink="">
          <xdr:nvSpPr>
            <xdr:cNvPr id="159759" name="Option Button 15" hidden="1">
              <a:extLst>
                <a:ext uri="{63B3BB69-23CF-44E3-9099-C40C66FF867C}">
                  <a14:compatExt spid="_x0000_s1597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21</xdr:row>
          <xdr:rowOff>31750</xdr:rowOff>
        </xdr:from>
        <xdr:to>
          <xdr:col>1</xdr:col>
          <xdr:colOff>984250</xdr:colOff>
          <xdr:row>21</xdr:row>
          <xdr:rowOff>184150</xdr:rowOff>
        </xdr:to>
        <xdr:sp macro="" textlink="">
          <xdr:nvSpPr>
            <xdr:cNvPr id="159760" name="Option Button 16" hidden="1">
              <a:extLst>
                <a:ext uri="{63B3BB69-23CF-44E3-9099-C40C66FF867C}">
                  <a14:compatExt spid="_x0000_s1597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22</xdr:row>
          <xdr:rowOff>31750</xdr:rowOff>
        </xdr:from>
        <xdr:to>
          <xdr:col>1</xdr:col>
          <xdr:colOff>984250</xdr:colOff>
          <xdr:row>22</xdr:row>
          <xdr:rowOff>184150</xdr:rowOff>
        </xdr:to>
        <xdr:sp macro="" textlink="">
          <xdr:nvSpPr>
            <xdr:cNvPr id="159761" name="Option Button 17" hidden="1">
              <a:extLst>
                <a:ext uri="{63B3BB69-23CF-44E3-9099-C40C66FF867C}">
                  <a14:compatExt spid="_x0000_s1597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23</xdr:row>
          <xdr:rowOff>31750</xdr:rowOff>
        </xdr:from>
        <xdr:to>
          <xdr:col>1</xdr:col>
          <xdr:colOff>984250</xdr:colOff>
          <xdr:row>23</xdr:row>
          <xdr:rowOff>184150</xdr:rowOff>
        </xdr:to>
        <xdr:sp macro="" textlink="">
          <xdr:nvSpPr>
            <xdr:cNvPr id="159762" name="Option Button 18" hidden="1">
              <a:extLst>
                <a:ext uri="{63B3BB69-23CF-44E3-9099-C40C66FF867C}">
                  <a14:compatExt spid="_x0000_s1597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24</xdr:row>
          <xdr:rowOff>31750</xdr:rowOff>
        </xdr:from>
        <xdr:to>
          <xdr:col>1</xdr:col>
          <xdr:colOff>984250</xdr:colOff>
          <xdr:row>24</xdr:row>
          <xdr:rowOff>184150</xdr:rowOff>
        </xdr:to>
        <xdr:sp macro="" textlink="">
          <xdr:nvSpPr>
            <xdr:cNvPr id="159763" name="Option Button 19" hidden="1">
              <a:extLst>
                <a:ext uri="{63B3BB69-23CF-44E3-9099-C40C66FF867C}">
                  <a14:compatExt spid="_x0000_s1597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25</xdr:row>
          <xdr:rowOff>31750</xdr:rowOff>
        </xdr:from>
        <xdr:to>
          <xdr:col>1</xdr:col>
          <xdr:colOff>984250</xdr:colOff>
          <xdr:row>25</xdr:row>
          <xdr:rowOff>184150</xdr:rowOff>
        </xdr:to>
        <xdr:sp macro="" textlink="">
          <xdr:nvSpPr>
            <xdr:cNvPr id="159764" name="Option Button 20" hidden="1">
              <a:extLst>
                <a:ext uri="{63B3BB69-23CF-44E3-9099-C40C66FF867C}">
                  <a14:compatExt spid="_x0000_s1597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26</xdr:row>
          <xdr:rowOff>31750</xdr:rowOff>
        </xdr:from>
        <xdr:to>
          <xdr:col>1</xdr:col>
          <xdr:colOff>984250</xdr:colOff>
          <xdr:row>26</xdr:row>
          <xdr:rowOff>184150</xdr:rowOff>
        </xdr:to>
        <xdr:sp macro="" textlink="">
          <xdr:nvSpPr>
            <xdr:cNvPr id="159765" name="Option Button 21" hidden="1">
              <a:extLst>
                <a:ext uri="{63B3BB69-23CF-44E3-9099-C40C66FF867C}">
                  <a14:compatExt spid="_x0000_s1597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27</xdr:row>
          <xdr:rowOff>31750</xdr:rowOff>
        </xdr:from>
        <xdr:to>
          <xdr:col>1</xdr:col>
          <xdr:colOff>984250</xdr:colOff>
          <xdr:row>27</xdr:row>
          <xdr:rowOff>184150</xdr:rowOff>
        </xdr:to>
        <xdr:sp macro="" textlink="">
          <xdr:nvSpPr>
            <xdr:cNvPr id="159766" name="Option Button 22" hidden="1">
              <a:extLst>
                <a:ext uri="{63B3BB69-23CF-44E3-9099-C40C66FF867C}">
                  <a14:compatExt spid="_x0000_s1597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28</xdr:row>
          <xdr:rowOff>31750</xdr:rowOff>
        </xdr:from>
        <xdr:to>
          <xdr:col>1</xdr:col>
          <xdr:colOff>984250</xdr:colOff>
          <xdr:row>28</xdr:row>
          <xdr:rowOff>184150</xdr:rowOff>
        </xdr:to>
        <xdr:sp macro="" textlink="">
          <xdr:nvSpPr>
            <xdr:cNvPr id="159767" name="Option Button 23" hidden="1">
              <a:extLst>
                <a:ext uri="{63B3BB69-23CF-44E3-9099-C40C66FF867C}">
                  <a14:compatExt spid="_x0000_s1597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29</xdr:row>
          <xdr:rowOff>31750</xdr:rowOff>
        </xdr:from>
        <xdr:to>
          <xdr:col>1</xdr:col>
          <xdr:colOff>984250</xdr:colOff>
          <xdr:row>29</xdr:row>
          <xdr:rowOff>184150</xdr:rowOff>
        </xdr:to>
        <xdr:sp macro="" textlink="">
          <xdr:nvSpPr>
            <xdr:cNvPr id="159768" name="Option Button 24" hidden="1">
              <a:extLst>
                <a:ext uri="{63B3BB69-23CF-44E3-9099-C40C66FF867C}">
                  <a14:compatExt spid="_x0000_s1597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30</xdr:row>
          <xdr:rowOff>31750</xdr:rowOff>
        </xdr:from>
        <xdr:to>
          <xdr:col>1</xdr:col>
          <xdr:colOff>984250</xdr:colOff>
          <xdr:row>30</xdr:row>
          <xdr:rowOff>184150</xdr:rowOff>
        </xdr:to>
        <xdr:sp macro="" textlink="">
          <xdr:nvSpPr>
            <xdr:cNvPr id="159769" name="Option Button 25" hidden="1">
              <a:extLst>
                <a:ext uri="{63B3BB69-23CF-44E3-9099-C40C66FF867C}">
                  <a14:compatExt spid="_x0000_s1597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31</xdr:row>
          <xdr:rowOff>31750</xdr:rowOff>
        </xdr:from>
        <xdr:to>
          <xdr:col>1</xdr:col>
          <xdr:colOff>984250</xdr:colOff>
          <xdr:row>31</xdr:row>
          <xdr:rowOff>184150</xdr:rowOff>
        </xdr:to>
        <xdr:sp macro="" textlink="">
          <xdr:nvSpPr>
            <xdr:cNvPr id="159770" name="Option Button 26" hidden="1">
              <a:extLst>
                <a:ext uri="{63B3BB69-23CF-44E3-9099-C40C66FF867C}">
                  <a14:compatExt spid="_x0000_s1597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32</xdr:row>
          <xdr:rowOff>31750</xdr:rowOff>
        </xdr:from>
        <xdr:to>
          <xdr:col>1</xdr:col>
          <xdr:colOff>984250</xdr:colOff>
          <xdr:row>32</xdr:row>
          <xdr:rowOff>184150</xdr:rowOff>
        </xdr:to>
        <xdr:sp macro="" textlink="">
          <xdr:nvSpPr>
            <xdr:cNvPr id="159771" name="Option Button 27" hidden="1">
              <a:extLst>
                <a:ext uri="{63B3BB69-23CF-44E3-9099-C40C66FF867C}">
                  <a14:compatExt spid="_x0000_s1597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33</xdr:row>
          <xdr:rowOff>31750</xdr:rowOff>
        </xdr:from>
        <xdr:to>
          <xdr:col>1</xdr:col>
          <xdr:colOff>984250</xdr:colOff>
          <xdr:row>33</xdr:row>
          <xdr:rowOff>184150</xdr:rowOff>
        </xdr:to>
        <xdr:sp macro="" textlink="">
          <xdr:nvSpPr>
            <xdr:cNvPr id="159772" name="Option Button 28" hidden="1">
              <a:extLst>
                <a:ext uri="{63B3BB69-23CF-44E3-9099-C40C66FF867C}">
                  <a14:compatExt spid="_x0000_s1597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34</xdr:row>
          <xdr:rowOff>31750</xdr:rowOff>
        </xdr:from>
        <xdr:to>
          <xdr:col>1</xdr:col>
          <xdr:colOff>984250</xdr:colOff>
          <xdr:row>34</xdr:row>
          <xdr:rowOff>184150</xdr:rowOff>
        </xdr:to>
        <xdr:sp macro="" textlink="">
          <xdr:nvSpPr>
            <xdr:cNvPr id="159773" name="Option Button 29" hidden="1">
              <a:extLst>
                <a:ext uri="{63B3BB69-23CF-44E3-9099-C40C66FF867C}">
                  <a14:compatExt spid="_x0000_s1597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35</xdr:row>
          <xdr:rowOff>31750</xdr:rowOff>
        </xdr:from>
        <xdr:to>
          <xdr:col>1</xdr:col>
          <xdr:colOff>984250</xdr:colOff>
          <xdr:row>35</xdr:row>
          <xdr:rowOff>184150</xdr:rowOff>
        </xdr:to>
        <xdr:sp macro="" textlink="">
          <xdr:nvSpPr>
            <xdr:cNvPr id="159774" name="Option Button 30" hidden="1">
              <a:extLst>
                <a:ext uri="{63B3BB69-23CF-44E3-9099-C40C66FF867C}">
                  <a14:compatExt spid="_x0000_s1597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36</xdr:row>
          <xdr:rowOff>31750</xdr:rowOff>
        </xdr:from>
        <xdr:to>
          <xdr:col>1</xdr:col>
          <xdr:colOff>984250</xdr:colOff>
          <xdr:row>36</xdr:row>
          <xdr:rowOff>184150</xdr:rowOff>
        </xdr:to>
        <xdr:sp macro="" textlink="">
          <xdr:nvSpPr>
            <xdr:cNvPr id="159775" name="Option Button 31" hidden="1">
              <a:extLst>
                <a:ext uri="{63B3BB69-23CF-44E3-9099-C40C66FF867C}">
                  <a14:compatExt spid="_x0000_s1597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37</xdr:row>
          <xdr:rowOff>31750</xdr:rowOff>
        </xdr:from>
        <xdr:to>
          <xdr:col>1</xdr:col>
          <xdr:colOff>984250</xdr:colOff>
          <xdr:row>37</xdr:row>
          <xdr:rowOff>184150</xdr:rowOff>
        </xdr:to>
        <xdr:sp macro="" textlink="">
          <xdr:nvSpPr>
            <xdr:cNvPr id="159776" name="Option Button 32" hidden="1">
              <a:extLst>
                <a:ext uri="{63B3BB69-23CF-44E3-9099-C40C66FF867C}">
                  <a14:compatExt spid="_x0000_s1597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38</xdr:row>
          <xdr:rowOff>31750</xdr:rowOff>
        </xdr:from>
        <xdr:to>
          <xdr:col>1</xdr:col>
          <xdr:colOff>984250</xdr:colOff>
          <xdr:row>38</xdr:row>
          <xdr:rowOff>184150</xdr:rowOff>
        </xdr:to>
        <xdr:sp macro="" textlink="">
          <xdr:nvSpPr>
            <xdr:cNvPr id="159777" name="Option Button 33" hidden="1">
              <a:extLst>
                <a:ext uri="{63B3BB69-23CF-44E3-9099-C40C66FF867C}">
                  <a14:compatExt spid="_x0000_s1597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39</xdr:row>
          <xdr:rowOff>31750</xdr:rowOff>
        </xdr:from>
        <xdr:to>
          <xdr:col>1</xdr:col>
          <xdr:colOff>984250</xdr:colOff>
          <xdr:row>39</xdr:row>
          <xdr:rowOff>184150</xdr:rowOff>
        </xdr:to>
        <xdr:sp macro="" textlink="">
          <xdr:nvSpPr>
            <xdr:cNvPr id="159778" name="Option Button 34" hidden="1">
              <a:extLst>
                <a:ext uri="{63B3BB69-23CF-44E3-9099-C40C66FF867C}">
                  <a14:compatExt spid="_x0000_s1597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40</xdr:row>
          <xdr:rowOff>31750</xdr:rowOff>
        </xdr:from>
        <xdr:to>
          <xdr:col>1</xdr:col>
          <xdr:colOff>984250</xdr:colOff>
          <xdr:row>40</xdr:row>
          <xdr:rowOff>184150</xdr:rowOff>
        </xdr:to>
        <xdr:sp macro="" textlink="">
          <xdr:nvSpPr>
            <xdr:cNvPr id="159779" name="Option Button 35" hidden="1">
              <a:extLst>
                <a:ext uri="{63B3BB69-23CF-44E3-9099-C40C66FF867C}">
                  <a14:compatExt spid="_x0000_s1597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41</xdr:row>
          <xdr:rowOff>31750</xdr:rowOff>
        </xdr:from>
        <xdr:to>
          <xdr:col>1</xdr:col>
          <xdr:colOff>984250</xdr:colOff>
          <xdr:row>41</xdr:row>
          <xdr:rowOff>184150</xdr:rowOff>
        </xdr:to>
        <xdr:sp macro="" textlink="">
          <xdr:nvSpPr>
            <xdr:cNvPr id="159780" name="Option Button 36" hidden="1">
              <a:extLst>
                <a:ext uri="{63B3BB69-23CF-44E3-9099-C40C66FF867C}">
                  <a14:compatExt spid="_x0000_s1597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42</xdr:row>
          <xdr:rowOff>31750</xdr:rowOff>
        </xdr:from>
        <xdr:to>
          <xdr:col>1</xdr:col>
          <xdr:colOff>984250</xdr:colOff>
          <xdr:row>42</xdr:row>
          <xdr:rowOff>184150</xdr:rowOff>
        </xdr:to>
        <xdr:sp macro="" textlink="">
          <xdr:nvSpPr>
            <xdr:cNvPr id="159781" name="Option Button 37" hidden="1">
              <a:extLst>
                <a:ext uri="{63B3BB69-23CF-44E3-9099-C40C66FF867C}">
                  <a14:compatExt spid="_x0000_s1597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43</xdr:row>
          <xdr:rowOff>31750</xdr:rowOff>
        </xdr:from>
        <xdr:to>
          <xdr:col>1</xdr:col>
          <xdr:colOff>984250</xdr:colOff>
          <xdr:row>43</xdr:row>
          <xdr:rowOff>184150</xdr:rowOff>
        </xdr:to>
        <xdr:sp macro="" textlink="">
          <xdr:nvSpPr>
            <xdr:cNvPr id="159782" name="Option Button 38" hidden="1">
              <a:extLst>
                <a:ext uri="{63B3BB69-23CF-44E3-9099-C40C66FF867C}">
                  <a14:compatExt spid="_x0000_s1597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44</xdr:row>
          <xdr:rowOff>31750</xdr:rowOff>
        </xdr:from>
        <xdr:to>
          <xdr:col>1</xdr:col>
          <xdr:colOff>984250</xdr:colOff>
          <xdr:row>44</xdr:row>
          <xdr:rowOff>184150</xdr:rowOff>
        </xdr:to>
        <xdr:sp macro="" textlink="">
          <xdr:nvSpPr>
            <xdr:cNvPr id="159783" name="Option Button 39" hidden="1">
              <a:extLst>
                <a:ext uri="{63B3BB69-23CF-44E3-9099-C40C66FF867C}">
                  <a14:compatExt spid="_x0000_s1597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45</xdr:row>
          <xdr:rowOff>31750</xdr:rowOff>
        </xdr:from>
        <xdr:to>
          <xdr:col>1</xdr:col>
          <xdr:colOff>984250</xdr:colOff>
          <xdr:row>45</xdr:row>
          <xdr:rowOff>184150</xdr:rowOff>
        </xdr:to>
        <xdr:sp macro="" textlink="">
          <xdr:nvSpPr>
            <xdr:cNvPr id="159784" name="Option Button 40" hidden="1">
              <a:extLst>
                <a:ext uri="{63B3BB69-23CF-44E3-9099-C40C66FF867C}">
                  <a14:compatExt spid="_x0000_s1597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46</xdr:row>
          <xdr:rowOff>31750</xdr:rowOff>
        </xdr:from>
        <xdr:to>
          <xdr:col>1</xdr:col>
          <xdr:colOff>984250</xdr:colOff>
          <xdr:row>46</xdr:row>
          <xdr:rowOff>184150</xdr:rowOff>
        </xdr:to>
        <xdr:sp macro="" textlink="">
          <xdr:nvSpPr>
            <xdr:cNvPr id="159785" name="Option Button 41" hidden="1">
              <a:extLst>
                <a:ext uri="{63B3BB69-23CF-44E3-9099-C40C66FF867C}">
                  <a14:compatExt spid="_x0000_s1597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47</xdr:row>
          <xdr:rowOff>38100</xdr:rowOff>
        </xdr:from>
        <xdr:to>
          <xdr:col>1</xdr:col>
          <xdr:colOff>984250</xdr:colOff>
          <xdr:row>47</xdr:row>
          <xdr:rowOff>190500</xdr:rowOff>
        </xdr:to>
        <xdr:sp macro="" textlink="">
          <xdr:nvSpPr>
            <xdr:cNvPr id="159786" name="Option Button 42" hidden="1">
              <a:extLst>
                <a:ext uri="{63B3BB69-23CF-44E3-9099-C40C66FF867C}">
                  <a14:compatExt spid="_x0000_s1597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48</xdr:row>
          <xdr:rowOff>38100</xdr:rowOff>
        </xdr:from>
        <xdr:to>
          <xdr:col>1</xdr:col>
          <xdr:colOff>984250</xdr:colOff>
          <xdr:row>48</xdr:row>
          <xdr:rowOff>190500</xdr:rowOff>
        </xdr:to>
        <xdr:sp macro="" textlink="">
          <xdr:nvSpPr>
            <xdr:cNvPr id="159787" name="Option Button 43" hidden="1">
              <a:extLst>
                <a:ext uri="{63B3BB69-23CF-44E3-9099-C40C66FF867C}">
                  <a14:compatExt spid="_x0000_s1597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49</xdr:row>
          <xdr:rowOff>38100</xdr:rowOff>
        </xdr:from>
        <xdr:to>
          <xdr:col>1</xdr:col>
          <xdr:colOff>984250</xdr:colOff>
          <xdr:row>49</xdr:row>
          <xdr:rowOff>190500</xdr:rowOff>
        </xdr:to>
        <xdr:sp macro="" textlink="">
          <xdr:nvSpPr>
            <xdr:cNvPr id="159788" name="Option Button 44" hidden="1">
              <a:extLst>
                <a:ext uri="{63B3BB69-23CF-44E3-9099-C40C66FF867C}">
                  <a14:compatExt spid="_x0000_s1597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50</xdr:row>
          <xdr:rowOff>38100</xdr:rowOff>
        </xdr:from>
        <xdr:to>
          <xdr:col>1</xdr:col>
          <xdr:colOff>984250</xdr:colOff>
          <xdr:row>50</xdr:row>
          <xdr:rowOff>190500</xdr:rowOff>
        </xdr:to>
        <xdr:sp macro="" textlink="">
          <xdr:nvSpPr>
            <xdr:cNvPr id="159789" name="Option Button 45" hidden="1">
              <a:extLst>
                <a:ext uri="{63B3BB69-23CF-44E3-9099-C40C66FF867C}">
                  <a14:compatExt spid="_x0000_s1597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51</xdr:row>
          <xdr:rowOff>38100</xdr:rowOff>
        </xdr:from>
        <xdr:to>
          <xdr:col>1</xdr:col>
          <xdr:colOff>984250</xdr:colOff>
          <xdr:row>51</xdr:row>
          <xdr:rowOff>190500</xdr:rowOff>
        </xdr:to>
        <xdr:sp macro="" textlink="">
          <xdr:nvSpPr>
            <xdr:cNvPr id="159790" name="Option Button 46" hidden="1">
              <a:extLst>
                <a:ext uri="{63B3BB69-23CF-44E3-9099-C40C66FF867C}">
                  <a14:compatExt spid="_x0000_s1597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52</xdr:row>
          <xdr:rowOff>38100</xdr:rowOff>
        </xdr:from>
        <xdr:to>
          <xdr:col>1</xdr:col>
          <xdr:colOff>984250</xdr:colOff>
          <xdr:row>52</xdr:row>
          <xdr:rowOff>190500</xdr:rowOff>
        </xdr:to>
        <xdr:sp macro="" textlink="">
          <xdr:nvSpPr>
            <xdr:cNvPr id="159791" name="Option Button 47" hidden="1">
              <a:extLst>
                <a:ext uri="{63B3BB69-23CF-44E3-9099-C40C66FF867C}">
                  <a14:compatExt spid="_x0000_s1597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53</xdr:row>
          <xdr:rowOff>38100</xdr:rowOff>
        </xdr:from>
        <xdr:to>
          <xdr:col>1</xdr:col>
          <xdr:colOff>984250</xdr:colOff>
          <xdr:row>53</xdr:row>
          <xdr:rowOff>190500</xdr:rowOff>
        </xdr:to>
        <xdr:sp macro="" textlink="">
          <xdr:nvSpPr>
            <xdr:cNvPr id="159792" name="Option Button 48" hidden="1">
              <a:extLst>
                <a:ext uri="{63B3BB69-23CF-44E3-9099-C40C66FF867C}">
                  <a14:compatExt spid="_x0000_s1597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54</xdr:row>
          <xdr:rowOff>38100</xdr:rowOff>
        </xdr:from>
        <xdr:to>
          <xdr:col>1</xdr:col>
          <xdr:colOff>984250</xdr:colOff>
          <xdr:row>54</xdr:row>
          <xdr:rowOff>190500</xdr:rowOff>
        </xdr:to>
        <xdr:sp macro="" textlink="">
          <xdr:nvSpPr>
            <xdr:cNvPr id="159793" name="Option Button 49" hidden="1">
              <a:extLst>
                <a:ext uri="{63B3BB69-23CF-44E3-9099-C40C66FF867C}">
                  <a14:compatExt spid="_x0000_s1597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55</xdr:row>
          <xdr:rowOff>38100</xdr:rowOff>
        </xdr:from>
        <xdr:to>
          <xdr:col>1</xdr:col>
          <xdr:colOff>984250</xdr:colOff>
          <xdr:row>55</xdr:row>
          <xdr:rowOff>190500</xdr:rowOff>
        </xdr:to>
        <xdr:sp macro="" textlink="">
          <xdr:nvSpPr>
            <xdr:cNvPr id="159794" name="Option Button 50" hidden="1">
              <a:extLst>
                <a:ext uri="{63B3BB69-23CF-44E3-9099-C40C66FF867C}">
                  <a14:compatExt spid="_x0000_s1597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56</xdr:row>
          <xdr:rowOff>38100</xdr:rowOff>
        </xdr:from>
        <xdr:to>
          <xdr:col>1</xdr:col>
          <xdr:colOff>984250</xdr:colOff>
          <xdr:row>56</xdr:row>
          <xdr:rowOff>190500</xdr:rowOff>
        </xdr:to>
        <xdr:sp macro="" textlink="">
          <xdr:nvSpPr>
            <xdr:cNvPr id="159795" name="Option Button 51" hidden="1">
              <a:extLst>
                <a:ext uri="{63B3BB69-23CF-44E3-9099-C40C66FF867C}">
                  <a14:compatExt spid="_x0000_s1597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57</xdr:row>
          <xdr:rowOff>38100</xdr:rowOff>
        </xdr:from>
        <xdr:to>
          <xdr:col>1</xdr:col>
          <xdr:colOff>984250</xdr:colOff>
          <xdr:row>57</xdr:row>
          <xdr:rowOff>190500</xdr:rowOff>
        </xdr:to>
        <xdr:sp macro="" textlink="">
          <xdr:nvSpPr>
            <xdr:cNvPr id="159796" name="Option Button 52" hidden="1">
              <a:extLst>
                <a:ext uri="{63B3BB69-23CF-44E3-9099-C40C66FF867C}">
                  <a14:compatExt spid="_x0000_s1597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58</xdr:row>
          <xdr:rowOff>38100</xdr:rowOff>
        </xdr:from>
        <xdr:to>
          <xdr:col>1</xdr:col>
          <xdr:colOff>984250</xdr:colOff>
          <xdr:row>58</xdr:row>
          <xdr:rowOff>190500</xdr:rowOff>
        </xdr:to>
        <xdr:sp macro="" textlink="">
          <xdr:nvSpPr>
            <xdr:cNvPr id="159797" name="Option Button 53" hidden="1">
              <a:extLst>
                <a:ext uri="{63B3BB69-23CF-44E3-9099-C40C66FF867C}">
                  <a14:compatExt spid="_x0000_s1597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59</xdr:row>
          <xdr:rowOff>38100</xdr:rowOff>
        </xdr:from>
        <xdr:to>
          <xdr:col>1</xdr:col>
          <xdr:colOff>984250</xdr:colOff>
          <xdr:row>59</xdr:row>
          <xdr:rowOff>190500</xdr:rowOff>
        </xdr:to>
        <xdr:sp macro="" textlink="">
          <xdr:nvSpPr>
            <xdr:cNvPr id="159798" name="Option Button 54" hidden="1">
              <a:extLst>
                <a:ext uri="{63B3BB69-23CF-44E3-9099-C40C66FF867C}">
                  <a14:compatExt spid="_x0000_s1597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60</xdr:row>
          <xdr:rowOff>38100</xdr:rowOff>
        </xdr:from>
        <xdr:to>
          <xdr:col>1</xdr:col>
          <xdr:colOff>984250</xdr:colOff>
          <xdr:row>60</xdr:row>
          <xdr:rowOff>190500</xdr:rowOff>
        </xdr:to>
        <xdr:sp macro="" textlink="">
          <xdr:nvSpPr>
            <xdr:cNvPr id="159799" name="Option Button 55" hidden="1">
              <a:extLst>
                <a:ext uri="{63B3BB69-23CF-44E3-9099-C40C66FF867C}">
                  <a14:compatExt spid="_x0000_s1597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61</xdr:row>
          <xdr:rowOff>38100</xdr:rowOff>
        </xdr:from>
        <xdr:to>
          <xdr:col>1</xdr:col>
          <xdr:colOff>984250</xdr:colOff>
          <xdr:row>61</xdr:row>
          <xdr:rowOff>190500</xdr:rowOff>
        </xdr:to>
        <xdr:sp macro="" textlink="">
          <xdr:nvSpPr>
            <xdr:cNvPr id="159800" name="Option Button 56" hidden="1">
              <a:extLst>
                <a:ext uri="{63B3BB69-23CF-44E3-9099-C40C66FF867C}">
                  <a14:compatExt spid="_x0000_s1598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62</xdr:row>
          <xdr:rowOff>38100</xdr:rowOff>
        </xdr:from>
        <xdr:to>
          <xdr:col>1</xdr:col>
          <xdr:colOff>984250</xdr:colOff>
          <xdr:row>62</xdr:row>
          <xdr:rowOff>190500</xdr:rowOff>
        </xdr:to>
        <xdr:sp macro="" textlink="">
          <xdr:nvSpPr>
            <xdr:cNvPr id="159801" name="Option Button 57" hidden="1">
              <a:extLst>
                <a:ext uri="{63B3BB69-23CF-44E3-9099-C40C66FF867C}">
                  <a14:compatExt spid="_x0000_s1598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63</xdr:row>
          <xdr:rowOff>38100</xdr:rowOff>
        </xdr:from>
        <xdr:to>
          <xdr:col>1</xdr:col>
          <xdr:colOff>984250</xdr:colOff>
          <xdr:row>63</xdr:row>
          <xdr:rowOff>190500</xdr:rowOff>
        </xdr:to>
        <xdr:sp macro="" textlink="">
          <xdr:nvSpPr>
            <xdr:cNvPr id="159802" name="Option Button 58" hidden="1">
              <a:extLst>
                <a:ext uri="{63B3BB69-23CF-44E3-9099-C40C66FF867C}">
                  <a14:compatExt spid="_x0000_s1598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64</xdr:row>
          <xdr:rowOff>317500</xdr:rowOff>
        </xdr:from>
        <xdr:to>
          <xdr:col>1</xdr:col>
          <xdr:colOff>984250</xdr:colOff>
          <xdr:row>64</xdr:row>
          <xdr:rowOff>469900</xdr:rowOff>
        </xdr:to>
        <xdr:sp macro="" textlink="">
          <xdr:nvSpPr>
            <xdr:cNvPr id="159803" name="Option Button 59" hidden="1">
              <a:extLst>
                <a:ext uri="{63B3BB69-23CF-44E3-9099-C40C66FF867C}">
                  <a14:compatExt spid="_x0000_s1598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65</xdr:row>
          <xdr:rowOff>38100</xdr:rowOff>
        </xdr:from>
        <xdr:to>
          <xdr:col>1</xdr:col>
          <xdr:colOff>984250</xdr:colOff>
          <xdr:row>65</xdr:row>
          <xdr:rowOff>190500</xdr:rowOff>
        </xdr:to>
        <xdr:sp macro="" textlink="">
          <xdr:nvSpPr>
            <xdr:cNvPr id="159804" name="Option Button 60" hidden="1">
              <a:extLst>
                <a:ext uri="{63B3BB69-23CF-44E3-9099-C40C66FF867C}">
                  <a14:compatExt spid="_x0000_s1598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66</xdr:row>
          <xdr:rowOff>38100</xdr:rowOff>
        </xdr:from>
        <xdr:to>
          <xdr:col>1</xdr:col>
          <xdr:colOff>984250</xdr:colOff>
          <xdr:row>66</xdr:row>
          <xdr:rowOff>190500</xdr:rowOff>
        </xdr:to>
        <xdr:sp macro="" textlink="">
          <xdr:nvSpPr>
            <xdr:cNvPr id="159805" name="Option Button 61" hidden="1">
              <a:extLst>
                <a:ext uri="{63B3BB69-23CF-44E3-9099-C40C66FF867C}">
                  <a14:compatExt spid="_x0000_s1598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67</xdr:row>
          <xdr:rowOff>38100</xdr:rowOff>
        </xdr:from>
        <xdr:to>
          <xdr:col>1</xdr:col>
          <xdr:colOff>984250</xdr:colOff>
          <xdr:row>67</xdr:row>
          <xdr:rowOff>190500</xdr:rowOff>
        </xdr:to>
        <xdr:sp macro="" textlink="">
          <xdr:nvSpPr>
            <xdr:cNvPr id="159806" name="Option Button 62" hidden="1">
              <a:extLst>
                <a:ext uri="{63B3BB69-23CF-44E3-9099-C40C66FF867C}">
                  <a14:compatExt spid="_x0000_s1598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68</xdr:row>
          <xdr:rowOff>38100</xdr:rowOff>
        </xdr:from>
        <xdr:to>
          <xdr:col>1</xdr:col>
          <xdr:colOff>984250</xdr:colOff>
          <xdr:row>68</xdr:row>
          <xdr:rowOff>190500</xdr:rowOff>
        </xdr:to>
        <xdr:sp macro="" textlink="">
          <xdr:nvSpPr>
            <xdr:cNvPr id="159807" name="Option Button 63" hidden="1">
              <a:extLst>
                <a:ext uri="{63B3BB69-23CF-44E3-9099-C40C66FF867C}">
                  <a14:compatExt spid="_x0000_s1598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69</xdr:row>
          <xdr:rowOff>38100</xdr:rowOff>
        </xdr:from>
        <xdr:to>
          <xdr:col>1</xdr:col>
          <xdr:colOff>984250</xdr:colOff>
          <xdr:row>69</xdr:row>
          <xdr:rowOff>190500</xdr:rowOff>
        </xdr:to>
        <xdr:sp macro="" textlink="">
          <xdr:nvSpPr>
            <xdr:cNvPr id="159808" name="Option Button 64" hidden="1">
              <a:extLst>
                <a:ext uri="{63B3BB69-23CF-44E3-9099-C40C66FF867C}">
                  <a14:compatExt spid="_x0000_s1598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70</xdr:row>
          <xdr:rowOff>38100</xdr:rowOff>
        </xdr:from>
        <xdr:to>
          <xdr:col>1</xdr:col>
          <xdr:colOff>984250</xdr:colOff>
          <xdr:row>70</xdr:row>
          <xdr:rowOff>190500</xdr:rowOff>
        </xdr:to>
        <xdr:sp macro="" textlink="">
          <xdr:nvSpPr>
            <xdr:cNvPr id="159809" name="Option Button 65" hidden="1">
              <a:extLst>
                <a:ext uri="{63B3BB69-23CF-44E3-9099-C40C66FF867C}">
                  <a14:compatExt spid="_x0000_s1598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71</xdr:row>
          <xdr:rowOff>38100</xdr:rowOff>
        </xdr:from>
        <xdr:to>
          <xdr:col>1</xdr:col>
          <xdr:colOff>984250</xdr:colOff>
          <xdr:row>71</xdr:row>
          <xdr:rowOff>190500</xdr:rowOff>
        </xdr:to>
        <xdr:sp macro="" textlink="">
          <xdr:nvSpPr>
            <xdr:cNvPr id="159810" name="Option Button 66" hidden="1">
              <a:extLst>
                <a:ext uri="{63B3BB69-23CF-44E3-9099-C40C66FF867C}">
                  <a14:compatExt spid="_x0000_s1598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72</xdr:row>
          <xdr:rowOff>38100</xdr:rowOff>
        </xdr:from>
        <xdr:to>
          <xdr:col>1</xdr:col>
          <xdr:colOff>984250</xdr:colOff>
          <xdr:row>72</xdr:row>
          <xdr:rowOff>190500</xdr:rowOff>
        </xdr:to>
        <xdr:sp macro="" textlink="">
          <xdr:nvSpPr>
            <xdr:cNvPr id="159811" name="Option Button 67" hidden="1">
              <a:extLst>
                <a:ext uri="{63B3BB69-23CF-44E3-9099-C40C66FF867C}">
                  <a14:compatExt spid="_x0000_s1598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73</xdr:row>
          <xdr:rowOff>38100</xdr:rowOff>
        </xdr:from>
        <xdr:to>
          <xdr:col>1</xdr:col>
          <xdr:colOff>984250</xdr:colOff>
          <xdr:row>73</xdr:row>
          <xdr:rowOff>190500</xdr:rowOff>
        </xdr:to>
        <xdr:sp macro="" textlink="">
          <xdr:nvSpPr>
            <xdr:cNvPr id="159812" name="Option Button 68" hidden="1">
              <a:extLst>
                <a:ext uri="{63B3BB69-23CF-44E3-9099-C40C66FF867C}">
                  <a14:compatExt spid="_x0000_s1598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74</xdr:row>
          <xdr:rowOff>38100</xdr:rowOff>
        </xdr:from>
        <xdr:to>
          <xdr:col>1</xdr:col>
          <xdr:colOff>984250</xdr:colOff>
          <xdr:row>74</xdr:row>
          <xdr:rowOff>190500</xdr:rowOff>
        </xdr:to>
        <xdr:sp macro="" textlink="">
          <xdr:nvSpPr>
            <xdr:cNvPr id="159813" name="Option Button 69" hidden="1">
              <a:extLst>
                <a:ext uri="{63B3BB69-23CF-44E3-9099-C40C66FF867C}">
                  <a14:compatExt spid="_x0000_s1598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75</xdr:row>
          <xdr:rowOff>38100</xdr:rowOff>
        </xdr:from>
        <xdr:to>
          <xdr:col>1</xdr:col>
          <xdr:colOff>984250</xdr:colOff>
          <xdr:row>75</xdr:row>
          <xdr:rowOff>190500</xdr:rowOff>
        </xdr:to>
        <xdr:sp macro="" textlink="">
          <xdr:nvSpPr>
            <xdr:cNvPr id="159814" name="Option Button 70" hidden="1">
              <a:extLst>
                <a:ext uri="{63B3BB69-23CF-44E3-9099-C40C66FF867C}">
                  <a14:compatExt spid="_x0000_s1598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76</xdr:row>
          <xdr:rowOff>38100</xdr:rowOff>
        </xdr:from>
        <xdr:to>
          <xdr:col>1</xdr:col>
          <xdr:colOff>984250</xdr:colOff>
          <xdr:row>76</xdr:row>
          <xdr:rowOff>190500</xdr:rowOff>
        </xdr:to>
        <xdr:sp macro="" textlink="">
          <xdr:nvSpPr>
            <xdr:cNvPr id="159815" name="Option Button 71" hidden="1">
              <a:extLst>
                <a:ext uri="{63B3BB69-23CF-44E3-9099-C40C66FF867C}">
                  <a14:compatExt spid="_x0000_s1598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77</xdr:row>
          <xdr:rowOff>38100</xdr:rowOff>
        </xdr:from>
        <xdr:to>
          <xdr:col>1</xdr:col>
          <xdr:colOff>984250</xdr:colOff>
          <xdr:row>77</xdr:row>
          <xdr:rowOff>190500</xdr:rowOff>
        </xdr:to>
        <xdr:sp macro="" textlink="">
          <xdr:nvSpPr>
            <xdr:cNvPr id="159816" name="Option Button 72" hidden="1">
              <a:extLst>
                <a:ext uri="{63B3BB69-23CF-44E3-9099-C40C66FF867C}">
                  <a14:compatExt spid="_x0000_s1598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78</xdr:row>
          <xdr:rowOff>38100</xdr:rowOff>
        </xdr:from>
        <xdr:to>
          <xdr:col>1</xdr:col>
          <xdr:colOff>984250</xdr:colOff>
          <xdr:row>78</xdr:row>
          <xdr:rowOff>190500</xdr:rowOff>
        </xdr:to>
        <xdr:sp macro="" textlink="">
          <xdr:nvSpPr>
            <xdr:cNvPr id="159817" name="Option Button 73" hidden="1">
              <a:extLst>
                <a:ext uri="{63B3BB69-23CF-44E3-9099-C40C66FF867C}">
                  <a14:compatExt spid="_x0000_s1598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79</xdr:row>
          <xdr:rowOff>38100</xdr:rowOff>
        </xdr:from>
        <xdr:to>
          <xdr:col>1</xdr:col>
          <xdr:colOff>984250</xdr:colOff>
          <xdr:row>79</xdr:row>
          <xdr:rowOff>190500</xdr:rowOff>
        </xdr:to>
        <xdr:sp macro="" textlink="">
          <xdr:nvSpPr>
            <xdr:cNvPr id="159818" name="Option Button 74" hidden="1">
              <a:extLst>
                <a:ext uri="{63B3BB69-23CF-44E3-9099-C40C66FF867C}">
                  <a14:compatExt spid="_x0000_s1598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80</xdr:row>
          <xdr:rowOff>38100</xdr:rowOff>
        </xdr:from>
        <xdr:to>
          <xdr:col>1</xdr:col>
          <xdr:colOff>984250</xdr:colOff>
          <xdr:row>80</xdr:row>
          <xdr:rowOff>190500</xdr:rowOff>
        </xdr:to>
        <xdr:sp macro="" textlink="">
          <xdr:nvSpPr>
            <xdr:cNvPr id="159819" name="Option Button 75" hidden="1">
              <a:extLst>
                <a:ext uri="{63B3BB69-23CF-44E3-9099-C40C66FF867C}">
                  <a14:compatExt spid="_x0000_s1598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81</xdr:row>
          <xdr:rowOff>38100</xdr:rowOff>
        </xdr:from>
        <xdr:to>
          <xdr:col>1</xdr:col>
          <xdr:colOff>984250</xdr:colOff>
          <xdr:row>81</xdr:row>
          <xdr:rowOff>190500</xdr:rowOff>
        </xdr:to>
        <xdr:sp macro="" textlink="">
          <xdr:nvSpPr>
            <xdr:cNvPr id="159820" name="Option Button 76" hidden="1">
              <a:extLst>
                <a:ext uri="{63B3BB69-23CF-44E3-9099-C40C66FF867C}">
                  <a14:compatExt spid="_x0000_s1598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82</xdr:row>
          <xdr:rowOff>38100</xdr:rowOff>
        </xdr:from>
        <xdr:to>
          <xdr:col>1</xdr:col>
          <xdr:colOff>984250</xdr:colOff>
          <xdr:row>82</xdr:row>
          <xdr:rowOff>190500</xdr:rowOff>
        </xdr:to>
        <xdr:sp macro="" textlink="">
          <xdr:nvSpPr>
            <xdr:cNvPr id="159821" name="Option Button 77" hidden="1">
              <a:extLst>
                <a:ext uri="{63B3BB69-23CF-44E3-9099-C40C66FF867C}">
                  <a14:compatExt spid="_x0000_s1598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83</xdr:row>
          <xdr:rowOff>38100</xdr:rowOff>
        </xdr:from>
        <xdr:to>
          <xdr:col>1</xdr:col>
          <xdr:colOff>984250</xdr:colOff>
          <xdr:row>83</xdr:row>
          <xdr:rowOff>190500</xdr:rowOff>
        </xdr:to>
        <xdr:sp macro="" textlink="">
          <xdr:nvSpPr>
            <xdr:cNvPr id="159822" name="Option Button 78" hidden="1">
              <a:extLst>
                <a:ext uri="{63B3BB69-23CF-44E3-9099-C40C66FF867C}">
                  <a14:compatExt spid="_x0000_s1598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84</xdr:row>
          <xdr:rowOff>38100</xdr:rowOff>
        </xdr:from>
        <xdr:to>
          <xdr:col>1</xdr:col>
          <xdr:colOff>984250</xdr:colOff>
          <xdr:row>84</xdr:row>
          <xdr:rowOff>190500</xdr:rowOff>
        </xdr:to>
        <xdr:sp macro="" textlink="">
          <xdr:nvSpPr>
            <xdr:cNvPr id="159823" name="Option Button 79" hidden="1">
              <a:extLst>
                <a:ext uri="{63B3BB69-23CF-44E3-9099-C40C66FF867C}">
                  <a14:compatExt spid="_x0000_s1598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85</xdr:row>
          <xdr:rowOff>38100</xdr:rowOff>
        </xdr:from>
        <xdr:to>
          <xdr:col>1</xdr:col>
          <xdr:colOff>984250</xdr:colOff>
          <xdr:row>85</xdr:row>
          <xdr:rowOff>190500</xdr:rowOff>
        </xdr:to>
        <xdr:sp macro="" textlink="">
          <xdr:nvSpPr>
            <xdr:cNvPr id="159824" name="Option Button 80" hidden="1">
              <a:extLst>
                <a:ext uri="{63B3BB69-23CF-44E3-9099-C40C66FF867C}">
                  <a14:compatExt spid="_x0000_s1598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86</xdr:row>
          <xdr:rowOff>38100</xdr:rowOff>
        </xdr:from>
        <xdr:to>
          <xdr:col>1</xdr:col>
          <xdr:colOff>984250</xdr:colOff>
          <xdr:row>86</xdr:row>
          <xdr:rowOff>190500</xdr:rowOff>
        </xdr:to>
        <xdr:sp macro="" textlink="">
          <xdr:nvSpPr>
            <xdr:cNvPr id="159825" name="Option Button 81" hidden="1">
              <a:extLst>
                <a:ext uri="{63B3BB69-23CF-44E3-9099-C40C66FF867C}">
                  <a14:compatExt spid="_x0000_s1598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87</xdr:row>
          <xdr:rowOff>38100</xdr:rowOff>
        </xdr:from>
        <xdr:to>
          <xdr:col>1</xdr:col>
          <xdr:colOff>984250</xdr:colOff>
          <xdr:row>87</xdr:row>
          <xdr:rowOff>190500</xdr:rowOff>
        </xdr:to>
        <xdr:sp macro="" textlink="">
          <xdr:nvSpPr>
            <xdr:cNvPr id="159826" name="Option Button 82" hidden="1">
              <a:extLst>
                <a:ext uri="{63B3BB69-23CF-44E3-9099-C40C66FF867C}">
                  <a14:compatExt spid="_x0000_s1598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88</xdr:row>
          <xdr:rowOff>38100</xdr:rowOff>
        </xdr:from>
        <xdr:to>
          <xdr:col>1</xdr:col>
          <xdr:colOff>984250</xdr:colOff>
          <xdr:row>88</xdr:row>
          <xdr:rowOff>190500</xdr:rowOff>
        </xdr:to>
        <xdr:sp macro="" textlink="">
          <xdr:nvSpPr>
            <xdr:cNvPr id="159827" name="Option Button 83" hidden="1">
              <a:extLst>
                <a:ext uri="{63B3BB69-23CF-44E3-9099-C40C66FF867C}">
                  <a14:compatExt spid="_x0000_s1598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89</xdr:row>
          <xdr:rowOff>38100</xdr:rowOff>
        </xdr:from>
        <xdr:to>
          <xdr:col>1</xdr:col>
          <xdr:colOff>984250</xdr:colOff>
          <xdr:row>89</xdr:row>
          <xdr:rowOff>190500</xdr:rowOff>
        </xdr:to>
        <xdr:sp macro="" textlink="">
          <xdr:nvSpPr>
            <xdr:cNvPr id="159828" name="Option Button 84" hidden="1">
              <a:extLst>
                <a:ext uri="{63B3BB69-23CF-44E3-9099-C40C66FF867C}">
                  <a14:compatExt spid="_x0000_s1598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90</xdr:row>
          <xdr:rowOff>38100</xdr:rowOff>
        </xdr:from>
        <xdr:to>
          <xdr:col>1</xdr:col>
          <xdr:colOff>984250</xdr:colOff>
          <xdr:row>90</xdr:row>
          <xdr:rowOff>190500</xdr:rowOff>
        </xdr:to>
        <xdr:sp macro="" textlink="">
          <xdr:nvSpPr>
            <xdr:cNvPr id="159829" name="Option Button 85" hidden="1">
              <a:extLst>
                <a:ext uri="{63B3BB69-23CF-44E3-9099-C40C66FF867C}">
                  <a14:compatExt spid="_x0000_s1598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91</xdr:row>
          <xdr:rowOff>38100</xdr:rowOff>
        </xdr:from>
        <xdr:to>
          <xdr:col>1</xdr:col>
          <xdr:colOff>984250</xdr:colOff>
          <xdr:row>91</xdr:row>
          <xdr:rowOff>190500</xdr:rowOff>
        </xdr:to>
        <xdr:sp macro="" textlink="">
          <xdr:nvSpPr>
            <xdr:cNvPr id="159830" name="Option Button 86" hidden="1">
              <a:extLst>
                <a:ext uri="{63B3BB69-23CF-44E3-9099-C40C66FF867C}">
                  <a14:compatExt spid="_x0000_s1598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92</xdr:row>
          <xdr:rowOff>38100</xdr:rowOff>
        </xdr:from>
        <xdr:to>
          <xdr:col>1</xdr:col>
          <xdr:colOff>984250</xdr:colOff>
          <xdr:row>92</xdr:row>
          <xdr:rowOff>190500</xdr:rowOff>
        </xdr:to>
        <xdr:sp macro="" textlink="">
          <xdr:nvSpPr>
            <xdr:cNvPr id="159831" name="Option Button 87" hidden="1">
              <a:extLst>
                <a:ext uri="{63B3BB69-23CF-44E3-9099-C40C66FF867C}">
                  <a14:compatExt spid="_x0000_s1598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93</xdr:row>
          <xdr:rowOff>38100</xdr:rowOff>
        </xdr:from>
        <xdr:to>
          <xdr:col>1</xdr:col>
          <xdr:colOff>984250</xdr:colOff>
          <xdr:row>93</xdr:row>
          <xdr:rowOff>190500</xdr:rowOff>
        </xdr:to>
        <xdr:sp macro="" textlink="">
          <xdr:nvSpPr>
            <xdr:cNvPr id="159832" name="Option Button 88" hidden="1">
              <a:extLst>
                <a:ext uri="{63B3BB69-23CF-44E3-9099-C40C66FF867C}">
                  <a14:compatExt spid="_x0000_s1598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94</xdr:row>
          <xdr:rowOff>38100</xdr:rowOff>
        </xdr:from>
        <xdr:to>
          <xdr:col>1</xdr:col>
          <xdr:colOff>984250</xdr:colOff>
          <xdr:row>94</xdr:row>
          <xdr:rowOff>190500</xdr:rowOff>
        </xdr:to>
        <xdr:sp macro="" textlink="">
          <xdr:nvSpPr>
            <xdr:cNvPr id="159833" name="Option Button 89" hidden="1">
              <a:extLst>
                <a:ext uri="{63B3BB69-23CF-44E3-9099-C40C66FF867C}">
                  <a14:compatExt spid="_x0000_s1598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95</xdr:row>
          <xdr:rowOff>38100</xdr:rowOff>
        </xdr:from>
        <xdr:to>
          <xdr:col>1</xdr:col>
          <xdr:colOff>984250</xdr:colOff>
          <xdr:row>95</xdr:row>
          <xdr:rowOff>190500</xdr:rowOff>
        </xdr:to>
        <xdr:sp macro="" textlink="">
          <xdr:nvSpPr>
            <xdr:cNvPr id="159834" name="Option Button 90" hidden="1">
              <a:extLst>
                <a:ext uri="{63B3BB69-23CF-44E3-9099-C40C66FF867C}">
                  <a14:compatExt spid="_x0000_s159834"/>
                </a:ext>
              </a:extLst>
            </xdr:cNvPr>
            <xdr:cNvSpPr/>
          </xdr:nvSpPr>
          <xdr:spPr>
            <a:xfrm>
              <a:off x="0" y="0"/>
              <a:ext cx="0" cy="0"/>
            </a:xfrm>
            <a:prstGeom prst="rect">
              <a:avLst/>
            </a:prstGeom>
          </xdr:spPr>
        </xdr:sp>
        <xdr:clientData/>
      </xdr:twoCellAnchor>
    </mc:Choice>
    <mc:Fallback/>
  </mc:AlternateContent>
  <xdr:twoCellAnchor>
    <xdr:from>
      <xdr:col>2</xdr:col>
      <xdr:colOff>1826563</xdr:colOff>
      <xdr:row>0</xdr:row>
      <xdr:rowOff>89648</xdr:rowOff>
    </xdr:from>
    <xdr:to>
      <xdr:col>3</xdr:col>
      <xdr:colOff>3944474</xdr:colOff>
      <xdr:row>2</xdr:row>
      <xdr:rowOff>6165</xdr:rowOff>
    </xdr:to>
    <xdr:sp macro="" textlink="">
      <xdr:nvSpPr>
        <xdr:cNvPr id="92" name="角丸四角形吹き出し 91"/>
        <xdr:cNvSpPr/>
      </xdr:nvSpPr>
      <xdr:spPr>
        <a:xfrm>
          <a:off x="3226738" y="89648"/>
          <a:ext cx="4451536" cy="478492"/>
        </a:xfrm>
        <a:prstGeom prst="wedgeRoundRectCallout">
          <a:avLst>
            <a:gd name="adj1" fmla="val -62755"/>
            <a:gd name="adj2" fmla="val -6669"/>
            <a:gd name="adj3" fmla="val 16667"/>
          </a:avLst>
        </a:prstGeom>
        <a:solidFill>
          <a:srgbClr val="FFCCFF">
            <a:alpha val="81000"/>
          </a:srgbClr>
        </a:solid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altLang="ja-JP"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JCB</a:t>
          </a:r>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および</a:t>
          </a:r>
          <a:r>
            <a:rPr lang="en-US" altLang="ja-JP"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QUICPay</a:t>
          </a:r>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導入の場合はこちらにて業種選択をお願いします。</a:t>
          </a:r>
          <a:endPar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xdr:col>
      <xdr:colOff>336182</xdr:colOff>
      <xdr:row>4</xdr:row>
      <xdr:rowOff>11212</xdr:rowOff>
    </xdr:from>
    <xdr:to>
      <xdr:col>3</xdr:col>
      <xdr:colOff>1826557</xdr:colOff>
      <xdr:row>5</xdr:row>
      <xdr:rowOff>286317</xdr:rowOff>
    </xdr:to>
    <xdr:sp macro="" textlink="">
      <xdr:nvSpPr>
        <xdr:cNvPr id="93" name="角丸四角形吹き出し 92"/>
        <xdr:cNvSpPr/>
      </xdr:nvSpPr>
      <xdr:spPr>
        <a:xfrm>
          <a:off x="1736357" y="973237"/>
          <a:ext cx="3824000" cy="475130"/>
        </a:xfrm>
        <a:prstGeom prst="wedgeRoundRectCallout">
          <a:avLst>
            <a:gd name="adj1" fmla="val -62755"/>
            <a:gd name="adj2" fmla="val -6669"/>
            <a:gd name="adj3" fmla="val 16667"/>
          </a:avLst>
        </a:prstGeom>
        <a:solidFill>
          <a:srgbClr val="FFCCFF">
            <a:alpha val="81000"/>
          </a:srgbClr>
        </a:solid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該当する業種を選択ください。</a:t>
          </a:r>
          <a:endPar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xdr:col>
      <xdr:colOff>44827</xdr:colOff>
      <xdr:row>4</xdr:row>
      <xdr:rowOff>168084</xdr:rowOff>
    </xdr:from>
    <xdr:to>
      <xdr:col>1</xdr:col>
      <xdr:colOff>1053357</xdr:colOff>
      <xdr:row>96</xdr:row>
      <xdr:rowOff>44823</xdr:rowOff>
    </xdr:to>
    <xdr:sp macro="" textlink="">
      <xdr:nvSpPr>
        <xdr:cNvPr id="94" name="角丸四角形 93"/>
        <xdr:cNvSpPr/>
      </xdr:nvSpPr>
      <xdr:spPr>
        <a:xfrm>
          <a:off x="330577" y="1130109"/>
          <a:ext cx="1008530" cy="19926864"/>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438150</xdr:colOff>
          <xdr:row>6</xdr:row>
          <xdr:rowOff>12700</xdr:rowOff>
        </xdr:from>
        <xdr:to>
          <xdr:col>1</xdr:col>
          <xdr:colOff>914400</xdr:colOff>
          <xdr:row>6</xdr:row>
          <xdr:rowOff>203200</xdr:rowOff>
        </xdr:to>
        <xdr:sp macro="" textlink="">
          <xdr:nvSpPr>
            <xdr:cNvPr id="106497" name="Option Button 1" hidden="1">
              <a:extLst>
                <a:ext uri="{63B3BB69-23CF-44E3-9099-C40C66FF867C}">
                  <a14:compatExt spid="_x0000_s1064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xdr:row>
          <xdr:rowOff>12700</xdr:rowOff>
        </xdr:from>
        <xdr:to>
          <xdr:col>1</xdr:col>
          <xdr:colOff>914400</xdr:colOff>
          <xdr:row>7</xdr:row>
          <xdr:rowOff>203200</xdr:rowOff>
        </xdr:to>
        <xdr:sp macro="" textlink="">
          <xdr:nvSpPr>
            <xdr:cNvPr id="106498" name="Option Button 2" hidden="1">
              <a:extLst>
                <a:ext uri="{63B3BB69-23CF-44E3-9099-C40C66FF867C}">
                  <a14:compatExt spid="_x0000_s1064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xdr:row>
          <xdr:rowOff>12700</xdr:rowOff>
        </xdr:from>
        <xdr:to>
          <xdr:col>1</xdr:col>
          <xdr:colOff>914400</xdr:colOff>
          <xdr:row>8</xdr:row>
          <xdr:rowOff>203200</xdr:rowOff>
        </xdr:to>
        <xdr:sp macro="" textlink="">
          <xdr:nvSpPr>
            <xdr:cNvPr id="106499" name="Option Button 3" hidden="1">
              <a:extLst>
                <a:ext uri="{63B3BB69-23CF-44E3-9099-C40C66FF867C}">
                  <a14:compatExt spid="_x0000_s1064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xdr:row>
          <xdr:rowOff>12700</xdr:rowOff>
        </xdr:from>
        <xdr:to>
          <xdr:col>1</xdr:col>
          <xdr:colOff>914400</xdr:colOff>
          <xdr:row>9</xdr:row>
          <xdr:rowOff>203200</xdr:rowOff>
        </xdr:to>
        <xdr:sp macro="" textlink="">
          <xdr:nvSpPr>
            <xdr:cNvPr id="106500" name="Option Button 4" hidden="1">
              <a:extLst>
                <a:ext uri="{63B3BB69-23CF-44E3-9099-C40C66FF867C}">
                  <a14:compatExt spid="_x0000_s1065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xdr:row>
          <xdr:rowOff>12700</xdr:rowOff>
        </xdr:from>
        <xdr:to>
          <xdr:col>1</xdr:col>
          <xdr:colOff>914400</xdr:colOff>
          <xdr:row>10</xdr:row>
          <xdr:rowOff>203200</xdr:rowOff>
        </xdr:to>
        <xdr:sp macro="" textlink="">
          <xdr:nvSpPr>
            <xdr:cNvPr id="106501" name="Option Button 5" hidden="1">
              <a:extLst>
                <a:ext uri="{63B3BB69-23CF-44E3-9099-C40C66FF867C}">
                  <a14:compatExt spid="_x0000_s1065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xdr:row>
          <xdr:rowOff>12700</xdr:rowOff>
        </xdr:from>
        <xdr:to>
          <xdr:col>1</xdr:col>
          <xdr:colOff>914400</xdr:colOff>
          <xdr:row>11</xdr:row>
          <xdr:rowOff>203200</xdr:rowOff>
        </xdr:to>
        <xdr:sp macro="" textlink="">
          <xdr:nvSpPr>
            <xdr:cNvPr id="106502" name="Option Button 6" hidden="1">
              <a:extLst>
                <a:ext uri="{63B3BB69-23CF-44E3-9099-C40C66FF867C}">
                  <a14:compatExt spid="_x0000_s1065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12</xdr:row>
          <xdr:rowOff>12700</xdr:rowOff>
        </xdr:from>
        <xdr:to>
          <xdr:col>1</xdr:col>
          <xdr:colOff>914400</xdr:colOff>
          <xdr:row>12</xdr:row>
          <xdr:rowOff>203200</xdr:rowOff>
        </xdr:to>
        <xdr:sp macro="" textlink="">
          <xdr:nvSpPr>
            <xdr:cNvPr id="106503" name="Option Button 7" hidden="1">
              <a:extLst>
                <a:ext uri="{63B3BB69-23CF-44E3-9099-C40C66FF867C}">
                  <a14:compatExt spid="_x0000_s1065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13</xdr:row>
          <xdr:rowOff>12700</xdr:rowOff>
        </xdr:from>
        <xdr:to>
          <xdr:col>1</xdr:col>
          <xdr:colOff>914400</xdr:colOff>
          <xdr:row>13</xdr:row>
          <xdr:rowOff>203200</xdr:rowOff>
        </xdr:to>
        <xdr:sp macro="" textlink="">
          <xdr:nvSpPr>
            <xdr:cNvPr id="106504" name="Option Button 8" hidden="1">
              <a:extLst>
                <a:ext uri="{63B3BB69-23CF-44E3-9099-C40C66FF867C}">
                  <a14:compatExt spid="_x0000_s1065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14</xdr:row>
          <xdr:rowOff>12700</xdr:rowOff>
        </xdr:from>
        <xdr:to>
          <xdr:col>1</xdr:col>
          <xdr:colOff>914400</xdr:colOff>
          <xdr:row>15</xdr:row>
          <xdr:rowOff>0</xdr:rowOff>
        </xdr:to>
        <xdr:sp macro="" textlink="">
          <xdr:nvSpPr>
            <xdr:cNvPr id="106505" name="Option Button 9" hidden="1">
              <a:extLst>
                <a:ext uri="{63B3BB69-23CF-44E3-9099-C40C66FF867C}">
                  <a14:compatExt spid="_x0000_s1065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15</xdr:row>
          <xdr:rowOff>12700</xdr:rowOff>
        </xdr:from>
        <xdr:to>
          <xdr:col>1</xdr:col>
          <xdr:colOff>914400</xdr:colOff>
          <xdr:row>16</xdr:row>
          <xdr:rowOff>0</xdr:rowOff>
        </xdr:to>
        <xdr:sp macro="" textlink="">
          <xdr:nvSpPr>
            <xdr:cNvPr id="106506" name="Option Button 10" hidden="1">
              <a:extLst>
                <a:ext uri="{63B3BB69-23CF-44E3-9099-C40C66FF867C}">
                  <a14:compatExt spid="_x0000_s1065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16</xdr:row>
          <xdr:rowOff>12700</xdr:rowOff>
        </xdr:from>
        <xdr:to>
          <xdr:col>1</xdr:col>
          <xdr:colOff>914400</xdr:colOff>
          <xdr:row>16</xdr:row>
          <xdr:rowOff>203200</xdr:rowOff>
        </xdr:to>
        <xdr:sp macro="" textlink="">
          <xdr:nvSpPr>
            <xdr:cNvPr id="106507" name="Option Button 11" hidden="1">
              <a:extLst>
                <a:ext uri="{63B3BB69-23CF-44E3-9099-C40C66FF867C}">
                  <a14:compatExt spid="_x0000_s1065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17</xdr:row>
          <xdr:rowOff>12700</xdr:rowOff>
        </xdr:from>
        <xdr:to>
          <xdr:col>1</xdr:col>
          <xdr:colOff>914400</xdr:colOff>
          <xdr:row>17</xdr:row>
          <xdr:rowOff>203200</xdr:rowOff>
        </xdr:to>
        <xdr:sp macro="" textlink="">
          <xdr:nvSpPr>
            <xdr:cNvPr id="106508" name="Option Button 12" hidden="1">
              <a:extLst>
                <a:ext uri="{63B3BB69-23CF-44E3-9099-C40C66FF867C}">
                  <a14:compatExt spid="_x0000_s1065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18</xdr:row>
          <xdr:rowOff>12700</xdr:rowOff>
        </xdr:from>
        <xdr:to>
          <xdr:col>1</xdr:col>
          <xdr:colOff>914400</xdr:colOff>
          <xdr:row>18</xdr:row>
          <xdr:rowOff>203200</xdr:rowOff>
        </xdr:to>
        <xdr:sp macro="" textlink="">
          <xdr:nvSpPr>
            <xdr:cNvPr id="106509" name="Option Button 13" hidden="1">
              <a:extLst>
                <a:ext uri="{63B3BB69-23CF-44E3-9099-C40C66FF867C}">
                  <a14:compatExt spid="_x0000_s1065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19</xdr:row>
          <xdr:rowOff>12700</xdr:rowOff>
        </xdr:from>
        <xdr:to>
          <xdr:col>1</xdr:col>
          <xdr:colOff>914400</xdr:colOff>
          <xdr:row>19</xdr:row>
          <xdr:rowOff>203200</xdr:rowOff>
        </xdr:to>
        <xdr:sp macro="" textlink="">
          <xdr:nvSpPr>
            <xdr:cNvPr id="106510" name="Option Button 14" hidden="1">
              <a:extLst>
                <a:ext uri="{63B3BB69-23CF-44E3-9099-C40C66FF867C}">
                  <a14:compatExt spid="_x0000_s1065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20</xdr:row>
          <xdr:rowOff>12700</xdr:rowOff>
        </xdr:from>
        <xdr:to>
          <xdr:col>1</xdr:col>
          <xdr:colOff>914400</xdr:colOff>
          <xdr:row>20</xdr:row>
          <xdr:rowOff>203200</xdr:rowOff>
        </xdr:to>
        <xdr:sp macro="" textlink="">
          <xdr:nvSpPr>
            <xdr:cNvPr id="106511" name="Option Button 15" hidden="1">
              <a:extLst>
                <a:ext uri="{63B3BB69-23CF-44E3-9099-C40C66FF867C}">
                  <a14:compatExt spid="_x0000_s1065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21</xdr:row>
          <xdr:rowOff>12700</xdr:rowOff>
        </xdr:from>
        <xdr:to>
          <xdr:col>1</xdr:col>
          <xdr:colOff>914400</xdr:colOff>
          <xdr:row>21</xdr:row>
          <xdr:rowOff>203200</xdr:rowOff>
        </xdr:to>
        <xdr:sp macro="" textlink="">
          <xdr:nvSpPr>
            <xdr:cNvPr id="106512" name="Option Button 16" hidden="1">
              <a:extLst>
                <a:ext uri="{63B3BB69-23CF-44E3-9099-C40C66FF867C}">
                  <a14:compatExt spid="_x0000_s1065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22</xdr:row>
          <xdr:rowOff>12700</xdr:rowOff>
        </xdr:from>
        <xdr:to>
          <xdr:col>1</xdr:col>
          <xdr:colOff>914400</xdr:colOff>
          <xdr:row>22</xdr:row>
          <xdr:rowOff>203200</xdr:rowOff>
        </xdr:to>
        <xdr:sp macro="" textlink="">
          <xdr:nvSpPr>
            <xdr:cNvPr id="106513" name="Option Button 17" hidden="1">
              <a:extLst>
                <a:ext uri="{63B3BB69-23CF-44E3-9099-C40C66FF867C}">
                  <a14:compatExt spid="_x0000_s1065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23</xdr:row>
          <xdr:rowOff>12700</xdr:rowOff>
        </xdr:from>
        <xdr:to>
          <xdr:col>1</xdr:col>
          <xdr:colOff>914400</xdr:colOff>
          <xdr:row>23</xdr:row>
          <xdr:rowOff>203200</xdr:rowOff>
        </xdr:to>
        <xdr:sp macro="" textlink="">
          <xdr:nvSpPr>
            <xdr:cNvPr id="106514" name="Option Button 18" hidden="1">
              <a:extLst>
                <a:ext uri="{63B3BB69-23CF-44E3-9099-C40C66FF867C}">
                  <a14:compatExt spid="_x0000_s1065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24</xdr:row>
          <xdr:rowOff>12700</xdr:rowOff>
        </xdr:from>
        <xdr:to>
          <xdr:col>1</xdr:col>
          <xdr:colOff>914400</xdr:colOff>
          <xdr:row>24</xdr:row>
          <xdr:rowOff>203200</xdr:rowOff>
        </xdr:to>
        <xdr:sp macro="" textlink="">
          <xdr:nvSpPr>
            <xdr:cNvPr id="106515" name="Option Button 19" hidden="1">
              <a:extLst>
                <a:ext uri="{63B3BB69-23CF-44E3-9099-C40C66FF867C}">
                  <a14:compatExt spid="_x0000_s1065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25</xdr:row>
          <xdr:rowOff>12700</xdr:rowOff>
        </xdr:from>
        <xdr:to>
          <xdr:col>1</xdr:col>
          <xdr:colOff>914400</xdr:colOff>
          <xdr:row>25</xdr:row>
          <xdr:rowOff>203200</xdr:rowOff>
        </xdr:to>
        <xdr:sp macro="" textlink="">
          <xdr:nvSpPr>
            <xdr:cNvPr id="106516" name="Option Button 20" hidden="1">
              <a:extLst>
                <a:ext uri="{63B3BB69-23CF-44E3-9099-C40C66FF867C}">
                  <a14:compatExt spid="_x0000_s1065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26</xdr:row>
          <xdr:rowOff>12700</xdr:rowOff>
        </xdr:from>
        <xdr:to>
          <xdr:col>1</xdr:col>
          <xdr:colOff>914400</xdr:colOff>
          <xdr:row>26</xdr:row>
          <xdr:rowOff>203200</xdr:rowOff>
        </xdr:to>
        <xdr:sp macro="" textlink="">
          <xdr:nvSpPr>
            <xdr:cNvPr id="106517" name="Option Button 21" hidden="1">
              <a:extLst>
                <a:ext uri="{63B3BB69-23CF-44E3-9099-C40C66FF867C}">
                  <a14:compatExt spid="_x0000_s1065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27</xdr:row>
          <xdr:rowOff>12700</xdr:rowOff>
        </xdr:from>
        <xdr:to>
          <xdr:col>1</xdr:col>
          <xdr:colOff>914400</xdr:colOff>
          <xdr:row>27</xdr:row>
          <xdr:rowOff>203200</xdr:rowOff>
        </xdr:to>
        <xdr:sp macro="" textlink="">
          <xdr:nvSpPr>
            <xdr:cNvPr id="106518" name="Option Button 22" hidden="1">
              <a:extLst>
                <a:ext uri="{63B3BB69-23CF-44E3-9099-C40C66FF867C}">
                  <a14:compatExt spid="_x0000_s1065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28</xdr:row>
          <xdr:rowOff>12700</xdr:rowOff>
        </xdr:from>
        <xdr:to>
          <xdr:col>1</xdr:col>
          <xdr:colOff>914400</xdr:colOff>
          <xdr:row>28</xdr:row>
          <xdr:rowOff>203200</xdr:rowOff>
        </xdr:to>
        <xdr:sp macro="" textlink="">
          <xdr:nvSpPr>
            <xdr:cNvPr id="106519" name="Option Button 23" hidden="1">
              <a:extLst>
                <a:ext uri="{63B3BB69-23CF-44E3-9099-C40C66FF867C}">
                  <a14:compatExt spid="_x0000_s1065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29</xdr:row>
          <xdr:rowOff>12700</xdr:rowOff>
        </xdr:from>
        <xdr:to>
          <xdr:col>1</xdr:col>
          <xdr:colOff>914400</xdr:colOff>
          <xdr:row>29</xdr:row>
          <xdr:rowOff>203200</xdr:rowOff>
        </xdr:to>
        <xdr:sp macro="" textlink="">
          <xdr:nvSpPr>
            <xdr:cNvPr id="106520" name="Option Button 24" hidden="1">
              <a:extLst>
                <a:ext uri="{63B3BB69-23CF-44E3-9099-C40C66FF867C}">
                  <a14:compatExt spid="_x0000_s1065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30</xdr:row>
          <xdr:rowOff>12700</xdr:rowOff>
        </xdr:from>
        <xdr:to>
          <xdr:col>1</xdr:col>
          <xdr:colOff>914400</xdr:colOff>
          <xdr:row>30</xdr:row>
          <xdr:rowOff>203200</xdr:rowOff>
        </xdr:to>
        <xdr:sp macro="" textlink="">
          <xdr:nvSpPr>
            <xdr:cNvPr id="106521" name="Option Button 25" hidden="1">
              <a:extLst>
                <a:ext uri="{63B3BB69-23CF-44E3-9099-C40C66FF867C}">
                  <a14:compatExt spid="_x0000_s1065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31</xdr:row>
          <xdr:rowOff>12700</xdr:rowOff>
        </xdr:from>
        <xdr:to>
          <xdr:col>1</xdr:col>
          <xdr:colOff>914400</xdr:colOff>
          <xdr:row>31</xdr:row>
          <xdr:rowOff>203200</xdr:rowOff>
        </xdr:to>
        <xdr:sp macro="" textlink="">
          <xdr:nvSpPr>
            <xdr:cNvPr id="106522" name="Option Button 26" hidden="1">
              <a:extLst>
                <a:ext uri="{63B3BB69-23CF-44E3-9099-C40C66FF867C}">
                  <a14:compatExt spid="_x0000_s1065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32</xdr:row>
          <xdr:rowOff>12700</xdr:rowOff>
        </xdr:from>
        <xdr:to>
          <xdr:col>1</xdr:col>
          <xdr:colOff>914400</xdr:colOff>
          <xdr:row>32</xdr:row>
          <xdr:rowOff>203200</xdr:rowOff>
        </xdr:to>
        <xdr:sp macro="" textlink="">
          <xdr:nvSpPr>
            <xdr:cNvPr id="106523" name="Option Button 27" hidden="1">
              <a:extLst>
                <a:ext uri="{63B3BB69-23CF-44E3-9099-C40C66FF867C}">
                  <a14:compatExt spid="_x0000_s1065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33</xdr:row>
          <xdr:rowOff>12700</xdr:rowOff>
        </xdr:from>
        <xdr:to>
          <xdr:col>1</xdr:col>
          <xdr:colOff>914400</xdr:colOff>
          <xdr:row>33</xdr:row>
          <xdr:rowOff>203200</xdr:rowOff>
        </xdr:to>
        <xdr:sp macro="" textlink="">
          <xdr:nvSpPr>
            <xdr:cNvPr id="106524" name="Option Button 28" hidden="1">
              <a:extLst>
                <a:ext uri="{63B3BB69-23CF-44E3-9099-C40C66FF867C}">
                  <a14:compatExt spid="_x0000_s1065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34</xdr:row>
          <xdr:rowOff>12700</xdr:rowOff>
        </xdr:from>
        <xdr:to>
          <xdr:col>1</xdr:col>
          <xdr:colOff>914400</xdr:colOff>
          <xdr:row>34</xdr:row>
          <xdr:rowOff>203200</xdr:rowOff>
        </xdr:to>
        <xdr:sp macro="" textlink="">
          <xdr:nvSpPr>
            <xdr:cNvPr id="106525" name="Option Button 29" hidden="1">
              <a:extLst>
                <a:ext uri="{63B3BB69-23CF-44E3-9099-C40C66FF867C}">
                  <a14:compatExt spid="_x0000_s1065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35</xdr:row>
          <xdr:rowOff>12700</xdr:rowOff>
        </xdr:from>
        <xdr:to>
          <xdr:col>1</xdr:col>
          <xdr:colOff>914400</xdr:colOff>
          <xdr:row>35</xdr:row>
          <xdr:rowOff>203200</xdr:rowOff>
        </xdr:to>
        <xdr:sp macro="" textlink="">
          <xdr:nvSpPr>
            <xdr:cNvPr id="106526" name="Option Button 30" hidden="1">
              <a:extLst>
                <a:ext uri="{63B3BB69-23CF-44E3-9099-C40C66FF867C}">
                  <a14:compatExt spid="_x0000_s1065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36</xdr:row>
          <xdr:rowOff>12700</xdr:rowOff>
        </xdr:from>
        <xdr:to>
          <xdr:col>1</xdr:col>
          <xdr:colOff>914400</xdr:colOff>
          <xdr:row>36</xdr:row>
          <xdr:rowOff>203200</xdr:rowOff>
        </xdr:to>
        <xdr:sp macro="" textlink="">
          <xdr:nvSpPr>
            <xdr:cNvPr id="106527" name="Option Button 31" hidden="1">
              <a:extLst>
                <a:ext uri="{63B3BB69-23CF-44E3-9099-C40C66FF867C}">
                  <a14:compatExt spid="_x0000_s1065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37</xdr:row>
          <xdr:rowOff>12700</xdr:rowOff>
        </xdr:from>
        <xdr:to>
          <xdr:col>1</xdr:col>
          <xdr:colOff>914400</xdr:colOff>
          <xdr:row>37</xdr:row>
          <xdr:rowOff>203200</xdr:rowOff>
        </xdr:to>
        <xdr:sp macro="" textlink="">
          <xdr:nvSpPr>
            <xdr:cNvPr id="106528" name="Option Button 32" hidden="1">
              <a:extLst>
                <a:ext uri="{63B3BB69-23CF-44E3-9099-C40C66FF867C}">
                  <a14:compatExt spid="_x0000_s1065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38</xdr:row>
          <xdr:rowOff>12700</xdr:rowOff>
        </xdr:from>
        <xdr:to>
          <xdr:col>1</xdr:col>
          <xdr:colOff>914400</xdr:colOff>
          <xdr:row>38</xdr:row>
          <xdr:rowOff>203200</xdr:rowOff>
        </xdr:to>
        <xdr:sp macro="" textlink="">
          <xdr:nvSpPr>
            <xdr:cNvPr id="106529" name="Option Button 33" hidden="1">
              <a:extLst>
                <a:ext uri="{63B3BB69-23CF-44E3-9099-C40C66FF867C}">
                  <a14:compatExt spid="_x0000_s1065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39</xdr:row>
          <xdr:rowOff>12700</xdr:rowOff>
        </xdr:from>
        <xdr:to>
          <xdr:col>1</xdr:col>
          <xdr:colOff>914400</xdr:colOff>
          <xdr:row>39</xdr:row>
          <xdr:rowOff>203200</xdr:rowOff>
        </xdr:to>
        <xdr:sp macro="" textlink="">
          <xdr:nvSpPr>
            <xdr:cNvPr id="106530" name="Option Button 34" hidden="1">
              <a:extLst>
                <a:ext uri="{63B3BB69-23CF-44E3-9099-C40C66FF867C}">
                  <a14:compatExt spid="_x0000_s1065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40</xdr:row>
          <xdr:rowOff>12700</xdr:rowOff>
        </xdr:from>
        <xdr:to>
          <xdr:col>1</xdr:col>
          <xdr:colOff>914400</xdr:colOff>
          <xdr:row>40</xdr:row>
          <xdr:rowOff>203200</xdr:rowOff>
        </xdr:to>
        <xdr:sp macro="" textlink="">
          <xdr:nvSpPr>
            <xdr:cNvPr id="106531" name="Option Button 35" hidden="1">
              <a:extLst>
                <a:ext uri="{63B3BB69-23CF-44E3-9099-C40C66FF867C}">
                  <a14:compatExt spid="_x0000_s1065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41</xdr:row>
          <xdr:rowOff>12700</xdr:rowOff>
        </xdr:from>
        <xdr:to>
          <xdr:col>1</xdr:col>
          <xdr:colOff>914400</xdr:colOff>
          <xdr:row>41</xdr:row>
          <xdr:rowOff>203200</xdr:rowOff>
        </xdr:to>
        <xdr:sp macro="" textlink="">
          <xdr:nvSpPr>
            <xdr:cNvPr id="106532" name="Option Button 36" hidden="1">
              <a:extLst>
                <a:ext uri="{63B3BB69-23CF-44E3-9099-C40C66FF867C}">
                  <a14:compatExt spid="_x0000_s1065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42</xdr:row>
          <xdr:rowOff>12700</xdr:rowOff>
        </xdr:from>
        <xdr:to>
          <xdr:col>1</xdr:col>
          <xdr:colOff>914400</xdr:colOff>
          <xdr:row>42</xdr:row>
          <xdr:rowOff>203200</xdr:rowOff>
        </xdr:to>
        <xdr:sp macro="" textlink="">
          <xdr:nvSpPr>
            <xdr:cNvPr id="106533" name="Option Button 37" hidden="1">
              <a:extLst>
                <a:ext uri="{63B3BB69-23CF-44E3-9099-C40C66FF867C}">
                  <a14:compatExt spid="_x0000_s1065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43</xdr:row>
          <xdr:rowOff>12700</xdr:rowOff>
        </xdr:from>
        <xdr:to>
          <xdr:col>1</xdr:col>
          <xdr:colOff>914400</xdr:colOff>
          <xdr:row>43</xdr:row>
          <xdr:rowOff>203200</xdr:rowOff>
        </xdr:to>
        <xdr:sp macro="" textlink="">
          <xdr:nvSpPr>
            <xdr:cNvPr id="106534" name="Option Button 38" hidden="1">
              <a:extLst>
                <a:ext uri="{63B3BB69-23CF-44E3-9099-C40C66FF867C}">
                  <a14:compatExt spid="_x0000_s1065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44</xdr:row>
          <xdr:rowOff>12700</xdr:rowOff>
        </xdr:from>
        <xdr:to>
          <xdr:col>1</xdr:col>
          <xdr:colOff>914400</xdr:colOff>
          <xdr:row>44</xdr:row>
          <xdr:rowOff>203200</xdr:rowOff>
        </xdr:to>
        <xdr:sp macro="" textlink="">
          <xdr:nvSpPr>
            <xdr:cNvPr id="106535" name="Option Button 39" hidden="1">
              <a:extLst>
                <a:ext uri="{63B3BB69-23CF-44E3-9099-C40C66FF867C}">
                  <a14:compatExt spid="_x0000_s1065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45</xdr:row>
          <xdr:rowOff>12700</xdr:rowOff>
        </xdr:from>
        <xdr:to>
          <xdr:col>1</xdr:col>
          <xdr:colOff>914400</xdr:colOff>
          <xdr:row>45</xdr:row>
          <xdr:rowOff>203200</xdr:rowOff>
        </xdr:to>
        <xdr:sp macro="" textlink="">
          <xdr:nvSpPr>
            <xdr:cNvPr id="106536" name="Option Button 40" hidden="1">
              <a:extLst>
                <a:ext uri="{63B3BB69-23CF-44E3-9099-C40C66FF867C}">
                  <a14:compatExt spid="_x0000_s1065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46</xdr:row>
          <xdr:rowOff>12700</xdr:rowOff>
        </xdr:from>
        <xdr:to>
          <xdr:col>1</xdr:col>
          <xdr:colOff>914400</xdr:colOff>
          <xdr:row>46</xdr:row>
          <xdr:rowOff>203200</xdr:rowOff>
        </xdr:to>
        <xdr:sp macro="" textlink="">
          <xdr:nvSpPr>
            <xdr:cNvPr id="106537" name="Option Button 41" hidden="1">
              <a:extLst>
                <a:ext uri="{63B3BB69-23CF-44E3-9099-C40C66FF867C}">
                  <a14:compatExt spid="_x0000_s1065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47</xdr:row>
          <xdr:rowOff>12700</xdr:rowOff>
        </xdr:from>
        <xdr:to>
          <xdr:col>1</xdr:col>
          <xdr:colOff>914400</xdr:colOff>
          <xdr:row>47</xdr:row>
          <xdr:rowOff>203200</xdr:rowOff>
        </xdr:to>
        <xdr:sp macro="" textlink="">
          <xdr:nvSpPr>
            <xdr:cNvPr id="106538" name="Option Button 42" hidden="1">
              <a:extLst>
                <a:ext uri="{63B3BB69-23CF-44E3-9099-C40C66FF867C}">
                  <a14:compatExt spid="_x0000_s1065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48</xdr:row>
          <xdr:rowOff>12700</xdr:rowOff>
        </xdr:from>
        <xdr:to>
          <xdr:col>1</xdr:col>
          <xdr:colOff>914400</xdr:colOff>
          <xdr:row>48</xdr:row>
          <xdr:rowOff>203200</xdr:rowOff>
        </xdr:to>
        <xdr:sp macro="" textlink="">
          <xdr:nvSpPr>
            <xdr:cNvPr id="106539" name="Option Button 43" hidden="1">
              <a:extLst>
                <a:ext uri="{63B3BB69-23CF-44E3-9099-C40C66FF867C}">
                  <a14:compatExt spid="_x0000_s1065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49</xdr:row>
          <xdr:rowOff>12700</xdr:rowOff>
        </xdr:from>
        <xdr:to>
          <xdr:col>1</xdr:col>
          <xdr:colOff>914400</xdr:colOff>
          <xdr:row>49</xdr:row>
          <xdr:rowOff>203200</xdr:rowOff>
        </xdr:to>
        <xdr:sp macro="" textlink="">
          <xdr:nvSpPr>
            <xdr:cNvPr id="106540" name="Option Button 44" hidden="1">
              <a:extLst>
                <a:ext uri="{63B3BB69-23CF-44E3-9099-C40C66FF867C}">
                  <a14:compatExt spid="_x0000_s1065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50</xdr:row>
          <xdr:rowOff>12700</xdr:rowOff>
        </xdr:from>
        <xdr:to>
          <xdr:col>1</xdr:col>
          <xdr:colOff>914400</xdr:colOff>
          <xdr:row>50</xdr:row>
          <xdr:rowOff>209550</xdr:rowOff>
        </xdr:to>
        <xdr:sp macro="" textlink="">
          <xdr:nvSpPr>
            <xdr:cNvPr id="106541" name="Option Button 45" hidden="1">
              <a:extLst>
                <a:ext uri="{63B3BB69-23CF-44E3-9099-C40C66FF867C}">
                  <a14:compatExt spid="_x0000_s1065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51</xdr:row>
          <xdr:rowOff>12700</xdr:rowOff>
        </xdr:from>
        <xdr:to>
          <xdr:col>1</xdr:col>
          <xdr:colOff>914400</xdr:colOff>
          <xdr:row>51</xdr:row>
          <xdr:rowOff>203200</xdr:rowOff>
        </xdr:to>
        <xdr:sp macro="" textlink="">
          <xdr:nvSpPr>
            <xdr:cNvPr id="106542" name="Option Button 46" hidden="1">
              <a:extLst>
                <a:ext uri="{63B3BB69-23CF-44E3-9099-C40C66FF867C}">
                  <a14:compatExt spid="_x0000_s1065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52</xdr:row>
          <xdr:rowOff>12700</xdr:rowOff>
        </xdr:from>
        <xdr:to>
          <xdr:col>1</xdr:col>
          <xdr:colOff>914400</xdr:colOff>
          <xdr:row>52</xdr:row>
          <xdr:rowOff>203200</xdr:rowOff>
        </xdr:to>
        <xdr:sp macro="" textlink="">
          <xdr:nvSpPr>
            <xdr:cNvPr id="106543" name="Option Button 47" hidden="1">
              <a:extLst>
                <a:ext uri="{63B3BB69-23CF-44E3-9099-C40C66FF867C}">
                  <a14:compatExt spid="_x0000_s1065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53</xdr:row>
          <xdr:rowOff>12700</xdr:rowOff>
        </xdr:from>
        <xdr:to>
          <xdr:col>1</xdr:col>
          <xdr:colOff>914400</xdr:colOff>
          <xdr:row>53</xdr:row>
          <xdr:rowOff>209550</xdr:rowOff>
        </xdr:to>
        <xdr:sp macro="" textlink="">
          <xdr:nvSpPr>
            <xdr:cNvPr id="106544" name="Option Button 48" hidden="1">
              <a:extLst>
                <a:ext uri="{63B3BB69-23CF-44E3-9099-C40C66FF867C}">
                  <a14:compatExt spid="_x0000_s1065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54</xdr:row>
          <xdr:rowOff>12700</xdr:rowOff>
        </xdr:from>
        <xdr:to>
          <xdr:col>1</xdr:col>
          <xdr:colOff>914400</xdr:colOff>
          <xdr:row>54</xdr:row>
          <xdr:rowOff>203200</xdr:rowOff>
        </xdr:to>
        <xdr:sp macro="" textlink="">
          <xdr:nvSpPr>
            <xdr:cNvPr id="106545" name="Option Button 49" hidden="1">
              <a:extLst>
                <a:ext uri="{63B3BB69-23CF-44E3-9099-C40C66FF867C}">
                  <a14:compatExt spid="_x0000_s1065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55</xdr:row>
          <xdr:rowOff>12700</xdr:rowOff>
        </xdr:from>
        <xdr:to>
          <xdr:col>1</xdr:col>
          <xdr:colOff>914400</xdr:colOff>
          <xdr:row>55</xdr:row>
          <xdr:rowOff>203200</xdr:rowOff>
        </xdr:to>
        <xdr:sp macro="" textlink="">
          <xdr:nvSpPr>
            <xdr:cNvPr id="106546" name="Option Button 50" hidden="1">
              <a:extLst>
                <a:ext uri="{63B3BB69-23CF-44E3-9099-C40C66FF867C}">
                  <a14:compatExt spid="_x0000_s1065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56</xdr:row>
          <xdr:rowOff>12700</xdr:rowOff>
        </xdr:from>
        <xdr:to>
          <xdr:col>1</xdr:col>
          <xdr:colOff>914400</xdr:colOff>
          <xdr:row>56</xdr:row>
          <xdr:rowOff>203200</xdr:rowOff>
        </xdr:to>
        <xdr:sp macro="" textlink="">
          <xdr:nvSpPr>
            <xdr:cNvPr id="106547" name="Option Button 51" hidden="1">
              <a:extLst>
                <a:ext uri="{63B3BB69-23CF-44E3-9099-C40C66FF867C}">
                  <a14:compatExt spid="_x0000_s1065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57</xdr:row>
          <xdr:rowOff>12700</xdr:rowOff>
        </xdr:from>
        <xdr:to>
          <xdr:col>1</xdr:col>
          <xdr:colOff>914400</xdr:colOff>
          <xdr:row>57</xdr:row>
          <xdr:rowOff>203200</xdr:rowOff>
        </xdr:to>
        <xdr:sp macro="" textlink="">
          <xdr:nvSpPr>
            <xdr:cNvPr id="106548" name="Option Button 52" hidden="1">
              <a:extLst>
                <a:ext uri="{63B3BB69-23CF-44E3-9099-C40C66FF867C}">
                  <a14:compatExt spid="_x0000_s1065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58</xdr:row>
          <xdr:rowOff>12700</xdr:rowOff>
        </xdr:from>
        <xdr:to>
          <xdr:col>1</xdr:col>
          <xdr:colOff>914400</xdr:colOff>
          <xdr:row>58</xdr:row>
          <xdr:rowOff>203200</xdr:rowOff>
        </xdr:to>
        <xdr:sp macro="" textlink="">
          <xdr:nvSpPr>
            <xdr:cNvPr id="106549" name="Option Button 53" hidden="1">
              <a:extLst>
                <a:ext uri="{63B3BB69-23CF-44E3-9099-C40C66FF867C}">
                  <a14:compatExt spid="_x0000_s1065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59</xdr:row>
          <xdr:rowOff>12700</xdr:rowOff>
        </xdr:from>
        <xdr:to>
          <xdr:col>1</xdr:col>
          <xdr:colOff>914400</xdr:colOff>
          <xdr:row>59</xdr:row>
          <xdr:rowOff>203200</xdr:rowOff>
        </xdr:to>
        <xdr:sp macro="" textlink="">
          <xdr:nvSpPr>
            <xdr:cNvPr id="106550" name="Option Button 54" hidden="1">
              <a:extLst>
                <a:ext uri="{63B3BB69-23CF-44E3-9099-C40C66FF867C}">
                  <a14:compatExt spid="_x0000_s1065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60</xdr:row>
          <xdr:rowOff>12700</xdr:rowOff>
        </xdr:from>
        <xdr:to>
          <xdr:col>1</xdr:col>
          <xdr:colOff>914400</xdr:colOff>
          <xdr:row>60</xdr:row>
          <xdr:rowOff>203200</xdr:rowOff>
        </xdr:to>
        <xdr:sp macro="" textlink="">
          <xdr:nvSpPr>
            <xdr:cNvPr id="106551" name="Option Button 55" hidden="1">
              <a:extLst>
                <a:ext uri="{63B3BB69-23CF-44E3-9099-C40C66FF867C}">
                  <a14:compatExt spid="_x0000_s1065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61</xdr:row>
          <xdr:rowOff>12700</xdr:rowOff>
        </xdr:from>
        <xdr:to>
          <xdr:col>1</xdr:col>
          <xdr:colOff>914400</xdr:colOff>
          <xdr:row>61</xdr:row>
          <xdr:rowOff>203200</xdr:rowOff>
        </xdr:to>
        <xdr:sp macro="" textlink="">
          <xdr:nvSpPr>
            <xdr:cNvPr id="106552" name="Option Button 56" hidden="1">
              <a:extLst>
                <a:ext uri="{63B3BB69-23CF-44E3-9099-C40C66FF867C}">
                  <a14:compatExt spid="_x0000_s1065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62</xdr:row>
          <xdr:rowOff>12700</xdr:rowOff>
        </xdr:from>
        <xdr:to>
          <xdr:col>1</xdr:col>
          <xdr:colOff>914400</xdr:colOff>
          <xdr:row>62</xdr:row>
          <xdr:rowOff>203200</xdr:rowOff>
        </xdr:to>
        <xdr:sp macro="" textlink="">
          <xdr:nvSpPr>
            <xdr:cNvPr id="106553" name="Option Button 57" hidden="1">
              <a:extLst>
                <a:ext uri="{63B3BB69-23CF-44E3-9099-C40C66FF867C}">
                  <a14:compatExt spid="_x0000_s1065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63</xdr:row>
          <xdr:rowOff>12700</xdr:rowOff>
        </xdr:from>
        <xdr:to>
          <xdr:col>1</xdr:col>
          <xdr:colOff>914400</xdr:colOff>
          <xdr:row>63</xdr:row>
          <xdr:rowOff>203200</xdr:rowOff>
        </xdr:to>
        <xdr:sp macro="" textlink="">
          <xdr:nvSpPr>
            <xdr:cNvPr id="106554" name="Option Button 58" hidden="1">
              <a:extLst>
                <a:ext uri="{63B3BB69-23CF-44E3-9099-C40C66FF867C}">
                  <a14:compatExt spid="_x0000_s1065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64</xdr:row>
          <xdr:rowOff>12700</xdr:rowOff>
        </xdr:from>
        <xdr:to>
          <xdr:col>1</xdr:col>
          <xdr:colOff>914400</xdr:colOff>
          <xdr:row>64</xdr:row>
          <xdr:rowOff>203200</xdr:rowOff>
        </xdr:to>
        <xdr:sp macro="" textlink="">
          <xdr:nvSpPr>
            <xdr:cNvPr id="106555" name="Option Button 59" hidden="1">
              <a:extLst>
                <a:ext uri="{63B3BB69-23CF-44E3-9099-C40C66FF867C}">
                  <a14:compatExt spid="_x0000_s1065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65</xdr:row>
          <xdr:rowOff>12700</xdr:rowOff>
        </xdr:from>
        <xdr:to>
          <xdr:col>1</xdr:col>
          <xdr:colOff>914400</xdr:colOff>
          <xdr:row>65</xdr:row>
          <xdr:rowOff>203200</xdr:rowOff>
        </xdr:to>
        <xdr:sp macro="" textlink="">
          <xdr:nvSpPr>
            <xdr:cNvPr id="106556" name="Option Button 60" hidden="1">
              <a:extLst>
                <a:ext uri="{63B3BB69-23CF-44E3-9099-C40C66FF867C}">
                  <a14:compatExt spid="_x0000_s1065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66</xdr:row>
          <xdr:rowOff>12700</xdr:rowOff>
        </xdr:from>
        <xdr:to>
          <xdr:col>1</xdr:col>
          <xdr:colOff>914400</xdr:colOff>
          <xdr:row>66</xdr:row>
          <xdr:rowOff>203200</xdr:rowOff>
        </xdr:to>
        <xdr:sp macro="" textlink="">
          <xdr:nvSpPr>
            <xdr:cNvPr id="106557" name="Option Button 61" hidden="1">
              <a:extLst>
                <a:ext uri="{63B3BB69-23CF-44E3-9099-C40C66FF867C}">
                  <a14:compatExt spid="_x0000_s1065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67</xdr:row>
          <xdr:rowOff>12700</xdr:rowOff>
        </xdr:from>
        <xdr:to>
          <xdr:col>1</xdr:col>
          <xdr:colOff>914400</xdr:colOff>
          <xdr:row>67</xdr:row>
          <xdr:rowOff>203200</xdr:rowOff>
        </xdr:to>
        <xdr:sp macro="" textlink="">
          <xdr:nvSpPr>
            <xdr:cNvPr id="106558" name="Option Button 62" hidden="1">
              <a:extLst>
                <a:ext uri="{63B3BB69-23CF-44E3-9099-C40C66FF867C}">
                  <a14:compatExt spid="_x0000_s1065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68</xdr:row>
          <xdr:rowOff>12700</xdr:rowOff>
        </xdr:from>
        <xdr:to>
          <xdr:col>1</xdr:col>
          <xdr:colOff>914400</xdr:colOff>
          <xdr:row>68</xdr:row>
          <xdr:rowOff>203200</xdr:rowOff>
        </xdr:to>
        <xdr:sp macro="" textlink="">
          <xdr:nvSpPr>
            <xdr:cNvPr id="106559" name="Option Button 63" hidden="1">
              <a:extLst>
                <a:ext uri="{63B3BB69-23CF-44E3-9099-C40C66FF867C}">
                  <a14:compatExt spid="_x0000_s1065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69</xdr:row>
          <xdr:rowOff>12700</xdr:rowOff>
        </xdr:from>
        <xdr:to>
          <xdr:col>1</xdr:col>
          <xdr:colOff>914400</xdr:colOff>
          <xdr:row>69</xdr:row>
          <xdr:rowOff>203200</xdr:rowOff>
        </xdr:to>
        <xdr:sp macro="" textlink="">
          <xdr:nvSpPr>
            <xdr:cNvPr id="106560" name="Option Button 64" hidden="1">
              <a:extLst>
                <a:ext uri="{63B3BB69-23CF-44E3-9099-C40C66FF867C}">
                  <a14:compatExt spid="_x0000_s1065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70</xdr:row>
          <xdr:rowOff>12700</xdr:rowOff>
        </xdr:from>
        <xdr:to>
          <xdr:col>1</xdr:col>
          <xdr:colOff>914400</xdr:colOff>
          <xdr:row>70</xdr:row>
          <xdr:rowOff>203200</xdr:rowOff>
        </xdr:to>
        <xdr:sp macro="" textlink="">
          <xdr:nvSpPr>
            <xdr:cNvPr id="106561" name="Option Button 65" hidden="1">
              <a:extLst>
                <a:ext uri="{63B3BB69-23CF-44E3-9099-C40C66FF867C}">
                  <a14:compatExt spid="_x0000_s1065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71</xdr:row>
          <xdr:rowOff>12700</xdr:rowOff>
        </xdr:from>
        <xdr:to>
          <xdr:col>1</xdr:col>
          <xdr:colOff>914400</xdr:colOff>
          <xdr:row>71</xdr:row>
          <xdr:rowOff>203200</xdr:rowOff>
        </xdr:to>
        <xdr:sp macro="" textlink="">
          <xdr:nvSpPr>
            <xdr:cNvPr id="106562" name="Option Button 66" hidden="1">
              <a:extLst>
                <a:ext uri="{63B3BB69-23CF-44E3-9099-C40C66FF867C}">
                  <a14:compatExt spid="_x0000_s1065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72</xdr:row>
          <xdr:rowOff>12700</xdr:rowOff>
        </xdr:from>
        <xdr:to>
          <xdr:col>1</xdr:col>
          <xdr:colOff>914400</xdr:colOff>
          <xdr:row>72</xdr:row>
          <xdr:rowOff>203200</xdr:rowOff>
        </xdr:to>
        <xdr:sp macro="" textlink="">
          <xdr:nvSpPr>
            <xdr:cNvPr id="106563" name="Option Button 67" hidden="1">
              <a:extLst>
                <a:ext uri="{63B3BB69-23CF-44E3-9099-C40C66FF867C}">
                  <a14:compatExt spid="_x0000_s1065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73</xdr:row>
          <xdr:rowOff>12700</xdr:rowOff>
        </xdr:from>
        <xdr:to>
          <xdr:col>1</xdr:col>
          <xdr:colOff>914400</xdr:colOff>
          <xdr:row>73</xdr:row>
          <xdr:rowOff>203200</xdr:rowOff>
        </xdr:to>
        <xdr:sp macro="" textlink="">
          <xdr:nvSpPr>
            <xdr:cNvPr id="106564" name="Option Button 68" hidden="1">
              <a:extLst>
                <a:ext uri="{63B3BB69-23CF-44E3-9099-C40C66FF867C}">
                  <a14:compatExt spid="_x0000_s1065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74</xdr:row>
          <xdr:rowOff>12700</xdr:rowOff>
        </xdr:from>
        <xdr:to>
          <xdr:col>1</xdr:col>
          <xdr:colOff>914400</xdr:colOff>
          <xdr:row>74</xdr:row>
          <xdr:rowOff>203200</xdr:rowOff>
        </xdr:to>
        <xdr:sp macro="" textlink="">
          <xdr:nvSpPr>
            <xdr:cNvPr id="106565" name="Option Button 69" hidden="1">
              <a:extLst>
                <a:ext uri="{63B3BB69-23CF-44E3-9099-C40C66FF867C}">
                  <a14:compatExt spid="_x0000_s1065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75</xdr:row>
          <xdr:rowOff>12700</xdr:rowOff>
        </xdr:from>
        <xdr:to>
          <xdr:col>1</xdr:col>
          <xdr:colOff>914400</xdr:colOff>
          <xdr:row>75</xdr:row>
          <xdr:rowOff>203200</xdr:rowOff>
        </xdr:to>
        <xdr:sp macro="" textlink="">
          <xdr:nvSpPr>
            <xdr:cNvPr id="106566" name="Option Button 70" hidden="1">
              <a:extLst>
                <a:ext uri="{63B3BB69-23CF-44E3-9099-C40C66FF867C}">
                  <a14:compatExt spid="_x0000_s1065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76</xdr:row>
          <xdr:rowOff>12700</xdr:rowOff>
        </xdr:from>
        <xdr:to>
          <xdr:col>1</xdr:col>
          <xdr:colOff>914400</xdr:colOff>
          <xdr:row>76</xdr:row>
          <xdr:rowOff>203200</xdr:rowOff>
        </xdr:to>
        <xdr:sp macro="" textlink="">
          <xdr:nvSpPr>
            <xdr:cNvPr id="106567" name="Option Button 71" hidden="1">
              <a:extLst>
                <a:ext uri="{63B3BB69-23CF-44E3-9099-C40C66FF867C}">
                  <a14:compatExt spid="_x0000_s1065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77</xdr:row>
          <xdr:rowOff>12700</xdr:rowOff>
        </xdr:from>
        <xdr:to>
          <xdr:col>1</xdr:col>
          <xdr:colOff>914400</xdr:colOff>
          <xdr:row>77</xdr:row>
          <xdr:rowOff>203200</xdr:rowOff>
        </xdr:to>
        <xdr:sp macro="" textlink="">
          <xdr:nvSpPr>
            <xdr:cNvPr id="106568" name="Option Button 72" hidden="1">
              <a:extLst>
                <a:ext uri="{63B3BB69-23CF-44E3-9099-C40C66FF867C}">
                  <a14:compatExt spid="_x0000_s1065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78</xdr:row>
          <xdr:rowOff>12700</xdr:rowOff>
        </xdr:from>
        <xdr:to>
          <xdr:col>1</xdr:col>
          <xdr:colOff>914400</xdr:colOff>
          <xdr:row>78</xdr:row>
          <xdr:rowOff>203200</xdr:rowOff>
        </xdr:to>
        <xdr:sp macro="" textlink="">
          <xdr:nvSpPr>
            <xdr:cNvPr id="106569" name="Option Button 73" hidden="1">
              <a:extLst>
                <a:ext uri="{63B3BB69-23CF-44E3-9099-C40C66FF867C}">
                  <a14:compatExt spid="_x0000_s1065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79</xdr:row>
          <xdr:rowOff>12700</xdr:rowOff>
        </xdr:from>
        <xdr:to>
          <xdr:col>1</xdr:col>
          <xdr:colOff>914400</xdr:colOff>
          <xdr:row>79</xdr:row>
          <xdr:rowOff>203200</xdr:rowOff>
        </xdr:to>
        <xdr:sp macro="" textlink="">
          <xdr:nvSpPr>
            <xdr:cNvPr id="106570" name="Option Button 74" hidden="1">
              <a:extLst>
                <a:ext uri="{63B3BB69-23CF-44E3-9099-C40C66FF867C}">
                  <a14:compatExt spid="_x0000_s1065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80</xdr:row>
          <xdr:rowOff>12700</xdr:rowOff>
        </xdr:from>
        <xdr:to>
          <xdr:col>1</xdr:col>
          <xdr:colOff>914400</xdr:colOff>
          <xdr:row>80</xdr:row>
          <xdr:rowOff>203200</xdr:rowOff>
        </xdr:to>
        <xdr:sp macro="" textlink="">
          <xdr:nvSpPr>
            <xdr:cNvPr id="106571" name="Option Button 75" hidden="1">
              <a:extLst>
                <a:ext uri="{63B3BB69-23CF-44E3-9099-C40C66FF867C}">
                  <a14:compatExt spid="_x0000_s1065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81</xdr:row>
          <xdr:rowOff>12700</xdr:rowOff>
        </xdr:from>
        <xdr:to>
          <xdr:col>1</xdr:col>
          <xdr:colOff>914400</xdr:colOff>
          <xdr:row>81</xdr:row>
          <xdr:rowOff>203200</xdr:rowOff>
        </xdr:to>
        <xdr:sp macro="" textlink="">
          <xdr:nvSpPr>
            <xdr:cNvPr id="106572" name="Option Button 76" hidden="1">
              <a:extLst>
                <a:ext uri="{63B3BB69-23CF-44E3-9099-C40C66FF867C}">
                  <a14:compatExt spid="_x0000_s1065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82</xdr:row>
          <xdr:rowOff>12700</xdr:rowOff>
        </xdr:from>
        <xdr:to>
          <xdr:col>1</xdr:col>
          <xdr:colOff>914400</xdr:colOff>
          <xdr:row>82</xdr:row>
          <xdr:rowOff>203200</xdr:rowOff>
        </xdr:to>
        <xdr:sp macro="" textlink="">
          <xdr:nvSpPr>
            <xdr:cNvPr id="106573" name="Option Button 77" hidden="1">
              <a:extLst>
                <a:ext uri="{63B3BB69-23CF-44E3-9099-C40C66FF867C}">
                  <a14:compatExt spid="_x0000_s1065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83</xdr:row>
          <xdr:rowOff>12700</xdr:rowOff>
        </xdr:from>
        <xdr:to>
          <xdr:col>1</xdr:col>
          <xdr:colOff>914400</xdr:colOff>
          <xdr:row>83</xdr:row>
          <xdr:rowOff>203200</xdr:rowOff>
        </xdr:to>
        <xdr:sp macro="" textlink="">
          <xdr:nvSpPr>
            <xdr:cNvPr id="106574" name="Option Button 78" hidden="1">
              <a:extLst>
                <a:ext uri="{63B3BB69-23CF-44E3-9099-C40C66FF867C}">
                  <a14:compatExt spid="_x0000_s1065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84</xdr:row>
          <xdr:rowOff>12700</xdr:rowOff>
        </xdr:from>
        <xdr:to>
          <xdr:col>1</xdr:col>
          <xdr:colOff>914400</xdr:colOff>
          <xdr:row>84</xdr:row>
          <xdr:rowOff>203200</xdr:rowOff>
        </xdr:to>
        <xdr:sp macro="" textlink="">
          <xdr:nvSpPr>
            <xdr:cNvPr id="106575" name="Option Button 79" hidden="1">
              <a:extLst>
                <a:ext uri="{63B3BB69-23CF-44E3-9099-C40C66FF867C}">
                  <a14:compatExt spid="_x0000_s1065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85</xdr:row>
          <xdr:rowOff>12700</xdr:rowOff>
        </xdr:from>
        <xdr:to>
          <xdr:col>1</xdr:col>
          <xdr:colOff>914400</xdr:colOff>
          <xdr:row>85</xdr:row>
          <xdr:rowOff>203200</xdr:rowOff>
        </xdr:to>
        <xdr:sp macro="" textlink="">
          <xdr:nvSpPr>
            <xdr:cNvPr id="106576" name="Option Button 80" hidden="1">
              <a:extLst>
                <a:ext uri="{63B3BB69-23CF-44E3-9099-C40C66FF867C}">
                  <a14:compatExt spid="_x0000_s1065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86</xdr:row>
          <xdr:rowOff>12700</xdr:rowOff>
        </xdr:from>
        <xdr:to>
          <xdr:col>1</xdr:col>
          <xdr:colOff>914400</xdr:colOff>
          <xdr:row>86</xdr:row>
          <xdr:rowOff>203200</xdr:rowOff>
        </xdr:to>
        <xdr:sp macro="" textlink="">
          <xdr:nvSpPr>
            <xdr:cNvPr id="106577" name="Option Button 81" hidden="1">
              <a:extLst>
                <a:ext uri="{63B3BB69-23CF-44E3-9099-C40C66FF867C}">
                  <a14:compatExt spid="_x0000_s1065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87</xdr:row>
          <xdr:rowOff>12700</xdr:rowOff>
        </xdr:from>
        <xdr:to>
          <xdr:col>1</xdr:col>
          <xdr:colOff>914400</xdr:colOff>
          <xdr:row>87</xdr:row>
          <xdr:rowOff>209550</xdr:rowOff>
        </xdr:to>
        <xdr:sp macro="" textlink="">
          <xdr:nvSpPr>
            <xdr:cNvPr id="106578" name="Option Button 82" hidden="1">
              <a:extLst>
                <a:ext uri="{63B3BB69-23CF-44E3-9099-C40C66FF867C}">
                  <a14:compatExt spid="_x0000_s1065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88</xdr:row>
          <xdr:rowOff>12700</xdr:rowOff>
        </xdr:from>
        <xdr:to>
          <xdr:col>1</xdr:col>
          <xdr:colOff>914400</xdr:colOff>
          <xdr:row>88</xdr:row>
          <xdr:rowOff>203200</xdr:rowOff>
        </xdr:to>
        <xdr:sp macro="" textlink="">
          <xdr:nvSpPr>
            <xdr:cNvPr id="106579" name="Option Button 83" hidden="1">
              <a:extLst>
                <a:ext uri="{63B3BB69-23CF-44E3-9099-C40C66FF867C}">
                  <a14:compatExt spid="_x0000_s1065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89</xdr:row>
          <xdr:rowOff>12700</xdr:rowOff>
        </xdr:from>
        <xdr:to>
          <xdr:col>1</xdr:col>
          <xdr:colOff>914400</xdr:colOff>
          <xdr:row>89</xdr:row>
          <xdr:rowOff>203200</xdr:rowOff>
        </xdr:to>
        <xdr:sp macro="" textlink="">
          <xdr:nvSpPr>
            <xdr:cNvPr id="106580" name="Option Button 84" hidden="1">
              <a:extLst>
                <a:ext uri="{63B3BB69-23CF-44E3-9099-C40C66FF867C}">
                  <a14:compatExt spid="_x0000_s1065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90</xdr:row>
          <xdr:rowOff>12700</xdr:rowOff>
        </xdr:from>
        <xdr:to>
          <xdr:col>1</xdr:col>
          <xdr:colOff>914400</xdr:colOff>
          <xdr:row>90</xdr:row>
          <xdr:rowOff>203200</xdr:rowOff>
        </xdr:to>
        <xdr:sp macro="" textlink="">
          <xdr:nvSpPr>
            <xdr:cNvPr id="106581" name="Option Button 85" hidden="1">
              <a:extLst>
                <a:ext uri="{63B3BB69-23CF-44E3-9099-C40C66FF867C}">
                  <a14:compatExt spid="_x0000_s1065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91</xdr:row>
          <xdr:rowOff>12700</xdr:rowOff>
        </xdr:from>
        <xdr:to>
          <xdr:col>1</xdr:col>
          <xdr:colOff>914400</xdr:colOff>
          <xdr:row>91</xdr:row>
          <xdr:rowOff>203200</xdr:rowOff>
        </xdr:to>
        <xdr:sp macro="" textlink="">
          <xdr:nvSpPr>
            <xdr:cNvPr id="106582" name="Option Button 86" hidden="1">
              <a:extLst>
                <a:ext uri="{63B3BB69-23CF-44E3-9099-C40C66FF867C}">
                  <a14:compatExt spid="_x0000_s1065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92</xdr:row>
          <xdr:rowOff>12700</xdr:rowOff>
        </xdr:from>
        <xdr:to>
          <xdr:col>1</xdr:col>
          <xdr:colOff>914400</xdr:colOff>
          <xdr:row>92</xdr:row>
          <xdr:rowOff>203200</xdr:rowOff>
        </xdr:to>
        <xdr:sp macro="" textlink="">
          <xdr:nvSpPr>
            <xdr:cNvPr id="106583" name="Option Button 87" hidden="1">
              <a:extLst>
                <a:ext uri="{63B3BB69-23CF-44E3-9099-C40C66FF867C}">
                  <a14:compatExt spid="_x0000_s1065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93</xdr:row>
          <xdr:rowOff>12700</xdr:rowOff>
        </xdr:from>
        <xdr:to>
          <xdr:col>1</xdr:col>
          <xdr:colOff>914400</xdr:colOff>
          <xdr:row>93</xdr:row>
          <xdr:rowOff>203200</xdr:rowOff>
        </xdr:to>
        <xdr:sp macro="" textlink="">
          <xdr:nvSpPr>
            <xdr:cNvPr id="106584" name="Option Button 88" hidden="1">
              <a:extLst>
                <a:ext uri="{63B3BB69-23CF-44E3-9099-C40C66FF867C}">
                  <a14:compatExt spid="_x0000_s1065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94</xdr:row>
          <xdr:rowOff>12700</xdr:rowOff>
        </xdr:from>
        <xdr:to>
          <xdr:col>1</xdr:col>
          <xdr:colOff>914400</xdr:colOff>
          <xdr:row>94</xdr:row>
          <xdr:rowOff>203200</xdr:rowOff>
        </xdr:to>
        <xdr:sp macro="" textlink="">
          <xdr:nvSpPr>
            <xdr:cNvPr id="106585" name="Option Button 89" hidden="1">
              <a:extLst>
                <a:ext uri="{63B3BB69-23CF-44E3-9099-C40C66FF867C}">
                  <a14:compatExt spid="_x0000_s1065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95</xdr:row>
          <xdr:rowOff>12700</xdr:rowOff>
        </xdr:from>
        <xdr:to>
          <xdr:col>1</xdr:col>
          <xdr:colOff>914400</xdr:colOff>
          <xdr:row>95</xdr:row>
          <xdr:rowOff>203200</xdr:rowOff>
        </xdr:to>
        <xdr:sp macro="" textlink="">
          <xdr:nvSpPr>
            <xdr:cNvPr id="106586" name="Option Button 90" hidden="1">
              <a:extLst>
                <a:ext uri="{63B3BB69-23CF-44E3-9099-C40C66FF867C}">
                  <a14:compatExt spid="_x0000_s1065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96</xdr:row>
          <xdr:rowOff>12700</xdr:rowOff>
        </xdr:from>
        <xdr:to>
          <xdr:col>1</xdr:col>
          <xdr:colOff>914400</xdr:colOff>
          <xdr:row>96</xdr:row>
          <xdr:rowOff>203200</xdr:rowOff>
        </xdr:to>
        <xdr:sp macro="" textlink="">
          <xdr:nvSpPr>
            <xdr:cNvPr id="106587" name="Option Button 91" hidden="1">
              <a:extLst>
                <a:ext uri="{63B3BB69-23CF-44E3-9099-C40C66FF867C}">
                  <a14:compatExt spid="_x0000_s1065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97</xdr:row>
          <xdr:rowOff>12700</xdr:rowOff>
        </xdr:from>
        <xdr:to>
          <xdr:col>1</xdr:col>
          <xdr:colOff>914400</xdr:colOff>
          <xdr:row>97</xdr:row>
          <xdr:rowOff>203200</xdr:rowOff>
        </xdr:to>
        <xdr:sp macro="" textlink="">
          <xdr:nvSpPr>
            <xdr:cNvPr id="106588" name="Option Button 92" hidden="1">
              <a:extLst>
                <a:ext uri="{63B3BB69-23CF-44E3-9099-C40C66FF867C}">
                  <a14:compatExt spid="_x0000_s1065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98</xdr:row>
          <xdr:rowOff>12700</xdr:rowOff>
        </xdr:from>
        <xdr:to>
          <xdr:col>1</xdr:col>
          <xdr:colOff>914400</xdr:colOff>
          <xdr:row>98</xdr:row>
          <xdr:rowOff>203200</xdr:rowOff>
        </xdr:to>
        <xdr:sp macro="" textlink="">
          <xdr:nvSpPr>
            <xdr:cNvPr id="106589" name="Option Button 93" hidden="1">
              <a:extLst>
                <a:ext uri="{63B3BB69-23CF-44E3-9099-C40C66FF867C}">
                  <a14:compatExt spid="_x0000_s1065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99</xdr:row>
          <xdr:rowOff>12700</xdr:rowOff>
        </xdr:from>
        <xdr:to>
          <xdr:col>1</xdr:col>
          <xdr:colOff>914400</xdr:colOff>
          <xdr:row>99</xdr:row>
          <xdr:rowOff>203200</xdr:rowOff>
        </xdr:to>
        <xdr:sp macro="" textlink="">
          <xdr:nvSpPr>
            <xdr:cNvPr id="106590" name="Option Button 94" hidden="1">
              <a:extLst>
                <a:ext uri="{63B3BB69-23CF-44E3-9099-C40C66FF867C}">
                  <a14:compatExt spid="_x0000_s106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100</xdr:row>
          <xdr:rowOff>12700</xdr:rowOff>
        </xdr:from>
        <xdr:to>
          <xdr:col>1</xdr:col>
          <xdr:colOff>914400</xdr:colOff>
          <xdr:row>100</xdr:row>
          <xdr:rowOff>203200</xdr:rowOff>
        </xdr:to>
        <xdr:sp macro="" textlink="">
          <xdr:nvSpPr>
            <xdr:cNvPr id="106591" name="Option Button 95" hidden="1">
              <a:extLst>
                <a:ext uri="{63B3BB69-23CF-44E3-9099-C40C66FF867C}">
                  <a14:compatExt spid="_x0000_s1065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101</xdr:row>
          <xdr:rowOff>12700</xdr:rowOff>
        </xdr:from>
        <xdr:to>
          <xdr:col>1</xdr:col>
          <xdr:colOff>914400</xdr:colOff>
          <xdr:row>101</xdr:row>
          <xdr:rowOff>203200</xdr:rowOff>
        </xdr:to>
        <xdr:sp macro="" textlink="">
          <xdr:nvSpPr>
            <xdr:cNvPr id="106592" name="Option Button 96" hidden="1">
              <a:extLst>
                <a:ext uri="{63B3BB69-23CF-44E3-9099-C40C66FF867C}">
                  <a14:compatExt spid="_x0000_s1065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102</xdr:row>
          <xdr:rowOff>12700</xdr:rowOff>
        </xdr:from>
        <xdr:to>
          <xdr:col>1</xdr:col>
          <xdr:colOff>914400</xdr:colOff>
          <xdr:row>102</xdr:row>
          <xdr:rowOff>203200</xdr:rowOff>
        </xdr:to>
        <xdr:sp macro="" textlink="">
          <xdr:nvSpPr>
            <xdr:cNvPr id="106593" name="Option Button 97" hidden="1">
              <a:extLst>
                <a:ext uri="{63B3BB69-23CF-44E3-9099-C40C66FF867C}">
                  <a14:compatExt spid="_x0000_s1065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103</xdr:row>
          <xdr:rowOff>12700</xdr:rowOff>
        </xdr:from>
        <xdr:to>
          <xdr:col>1</xdr:col>
          <xdr:colOff>914400</xdr:colOff>
          <xdr:row>103</xdr:row>
          <xdr:rowOff>203200</xdr:rowOff>
        </xdr:to>
        <xdr:sp macro="" textlink="">
          <xdr:nvSpPr>
            <xdr:cNvPr id="106594" name="Option Button 98" hidden="1">
              <a:extLst>
                <a:ext uri="{63B3BB69-23CF-44E3-9099-C40C66FF867C}">
                  <a14:compatExt spid="_x0000_s1065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104</xdr:row>
          <xdr:rowOff>12700</xdr:rowOff>
        </xdr:from>
        <xdr:to>
          <xdr:col>1</xdr:col>
          <xdr:colOff>914400</xdr:colOff>
          <xdr:row>104</xdr:row>
          <xdr:rowOff>203200</xdr:rowOff>
        </xdr:to>
        <xdr:sp macro="" textlink="">
          <xdr:nvSpPr>
            <xdr:cNvPr id="106595" name="Option Button 99" hidden="1">
              <a:extLst>
                <a:ext uri="{63B3BB69-23CF-44E3-9099-C40C66FF867C}">
                  <a14:compatExt spid="_x0000_s1065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105</xdr:row>
          <xdr:rowOff>12700</xdr:rowOff>
        </xdr:from>
        <xdr:to>
          <xdr:col>1</xdr:col>
          <xdr:colOff>914400</xdr:colOff>
          <xdr:row>105</xdr:row>
          <xdr:rowOff>203200</xdr:rowOff>
        </xdr:to>
        <xdr:sp macro="" textlink="">
          <xdr:nvSpPr>
            <xdr:cNvPr id="106596" name="Option Button 100" hidden="1">
              <a:extLst>
                <a:ext uri="{63B3BB69-23CF-44E3-9099-C40C66FF867C}">
                  <a14:compatExt spid="_x0000_s1065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106</xdr:row>
          <xdr:rowOff>12700</xdr:rowOff>
        </xdr:from>
        <xdr:to>
          <xdr:col>1</xdr:col>
          <xdr:colOff>914400</xdr:colOff>
          <xdr:row>106</xdr:row>
          <xdr:rowOff>203200</xdr:rowOff>
        </xdr:to>
        <xdr:sp macro="" textlink="">
          <xdr:nvSpPr>
            <xdr:cNvPr id="106597" name="Option Button 101" hidden="1">
              <a:extLst>
                <a:ext uri="{63B3BB69-23CF-44E3-9099-C40C66FF867C}">
                  <a14:compatExt spid="_x0000_s1065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107</xdr:row>
          <xdr:rowOff>12700</xdr:rowOff>
        </xdr:from>
        <xdr:to>
          <xdr:col>1</xdr:col>
          <xdr:colOff>914400</xdr:colOff>
          <xdr:row>107</xdr:row>
          <xdr:rowOff>203200</xdr:rowOff>
        </xdr:to>
        <xdr:sp macro="" textlink="">
          <xdr:nvSpPr>
            <xdr:cNvPr id="106598" name="Option Button 102" hidden="1">
              <a:extLst>
                <a:ext uri="{63B3BB69-23CF-44E3-9099-C40C66FF867C}">
                  <a14:compatExt spid="_x0000_s1065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108</xdr:row>
          <xdr:rowOff>12700</xdr:rowOff>
        </xdr:from>
        <xdr:to>
          <xdr:col>1</xdr:col>
          <xdr:colOff>914400</xdr:colOff>
          <xdr:row>108</xdr:row>
          <xdr:rowOff>203200</xdr:rowOff>
        </xdr:to>
        <xdr:sp macro="" textlink="">
          <xdr:nvSpPr>
            <xdr:cNvPr id="106599" name="Option Button 103" hidden="1">
              <a:extLst>
                <a:ext uri="{63B3BB69-23CF-44E3-9099-C40C66FF867C}">
                  <a14:compatExt spid="_x0000_s1065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109</xdr:row>
          <xdr:rowOff>12700</xdr:rowOff>
        </xdr:from>
        <xdr:to>
          <xdr:col>1</xdr:col>
          <xdr:colOff>914400</xdr:colOff>
          <xdr:row>109</xdr:row>
          <xdr:rowOff>203200</xdr:rowOff>
        </xdr:to>
        <xdr:sp macro="" textlink="">
          <xdr:nvSpPr>
            <xdr:cNvPr id="106600" name="Option Button 104" hidden="1">
              <a:extLst>
                <a:ext uri="{63B3BB69-23CF-44E3-9099-C40C66FF867C}">
                  <a14:compatExt spid="_x0000_s1066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110</xdr:row>
          <xdr:rowOff>12700</xdr:rowOff>
        </xdr:from>
        <xdr:to>
          <xdr:col>1</xdr:col>
          <xdr:colOff>914400</xdr:colOff>
          <xdr:row>110</xdr:row>
          <xdr:rowOff>203200</xdr:rowOff>
        </xdr:to>
        <xdr:sp macro="" textlink="">
          <xdr:nvSpPr>
            <xdr:cNvPr id="106601" name="Option Button 105" hidden="1">
              <a:extLst>
                <a:ext uri="{63B3BB69-23CF-44E3-9099-C40C66FF867C}">
                  <a14:compatExt spid="_x0000_s1066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111</xdr:row>
          <xdr:rowOff>12700</xdr:rowOff>
        </xdr:from>
        <xdr:to>
          <xdr:col>1</xdr:col>
          <xdr:colOff>914400</xdr:colOff>
          <xdr:row>111</xdr:row>
          <xdr:rowOff>203200</xdr:rowOff>
        </xdr:to>
        <xdr:sp macro="" textlink="">
          <xdr:nvSpPr>
            <xdr:cNvPr id="106602" name="Option Button 106" hidden="1">
              <a:extLst>
                <a:ext uri="{63B3BB69-23CF-44E3-9099-C40C66FF867C}">
                  <a14:compatExt spid="_x0000_s1066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112</xdr:row>
          <xdr:rowOff>12700</xdr:rowOff>
        </xdr:from>
        <xdr:to>
          <xdr:col>1</xdr:col>
          <xdr:colOff>914400</xdr:colOff>
          <xdr:row>112</xdr:row>
          <xdr:rowOff>203200</xdr:rowOff>
        </xdr:to>
        <xdr:sp macro="" textlink="">
          <xdr:nvSpPr>
            <xdr:cNvPr id="106603" name="Option Button 107" hidden="1">
              <a:extLst>
                <a:ext uri="{63B3BB69-23CF-44E3-9099-C40C66FF867C}">
                  <a14:compatExt spid="_x0000_s1066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113</xdr:row>
          <xdr:rowOff>12700</xdr:rowOff>
        </xdr:from>
        <xdr:to>
          <xdr:col>1</xdr:col>
          <xdr:colOff>914400</xdr:colOff>
          <xdr:row>113</xdr:row>
          <xdr:rowOff>203200</xdr:rowOff>
        </xdr:to>
        <xdr:sp macro="" textlink="">
          <xdr:nvSpPr>
            <xdr:cNvPr id="106604" name="Option Button 108" hidden="1">
              <a:extLst>
                <a:ext uri="{63B3BB69-23CF-44E3-9099-C40C66FF867C}">
                  <a14:compatExt spid="_x0000_s1066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114</xdr:row>
          <xdr:rowOff>12700</xdr:rowOff>
        </xdr:from>
        <xdr:to>
          <xdr:col>1</xdr:col>
          <xdr:colOff>914400</xdr:colOff>
          <xdr:row>114</xdr:row>
          <xdr:rowOff>203200</xdr:rowOff>
        </xdr:to>
        <xdr:sp macro="" textlink="">
          <xdr:nvSpPr>
            <xdr:cNvPr id="106605" name="Option Button 109" hidden="1">
              <a:extLst>
                <a:ext uri="{63B3BB69-23CF-44E3-9099-C40C66FF867C}">
                  <a14:compatExt spid="_x0000_s1066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115</xdr:row>
          <xdr:rowOff>12700</xdr:rowOff>
        </xdr:from>
        <xdr:to>
          <xdr:col>1</xdr:col>
          <xdr:colOff>914400</xdr:colOff>
          <xdr:row>115</xdr:row>
          <xdr:rowOff>203200</xdr:rowOff>
        </xdr:to>
        <xdr:sp macro="" textlink="">
          <xdr:nvSpPr>
            <xdr:cNvPr id="106606" name="Option Button 110" hidden="1">
              <a:extLst>
                <a:ext uri="{63B3BB69-23CF-44E3-9099-C40C66FF867C}">
                  <a14:compatExt spid="_x0000_s106606"/>
                </a:ext>
              </a:extLst>
            </xdr:cNvPr>
            <xdr:cNvSpPr/>
          </xdr:nvSpPr>
          <xdr:spPr>
            <a:xfrm>
              <a:off x="0" y="0"/>
              <a:ext cx="0" cy="0"/>
            </a:xfrm>
            <a:prstGeom prst="rect">
              <a:avLst/>
            </a:prstGeom>
          </xdr:spPr>
        </xdr:sp>
        <xdr:clientData/>
      </xdr:twoCellAnchor>
    </mc:Choice>
    <mc:Fallback/>
  </mc:AlternateContent>
  <xdr:twoCellAnchor>
    <xdr:from>
      <xdr:col>2</xdr:col>
      <xdr:colOff>336177</xdr:colOff>
      <xdr:row>6</xdr:row>
      <xdr:rowOff>201706</xdr:rowOff>
    </xdr:from>
    <xdr:to>
      <xdr:col>3</xdr:col>
      <xdr:colOff>145670</xdr:colOff>
      <xdr:row>9</xdr:row>
      <xdr:rowOff>39782</xdr:rowOff>
    </xdr:to>
    <xdr:sp macro="" textlink="">
      <xdr:nvSpPr>
        <xdr:cNvPr id="112" name="角丸四角形吹き出し 111"/>
        <xdr:cNvSpPr/>
      </xdr:nvSpPr>
      <xdr:spPr>
        <a:xfrm>
          <a:off x="1658471" y="1770530"/>
          <a:ext cx="3821199" cy="476811"/>
        </a:xfrm>
        <a:prstGeom prst="wedgeRoundRectCallout">
          <a:avLst>
            <a:gd name="adj1" fmla="val -62755"/>
            <a:gd name="adj2" fmla="val -6669"/>
            <a:gd name="adj3" fmla="val 16667"/>
          </a:avLst>
        </a:prstGeom>
        <a:solidFill>
          <a:srgbClr val="FFCCFF">
            <a:alpha val="81000"/>
          </a:srgbClr>
        </a:solid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該当する業種を選択ください。</a:t>
          </a:r>
          <a:endPar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8</xdr:col>
      <xdr:colOff>380999</xdr:colOff>
      <xdr:row>1</xdr:row>
      <xdr:rowOff>201706</xdr:rowOff>
    </xdr:from>
    <xdr:to>
      <xdr:col>15</xdr:col>
      <xdr:colOff>593910</xdr:colOff>
      <xdr:row>4</xdr:row>
      <xdr:rowOff>190500</xdr:rowOff>
    </xdr:to>
    <xdr:sp macro="" textlink="">
      <xdr:nvSpPr>
        <xdr:cNvPr id="113" name="角丸四角形吹き出し 112"/>
        <xdr:cNvSpPr/>
      </xdr:nvSpPr>
      <xdr:spPr>
        <a:xfrm>
          <a:off x="10197352" y="403412"/>
          <a:ext cx="4997823" cy="750794"/>
        </a:xfrm>
        <a:prstGeom prst="wedgeRoundRectCallout">
          <a:avLst>
            <a:gd name="adj1" fmla="val -80096"/>
            <a:gd name="adj2" fmla="val 14227"/>
            <a:gd name="adj3" fmla="val 16667"/>
          </a:avLst>
        </a:prstGeom>
        <a:solidFill>
          <a:sysClr val="window" lastClr="FFFFFF">
            <a:alpha val="80000"/>
          </a:sysClr>
        </a:solid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altLang="ja-JP"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D</a:t>
          </a:r>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列４行目に</a:t>
          </a:r>
          <a:r>
            <a:rPr lang="ja-JP" altLang="en-US" sz="1100" b="1" i="0">
              <a:solidFill>
                <a:srgbClr val="FF0000"/>
              </a:solidFill>
              <a:effectLst/>
              <a:latin typeface="Meiryo UI" panose="020B0604030504040204" pitchFamily="50" charset="-128"/>
              <a:ea typeface="Meiryo UI" panose="020B0604030504040204" pitchFamily="50" charset="-128"/>
              <a:cs typeface="Meiryo UI" panose="020B0604030504040204" pitchFamily="50" charset="-128"/>
            </a:rPr>
            <a:t>「チェックシートのご入力が必要です」　と</a:t>
          </a:r>
          <a:r>
            <a:rPr lang="ja-JP" altLang="en-US" sz="1200" b="1" i="0" u="sng">
              <a:solidFill>
                <a:srgbClr val="FF0000"/>
              </a:solidFill>
              <a:effectLst/>
              <a:latin typeface="Meiryo UI" panose="020B0604030504040204" pitchFamily="50" charset="-128"/>
              <a:ea typeface="Meiryo UI" panose="020B0604030504040204" pitchFamily="50" charset="-128"/>
              <a:cs typeface="Meiryo UI" panose="020B0604030504040204" pitchFamily="50" charset="-128"/>
            </a:rPr>
            <a:t>表示があった場合のみ</a:t>
          </a:r>
          <a:endParaRPr lang="en-US" altLang="ja-JP" sz="1200" b="1" i="0" u="sng">
            <a:solidFill>
              <a:srgbClr val="FF0000"/>
            </a:solidFill>
            <a:effectLst/>
            <a:latin typeface="Meiryo UI" panose="020B0604030504040204" pitchFamily="50" charset="-128"/>
            <a:ea typeface="Meiryo UI" panose="020B0604030504040204" pitchFamily="50" charset="-128"/>
            <a:cs typeface="Meiryo UI" panose="020B0604030504040204" pitchFamily="50" charset="-128"/>
          </a:endParaRPr>
        </a:p>
        <a:p>
          <a:pPr algn="l"/>
          <a:r>
            <a:rPr lang="en-US" altLang="ja-JP"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a:t>
          </a:r>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楽天</a:t>
          </a:r>
          <a:r>
            <a:rPr lang="en-US" altLang="ja-JP"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Edy</a:t>
          </a:r>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用記入シート</a:t>
          </a:r>
          <a:r>
            <a:rPr lang="en-US" altLang="ja-JP"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a:t>
          </a:r>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チェックシートにも入力をお願いします。</a:t>
          </a:r>
          <a:endPar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xdr:col>
      <xdr:colOff>33618</xdr:colOff>
      <xdr:row>5</xdr:row>
      <xdr:rowOff>403410</xdr:rowOff>
    </xdr:from>
    <xdr:to>
      <xdr:col>1</xdr:col>
      <xdr:colOff>1030942</xdr:colOff>
      <xdr:row>117</xdr:row>
      <xdr:rowOff>145676</xdr:rowOff>
    </xdr:to>
    <xdr:sp macro="" textlink="">
      <xdr:nvSpPr>
        <xdr:cNvPr id="114" name="角丸四角形 113"/>
        <xdr:cNvSpPr/>
      </xdr:nvSpPr>
      <xdr:spPr>
        <a:xfrm>
          <a:off x="291353" y="1568822"/>
          <a:ext cx="997324" cy="24137472"/>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13</xdr:col>
      <xdr:colOff>145680</xdr:colOff>
      <xdr:row>1</xdr:row>
      <xdr:rowOff>253340</xdr:rowOff>
    </xdr:from>
    <xdr:ext cx="1505403" cy="133370"/>
    <xdr:sp macro="" textlink="">
      <xdr:nvSpPr>
        <xdr:cNvPr id="2" name="テキスト ボックス 1"/>
        <xdr:cNvSpPr txBox="1"/>
      </xdr:nvSpPr>
      <xdr:spPr>
        <a:xfrm>
          <a:off x="13379827" y="455046"/>
          <a:ext cx="1505403" cy="133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800">
              <a:solidFill>
                <a:srgbClr val="FF0000"/>
              </a:solidFill>
              <a:latin typeface="+mj-ea"/>
              <a:ea typeface="+mj-ea"/>
            </a:rPr>
            <a:t>● ●  ● ● </a:t>
          </a:r>
          <a:r>
            <a:rPr kumimoji="1" lang="ja-JP" altLang="ja-JP" sz="800">
              <a:solidFill>
                <a:srgbClr val="FF0000"/>
              </a:solidFill>
              <a:effectLst/>
              <a:latin typeface="+mj-ea"/>
              <a:ea typeface="+mj-ea"/>
              <a:cs typeface="+mn-cs"/>
            </a:rPr>
            <a:t>● ● </a:t>
          </a:r>
          <a:r>
            <a:rPr kumimoji="1" lang="en-US" altLang="ja-JP" sz="800">
              <a:solidFill>
                <a:srgbClr val="FF0000"/>
              </a:solidFill>
              <a:effectLst/>
              <a:latin typeface="+mj-ea"/>
              <a:ea typeface="+mj-ea"/>
              <a:cs typeface="+mn-cs"/>
            </a:rPr>
            <a:t> </a:t>
          </a:r>
          <a:r>
            <a:rPr kumimoji="1" lang="ja-JP" altLang="ja-JP" sz="800">
              <a:solidFill>
                <a:srgbClr val="FF0000"/>
              </a:solidFill>
              <a:effectLst/>
              <a:latin typeface="+mj-ea"/>
              <a:ea typeface="+mj-ea"/>
              <a:cs typeface="+mn-cs"/>
            </a:rPr>
            <a:t>● </a:t>
          </a:r>
          <a:r>
            <a:rPr kumimoji="1" lang="en-US" altLang="ja-JP" sz="800">
              <a:solidFill>
                <a:srgbClr val="FF0000"/>
              </a:solidFill>
              <a:effectLst/>
              <a:latin typeface="+mj-ea"/>
              <a:ea typeface="+mj-ea"/>
              <a:cs typeface="+mn-cs"/>
            </a:rPr>
            <a:t> </a:t>
          </a:r>
          <a:r>
            <a:rPr kumimoji="1" lang="ja-JP" altLang="ja-JP" sz="800">
              <a:solidFill>
                <a:srgbClr val="FF0000"/>
              </a:solidFill>
              <a:effectLst/>
              <a:latin typeface="+mj-ea"/>
              <a:ea typeface="+mj-ea"/>
              <a:cs typeface="+mn-cs"/>
            </a:rPr>
            <a:t>● </a:t>
          </a:r>
          <a:r>
            <a:rPr kumimoji="1" lang="en-US" altLang="ja-JP" sz="800">
              <a:solidFill>
                <a:srgbClr val="FF0000"/>
              </a:solidFill>
              <a:effectLst/>
              <a:latin typeface="+mj-ea"/>
              <a:ea typeface="+mj-ea"/>
              <a:cs typeface="+mn-cs"/>
            </a:rPr>
            <a:t> </a:t>
          </a:r>
          <a:r>
            <a:rPr kumimoji="1" lang="ja-JP" altLang="ja-JP" sz="800">
              <a:solidFill>
                <a:srgbClr val="FF0000"/>
              </a:solidFill>
              <a:effectLst/>
              <a:latin typeface="+mj-ea"/>
              <a:ea typeface="+mj-ea"/>
              <a:cs typeface="+mn-cs"/>
            </a:rPr>
            <a:t>●</a:t>
          </a:r>
          <a:r>
            <a:rPr kumimoji="1" lang="en-US" altLang="ja-JP" sz="800">
              <a:solidFill>
                <a:srgbClr val="FF0000"/>
              </a:solidFill>
              <a:effectLst/>
              <a:latin typeface="+mj-ea"/>
              <a:ea typeface="+mj-ea"/>
              <a:cs typeface="+mn-cs"/>
            </a:rPr>
            <a:t> </a:t>
          </a:r>
          <a:r>
            <a:rPr kumimoji="1" lang="ja-JP" altLang="ja-JP" sz="800">
              <a:solidFill>
                <a:srgbClr val="FF0000"/>
              </a:solidFill>
              <a:effectLst/>
              <a:latin typeface="+mj-ea"/>
              <a:ea typeface="+mj-ea"/>
              <a:cs typeface="+mn-cs"/>
            </a:rPr>
            <a:t>●</a:t>
          </a:r>
          <a:endParaRPr lang="ja-JP" altLang="ja-JP" sz="800">
            <a:solidFill>
              <a:srgbClr val="FF0000"/>
            </a:solidFill>
            <a:effectLst/>
            <a:latin typeface="+mj-ea"/>
            <a:ea typeface="+mj-ea"/>
          </a:endParaRPr>
        </a:p>
      </xdr:txBody>
    </xdr:sp>
    <xdr:clientData/>
  </xdr:oneCellAnchor>
  <xdr:twoCellAnchor>
    <xdr:from>
      <xdr:col>2</xdr:col>
      <xdr:colOff>2196353</xdr:colOff>
      <xdr:row>0</xdr:row>
      <xdr:rowOff>67235</xdr:rowOff>
    </xdr:from>
    <xdr:to>
      <xdr:col>3</xdr:col>
      <xdr:colOff>2005846</xdr:colOff>
      <xdr:row>1</xdr:row>
      <xdr:rowOff>342340</xdr:rowOff>
    </xdr:to>
    <xdr:sp macro="" textlink="">
      <xdr:nvSpPr>
        <xdr:cNvPr id="117" name="角丸四角形吹き出し 116"/>
        <xdr:cNvSpPr/>
      </xdr:nvSpPr>
      <xdr:spPr>
        <a:xfrm>
          <a:off x="3518647" y="67235"/>
          <a:ext cx="3821199" cy="476811"/>
        </a:xfrm>
        <a:prstGeom prst="wedgeRoundRectCallout">
          <a:avLst>
            <a:gd name="adj1" fmla="val -62755"/>
            <a:gd name="adj2" fmla="val -6669"/>
            <a:gd name="adj3" fmla="val 16667"/>
          </a:avLst>
        </a:prstGeom>
        <a:solidFill>
          <a:srgbClr val="FFCCFF">
            <a:alpha val="81000"/>
          </a:srgbClr>
        </a:solid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楽天</a:t>
          </a:r>
          <a:r>
            <a:rPr lang="en-US" altLang="ja-JP"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Edy</a:t>
          </a:r>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導入の場合はこちらにて業種選択をお願いします。</a:t>
          </a:r>
          <a:endPar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190500</xdr:colOff>
      <xdr:row>5</xdr:row>
      <xdr:rowOff>85725</xdr:rowOff>
    </xdr:from>
    <xdr:to>
      <xdr:col>3</xdr:col>
      <xdr:colOff>2371725</xdr:colOff>
      <xdr:row>8</xdr:row>
      <xdr:rowOff>133350</xdr:rowOff>
    </xdr:to>
    <xdr:sp macro="" textlink="">
      <xdr:nvSpPr>
        <xdr:cNvPr id="2" name="角丸四角形吹き出し 1"/>
        <xdr:cNvSpPr/>
      </xdr:nvSpPr>
      <xdr:spPr>
        <a:xfrm>
          <a:off x="3648075" y="1152525"/>
          <a:ext cx="2181225" cy="523875"/>
        </a:xfrm>
        <a:prstGeom prst="wedgeRoundRectCallout">
          <a:avLst>
            <a:gd name="adj1" fmla="val -73004"/>
            <a:gd name="adj2" fmla="val -6669"/>
            <a:gd name="adj3" fmla="val 16667"/>
          </a:avLst>
        </a:prstGeom>
        <a:solidFill>
          <a:srgbClr val="FFCCFF"/>
        </a:solid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申請者様の情報入力をお願いします</a:t>
          </a:r>
          <a:endPar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5</xdr:col>
      <xdr:colOff>123825</xdr:colOff>
      <xdr:row>8</xdr:row>
      <xdr:rowOff>38100</xdr:rowOff>
    </xdr:from>
    <xdr:to>
      <xdr:col>7</xdr:col>
      <xdr:colOff>123825</xdr:colOff>
      <xdr:row>11</xdr:row>
      <xdr:rowOff>38100</xdr:rowOff>
    </xdr:to>
    <xdr:sp macro="" textlink="">
      <xdr:nvSpPr>
        <xdr:cNvPr id="3" name="角丸四角形吹き出し 2"/>
        <xdr:cNvSpPr/>
      </xdr:nvSpPr>
      <xdr:spPr>
        <a:xfrm>
          <a:off x="7762875" y="1581150"/>
          <a:ext cx="2181225" cy="523875"/>
        </a:xfrm>
        <a:prstGeom prst="wedgeRoundRectCallout">
          <a:avLst>
            <a:gd name="adj1" fmla="val -69074"/>
            <a:gd name="adj2" fmla="val 44240"/>
            <a:gd name="adj3" fmla="val 16667"/>
          </a:avLst>
        </a:prstGeom>
        <a:solidFill>
          <a:srgbClr val="FFCCFF"/>
        </a:solid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確認結果の入力をお願いします。</a:t>
          </a:r>
          <a:endPar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xdr:col>
      <xdr:colOff>2676525</xdr:colOff>
      <xdr:row>11</xdr:row>
      <xdr:rowOff>38100</xdr:rowOff>
    </xdr:from>
    <xdr:to>
      <xdr:col>5</xdr:col>
      <xdr:colOff>19050</xdr:colOff>
      <xdr:row>45</xdr:row>
      <xdr:rowOff>9525</xdr:rowOff>
    </xdr:to>
    <xdr:sp macro="" textlink="">
      <xdr:nvSpPr>
        <xdr:cNvPr id="4" name="角丸四角形 3"/>
        <xdr:cNvSpPr/>
      </xdr:nvSpPr>
      <xdr:spPr>
        <a:xfrm>
          <a:off x="6134100" y="2105025"/>
          <a:ext cx="1524000" cy="792480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438150</xdr:colOff>
          <xdr:row>6</xdr:row>
          <xdr:rowOff>31750</xdr:rowOff>
        </xdr:from>
        <xdr:to>
          <xdr:col>1</xdr:col>
          <xdr:colOff>990600</xdr:colOff>
          <xdr:row>6</xdr:row>
          <xdr:rowOff>184150</xdr:rowOff>
        </xdr:to>
        <xdr:sp macro="" textlink="">
          <xdr:nvSpPr>
            <xdr:cNvPr id="144385" name="Option Button 1" hidden="1">
              <a:extLst>
                <a:ext uri="{63B3BB69-23CF-44E3-9099-C40C66FF867C}">
                  <a14:compatExt spid="_x0000_s1443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xdr:row>
          <xdr:rowOff>31750</xdr:rowOff>
        </xdr:from>
        <xdr:to>
          <xdr:col>1</xdr:col>
          <xdr:colOff>990600</xdr:colOff>
          <xdr:row>7</xdr:row>
          <xdr:rowOff>184150</xdr:rowOff>
        </xdr:to>
        <xdr:sp macro="" textlink="">
          <xdr:nvSpPr>
            <xdr:cNvPr id="144386" name="Option Button 2" hidden="1">
              <a:extLst>
                <a:ext uri="{63B3BB69-23CF-44E3-9099-C40C66FF867C}">
                  <a14:compatExt spid="_x0000_s1443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xdr:row>
          <xdr:rowOff>31750</xdr:rowOff>
        </xdr:from>
        <xdr:to>
          <xdr:col>1</xdr:col>
          <xdr:colOff>990600</xdr:colOff>
          <xdr:row>8</xdr:row>
          <xdr:rowOff>184150</xdr:rowOff>
        </xdr:to>
        <xdr:sp macro="" textlink="">
          <xdr:nvSpPr>
            <xdr:cNvPr id="144387" name="Option Button 3" hidden="1">
              <a:extLst>
                <a:ext uri="{63B3BB69-23CF-44E3-9099-C40C66FF867C}">
                  <a14:compatExt spid="_x0000_s1443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xdr:row>
          <xdr:rowOff>31750</xdr:rowOff>
        </xdr:from>
        <xdr:to>
          <xdr:col>1</xdr:col>
          <xdr:colOff>990600</xdr:colOff>
          <xdr:row>9</xdr:row>
          <xdr:rowOff>184150</xdr:rowOff>
        </xdr:to>
        <xdr:sp macro="" textlink="">
          <xdr:nvSpPr>
            <xdr:cNvPr id="144388" name="Option Button 4" hidden="1">
              <a:extLst>
                <a:ext uri="{63B3BB69-23CF-44E3-9099-C40C66FF867C}">
                  <a14:compatExt spid="_x0000_s1443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xdr:row>
          <xdr:rowOff>31750</xdr:rowOff>
        </xdr:from>
        <xdr:to>
          <xdr:col>1</xdr:col>
          <xdr:colOff>990600</xdr:colOff>
          <xdr:row>10</xdr:row>
          <xdr:rowOff>184150</xdr:rowOff>
        </xdr:to>
        <xdr:sp macro="" textlink="">
          <xdr:nvSpPr>
            <xdr:cNvPr id="144389" name="Option Button 5" hidden="1">
              <a:extLst>
                <a:ext uri="{63B3BB69-23CF-44E3-9099-C40C66FF867C}">
                  <a14:compatExt spid="_x0000_s1443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xdr:row>
          <xdr:rowOff>31750</xdr:rowOff>
        </xdr:from>
        <xdr:to>
          <xdr:col>1</xdr:col>
          <xdr:colOff>990600</xdr:colOff>
          <xdr:row>11</xdr:row>
          <xdr:rowOff>184150</xdr:rowOff>
        </xdr:to>
        <xdr:sp macro="" textlink="">
          <xdr:nvSpPr>
            <xdr:cNvPr id="144390" name="Option Button 6" hidden="1">
              <a:extLst>
                <a:ext uri="{63B3BB69-23CF-44E3-9099-C40C66FF867C}">
                  <a14:compatExt spid="_x0000_s1443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12</xdr:row>
          <xdr:rowOff>31750</xdr:rowOff>
        </xdr:from>
        <xdr:to>
          <xdr:col>1</xdr:col>
          <xdr:colOff>990600</xdr:colOff>
          <xdr:row>12</xdr:row>
          <xdr:rowOff>184150</xdr:rowOff>
        </xdr:to>
        <xdr:sp macro="" textlink="">
          <xdr:nvSpPr>
            <xdr:cNvPr id="144391" name="Option Button 7" hidden="1">
              <a:extLst>
                <a:ext uri="{63B3BB69-23CF-44E3-9099-C40C66FF867C}">
                  <a14:compatExt spid="_x0000_s1443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13</xdr:row>
          <xdr:rowOff>31750</xdr:rowOff>
        </xdr:from>
        <xdr:to>
          <xdr:col>1</xdr:col>
          <xdr:colOff>990600</xdr:colOff>
          <xdr:row>13</xdr:row>
          <xdr:rowOff>184150</xdr:rowOff>
        </xdr:to>
        <xdr:sp macro="" textlink="">
          <xdr:nvSpPr>
            <xdr:cNvPr id="144392" name="Option Button 8" hidden="1">
              <a:extLst>
                <a:ext uri="{63B3BB69-23CF-44E3-9099-C40C66FF867C}">
                  <a14:compatExt spid="_x0000_s1443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14</xdr:row>
          <xdr:rowOff>31750</xdr:rowOff>
        </xdr:from>
        <xdr:to>
          <xdr:col>1</xdr:col>
          <xdr:colOff>990600</xdr:colOff>
          <xdr:row>14</xdr:row>
          <xdr:rowOff>184150</xdr:rowOff>
        </xdr:to>
        <xdr:sp macro="" textlink="">
          <xdr:nvSpPr>
            <xdr:cNvPr id="144393" name="Option Button 9" hidden="1">
              <a:extLst>
                <a:ext uri="{63B3BB69-23CF-44E3-9099-C40C66FF867C}">
                  <a14:compatExt spid="_x0000_s1443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15</xdr:row>
          <xdr:rowOff>31750</xdr:rowOff>
        </xdr:from>
        <xdr:to>
          <xdr:col>1</xdr:col>
          <xdr:colOff>990600</xdr:colOff>
          <xdr:row>15</xdr:row>
          <xdr:rowOff>184150</xdr:rowOff>
        </xdr:to>
        <xdr:sp macro="" textlink="">
          <xdr:nvSpPr>
            <xdr:cNvPr id="144394" name="Option Button 10" hidden="1">
              <a:extLst>
                <a:ext uri="{63B3BB69-23CF-44E3-9099-C40C66FF867C}">
                  <a14:compatExt spid="_x0000_s1443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16</xdr:row>
          <xdr:rowOff>31750</xdr:rowOff>
        </xdr:from>
        <xdr:to>
          <xdr:col>1</xdr:col>
          <xdr:colOff>990600</xdr:colOff>
          <xdr:row>16</xdr:row>
          <xdr:rowOff>184150</xdr:rowOff>
        </xdr:to>
        <xdr:sp macro="" textlink="">
          <xdr:nvSpPr>
            <xdr:cNvPr id="144395" name="Option Button 11" hidden="1">
              <a:extLst>
                <a:ext uri="{63B3BB69-23CF-44E3-9099-C40C66FF867C}">
                  <a14:compatExt spid="_x0000_s1443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17</xdr:row>
          <xdr:rowOff>31750</xdr:rowOff>
        </xdr:from>
        <xdr:to>
          <xdr:col>1</xdr:col>
          <xdr:colOff>990600</xdr:colOff>
          <xdr:row>17</xdr:row>
          <xdr:rowOff>184150</xdr:rowOff>
        </xdr:to>
        <xdr:sp macro="" textlink="">
          <xdr:nvSpPr>
            <xdr:cNvPr id="144396" name="Option Button 12" hidden="1">
              <a:extLst>
                <a:ext uri="{63B3BB69-23CF-44E3-9099-C40C66FF867C}">
                  <a14:compatExt spid="_x0000_s1443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18</xdr:row>
          <xdr:rowOff>31750</xdr:rowOff>
        </xdr:from>
        <xdr:to>
          <xdr:col>1</xdr:col>
          <xdr:colOff>990600</xdr:colOff>
          <xdr:row>18</xdr:row>
          <xdr:rowOff>184150</xdr:rowOff>
        </xdr:to>
        <xdr:sp macro="" textlink="">
          <xdr:nvSpPr>
            <xdr:cNvPr id="144397" name="Option Button 13" hidden="1">
              <a:extLst>
                <a:ext uri="{63B3BB69-23CF-44E3-9099-C40C66FF867C}">
                  <a14:compatExt spid="_x0000_s1443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19</xdr:row>
          <xdr:rowOff>31750</xdr:rowOff>
        </xdr:from>
        <xdr:to>
          <xdr:col>1</xdr:col>
          <xdr:colOff>990600</xdr:colOff>
          <xdr:row>19</xdr:row>
          <xdr:rowOff>184150</xdr:rowOff>
        </xdr:to>
        <xdr:sp macro="" textlink="">
          <xdr:nvSpPr>
            <xdr:cNvPr id="144398" name="Option Button 14" hidden="1">
              <a:extLst>
                <a:ext uri="{63B3BB69-23CF-44E3-9099-C40C66FF867C}">
                  <a14:compatExt spid="_x0000_s1443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20</xdr:row>
          <xdr:rowOff>31750</xdr:rowOff>
        </xdr:from>
        <xdr:to>
          <xdr:col>1</xdr:col>
          <xdr:colOff>990600</xdr:colOff>
          <xdr:row>20</xdr:row>
          <xdr:rowOff>184150</xdr:rowOff>
        </xdr:to>
        <xdr:sp macro="" textlink="">
          <xdr:nvSpPr>
            <xdr:cNvPr id="144399" name="Option Button 15" hidden="1">
              <a:extLst>
                <a:ext uri="{63B3BB69-23CF-44E3-9099-C40C66FF867C}">
                  <a14:compatExt spid="_x0000_s1443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21</xdr:row>
          <xdr:rowOff>31750</xdr:rowOff>
        </xdr:from>
        <xdr:to>
          <xdr:col>1</xdr:col>
          <xdr:colOff>990600</xdr:colOff>
          <xdr:row>21</xdr:row>
          <xdr:rowOff>184150</xdr:rowOff>
        </xdr:to>
        <xdr:sp macro="" textlink="">
          <xdr:nvSpPr>
            <xdr:cNvPr id="144400" name="Option Button 16" hidden="1">
              <a:extLst>
                <a:ext uri="{63B3BB69-23CF-44E3-9099-C40C66FF867C}">
                  <a14:compatExt spid="_x0000_s1444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22</xdr:row>
          <xdr:rowOff>31750</xdr:rowOff>
        </xdr:from>
        <xdr:to>
          <xdr:col>1</xdr:col>
          <xdr:colOff>990600</xdr:colOff>
          <xdr:row>22</xdr:row>
          <xdr:rowOff>184150</xdr:rowOff>
        </xdr:to>
        <xdr:sp macro="" textlink="">
          <xdr:nvSpPr>
            <xdr:cNvPr id="144401" name="Option Button 17" hidden="1">
              <a:extLst>
                <a:ext uri="{63B3BB69-23CF-44E3-9099-C40C66FF867C}">
                  <a14:compatExt spid="_x0000_s1444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23</xdr:row>
          <xdr:rowOff>31750</xdr:rowOff>
        </xdr:from>
        <xdr:to>
          <xdr:col>1</xdr:col>
          <xdr:colOff>990600</xdr:colOff>
          <xdr:row>23</xdr:row>
          <xdr:rowOff>184150</xdr:rowOff>
        </xdr:to>
        <xdr:sp macro="" textlink="">
          <xdr:nvSpPr>
            <xdr:cNvPr id="144402" name="Option Button 18" hidden="1">
              <a:extLst>
                <a:ext uri="{63B3BB69-23CF-44E3-9099-C40C66FF867C}">
                  <a14:compatExt spid="_x0000_s1444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24</xdr:row>
          <xdr:rowOff>31750</xdr:rowOff>
        </xdr:from>
        <xdr:to>
          <xdr:col>1</xdr:col>
          <xdr:colOff>990600</xdr:colOff>
          <xdr:row>24</xdr:row>
          <xdr:rowOff>184150</xdr:rowOff>
        </xdr:to>
        <xdr:sp macro="" textlink="">
          <xdr:nvSpPr>
            <xdr:cNvPr id="144403" name="Option Button 19" hidden="1">
              <a:extLst>
                <a:ext uri="{63B3BB69-23CF-44E3-9099-C40C66FF867C}">
                  <a14:compatExt spid="_x0000_s1444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25</xdr:row>
          <xdr:rowOff>31750</xdr:rowOff>
        </xdr:from>
        <xdr:to>
          <xdr:col>1</xdr:col>
          <xdr:colOff>990600</xdr:colOff>
          <xdr:row>25</xdr:row>
          <xdr:rowOff>184150</xdr:rowOff>
        </xdr:to>
        <xdr:sp macro="" textlink="">
          <xdr:nvSpPr>
            <xdr:cNvPr id="144404" name="Option Button 20" hidden="1">
              <a:extLst>
                <a:ext uri="{63B3BB69-23CF-44E3-9099-C40C66FF867C}">
                  <a14:compatExt spid="_x0000_s1444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26</xdr:row>
          <xdr:rowOff>31750</xdr:rowOff>
        </xdr:from>
        <xdr:to>
          <xdr:col>1</xdr:col>
          <xdr:colOff>990600</xdr:colOff>
          <xdr:row>26</xdr:row>
          <xdr:rowOff>184150</xdr:rowOff>
        </xdr:to>
        <xdr:sp macro="" textlink="">
          <xdr:nvSpPr>
            <xdr:cNvPr id="144405" name="Option Button 21" hidden="1">
              <a:extLst>
                <a:ext uri="{63B3BB69-23CF-44E3-9099-C40C66FF867C}">
                  <a14:compatExt spid="_x0000_s1444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27</xdr:row>
          <xdr:rowOff>31750</xdr:rowOff>
        </xdr:from>
        <xdr:to>
          <xdr:col>1</xdr:col>
          <xdr:colOff>990600</xdr:colOff>
          <xdr:row>27</xdr:row>
          <xdr:rowOff>184150</xdr:rowOff>
        </xdr:to>
        <xdr:sp macro="" textlink="">
          <xdr:nvSpPr>
            <xdr:cNvPr id="144406" name="Option Button 22" hidden="1">
              <a:extLst>
                <a:ext uri="{63B3BB69-23CF-44E3-9099-C40C66FF867C}">
                  <a14:compatExt spid="_x0000_s1444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28</xdr:row>
          <xdr:rowOff>31750</xdr:rowOff>
        </xdr:from>
        <xdr:to>
          <xdr:col>1</xdr:col>
          <xdr:colOff>990600</xdr:colOff>
          <xdr:row>28</xdr:row>
          <xdr:rowOff>184150</xdr:rowOff>
        </xdr:to>
        <xdr:sp macro="" textlink="">
          <xdr:nvSpPr>
            <xdr:cNvPr id="144407" name="Option Button 23" hidden="1">
              <a:extLst>
                <a:ext uri="{63B3BB69-23CF-44E3-9099-C40C66FF867C}">
                  <a14:compatExt spid="_x0000_s1444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29</xdr:row>
          <xdr:rowOff>31750</xdr:rowOff>
        </xdr:from>
        <xdr:to>
          <xdr:col>1</xdr:col>
          <xdr:colOff>990600</xdr:colOff>
          <xdr:row>29</xdr:row>
          <xdr:rowOff>184150</xdr:rowOff>
        </xdr:to>
        <xdr:sp macro="" textlink="">
          <xdr:nvSpPr>
            <xdr:cNvPr id="144408" name="Option Button 24" hidden="1">
              <a:extLst>
                <a:ext uri="{63B3BB69-23CF-44E3-9099-C40C66FF867C}">
                  <a14:compatExt spid="_x0000_s1444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30</xdr:row>
          <xdr:rowOff>31750</xdr:rowOff>
        </xdr:from>
        <xdr:to>
          <xdr:col>1</xdr:col>
          <xdr:colOff>990600</xdr:colOff>
          <xdr:row>30</xdr:row>
          <xdr:rowOff>184150</xdr:rowOff>
        </xdr:to>
        <xdr:sp macro="" textlink="">
          <xdr:nvSpPr>
            <xdr:cNvPr id="144409" name="Option Button 25" hidden="1">
              <a:extLst>
                <a:ext uri="{63B3BB69-23CF-44E3-9099-C40C66FF867C}">
                  <a14:compatExt spid="_x0000_s1444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31</xdr:row>
          <xdr:rowOff>31750</xdr:rowOff>
        </xdr:from>
        <xdr:to>
          <xdr:col>1</xdr:col>
          <xdr:colOff>990600</xdr:colOff>
          <xdr:row>31</xdr:row>
          <xdr:rowOff>184150</xdr:rowOff>
        </xdr:to>
        <xdr:sp macro="" textlink="">
          <xdr:nvSpPr>
            <xdr:cNvPr id="144410" name="Option Button 26" hidden="1">
              <a:extLst>
                <a:ext uri="{63B3BB69-23CF-44E3-9099-C40C66FF867C}">
                  <a14:compatExt spid="_x0000_s1444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32</xdr:row>
          <xdr:rowOff>31750</xdr:rowOff>
        </xdr:from>
        <xdr:to>
          <xdr:col>1</xdr:col>
          <xdr:colOff>990600</xdr:colOff>
          <xdr:row>32</xdr:row>
          <xdr:rowOff>184150</xdr:rowOff>
        </xdr:to>
        <xdr:sp macro="" textlink="">
          <xdr:nvSpPr>
            <xdr:cNvPr id="144411" name="Option Button 27" hidden="1">
              <a:extLst>
                <a:ext uri="{63B3BB69-23CF-44E3-9099-C40C66FF867C}">
                  <a14:compatExt spid="_x0000_s1444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33</xdr:row>
          <xdr:rowOff>31750</xdr:rowOff>
        </xdr:from>
        <xdr:to>
          <xdr:col>1</xdr:col>
          <xdr:colOff>990600</xdr:colOff>
          <xdr:row>33</xdr:row>
          <xdr:rowOff>184150</xdr:rowOff>
        </xdr:to>
        <xdr:sp macro="" textlink="">
          <xdr:nvSpPr>
            <xdr:cNvPr id="144412" name="Option Button 28" hidden="1">
              <a:extLst>
                <a:ext uri="{63B3BB69-23CF-44E3-9099-C40C66FF867C}">
                  <a14:compatExt spid="_x0000_s1444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34</xdr:row>
          <xdr:rowOff>31750</xdr:rowOff>
        </xdr:from>
        <xdr:to>
          <xdr:col>1</xdr:col>
          <xdr:colOff>990600</xdr:colOff>
          <xdr:row>34</xdr:row>
          <xdr:rowOff>184150</xdr:rowOff>
        </xdr:to>
        <xdr:sp macro="" textlink="">
          <xdr:nvSpPr>
            <xdr:cNvPr id="144413" name="Option Button 29" hidden="1">
              <a:extLst>
                <a:ext uri="{63B3BB69-23CF-44E3-9099-C40C66FF867C}">
                  <a14:compatExt spid="_x0000_s1444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35</xdr:row>
          <xdr:rowOff>31750</xdr:rowOff>
        </xdr:from>
        <xdr:to>
          <xdr:col>1</xdr:col>
          <xdr:colOff>990600</xdr:colOff>
          <xdr:row>35</xdr:row>
          <xdr:rowOff>184150</xdr:rowOff>
        </xdr:to>
        <xdr:sp macro="" textlink="">
          <xdr:nvSpPr>
            <xdr:cNvPr id="144414" name="Option Button 30" hidden="1">
              <a:extLst>
                <a:ext uri="{63B3BB69-23CF-44E3-9099-C40C66FF867C}">
                  <a14:compatExt spid="_x0000_s1444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36</xdr:row>
          <xdr:rowOff>31750</xdr:rowOff>
        </xdr:from>
        <xdr:to>
          <xdr:col>1</xdr:col>
          <xdr:colOff>990600</xdr:colOff>
          <xdr:row>36</xdr:row>
          <xdr:rowOff>184150</xdr:rowOff>
        </xdr:to>
        <xdr:sp macro="" textlink="">
          <xdr:nvSpPr>
            <xdr:cNvPr id="144415" name="Option Button 31" hidden="1">
              <a:extLst>
                <a:ext uri="{63B3BB69-23CF-44E3-9099-C40C66FF867C}">
                  <a14:compatExt spid="_x0000_s1444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37</xdr:row>
          <xdr:rowOff>31750</xdr:rowOff>
        </xdr:from>
        <xdr:to>
          <xdr:col>1</xdr:col>
          <xdr:colOff>990600</xdr:colOff>
          <xdr:row>37</xdr:row>
          <xdr:rowOff>184150</xdr:rowOff>
        </xdr:to>
        <xdr:sp macro="" textlink="">
          <xdr:nvSpPr>
            <xdr:cNvPr id="144416" name="Option Button 32" hidden="1">
              <a:extLst>
                <a:ext uri="{63B3BB69-23CF-44E3-9099-C40C66FF867C}">
                  <a14:compatExt spid="_x0000_s1444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38</xdr:row>
          <xdr:rowOff>31750</xdr:rowOff>
        </xdr:from>
        <xdr:to>
          <xdr:col>1</xdr:col>
          <xdr:colOff>990600</xdr:colOff>
          <xdr:row>38</xdr:row>
          <xdr:rowOff>184150</xdr:rowOff>
        </xdr:to>
        <xdr:sp macro="" textlink="">
          <xdr:nvSpPr>
            <xdr:cNvPr id="144417" name="Option Button 33" hidden="1">
              <a:extLst>
                <a:ext uri="{63B3BB69-23CF-44E3-9099-C40C66FF867C}">
                  <a14:compatExt spid="_x0000_s1444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39</xdr:row>
          <xdr:rowOff>31750</xdr:rowOff>
        </xdr:from>
        <xdr:to>
          <xdr:col>1</xdr:col>
          <xdr:colOff>990600</xdr:colOff>
          <xdr:row>39</xdr:row>
          <xdr:rowOff>184150</xdr:rowOff>
        </xdr:to>
        <xdr:sp macro="" textlink="">
          <xdr:nvSpPr>
            <xdr:cNvPr id="144418" name="Option Button 34" hidden="1">
              <a:extLst>
                <a:ext uri="{63B3BB69-23CF-44E3-9099-C40C66FF867C}">
                  <a14:compatExt spid="_x0000_s1444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40</xdr:row>
          <xdr:rowOff>31750</xdr:rowOff>
        </xdr:from>
        <xdr:to>
          <xdr:col>1</xdr:col>
          <xdr:colOff>990600</xdr:colOff>
          <xdr:row>40</xdr:row>
          <xdr:rowOff>184150</xdr:rowOff>
        </xdr:to>
        <xdr:sp macro="" textlink="">
          <xdr:nvSpPr>
            <xdr:cNvPr id="144419" name="Option Button 35" hidden="1">
              <a:extLst>
                <a:ext uri="{63B3BB69-23CF-44E3-9099-C40C66FF867C}">
                  <a14:compatExt spid="_x0000_s1444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41</xdr:row>
          <xdr:rowOff>31750</xdr:rowOff>
        </xdr:from>
        <xdr:to>
          <xdr:col>1</xdr:col>
          <xdr:colOff>990600</xdr:colOff>
          <xdr:row>41</xdr:row>
          <xdr:rowOff>184150</xdr:rowOff>
        </xdr:to>
        <xdr:sp macro="" textlink="">
          <xdr:nvSpPr>
            <xdr:cNvPr id="144420" name="Option Button 36" hidden="1">
              <a:extLst>
                <a:ext uri="{63B3BB69-23CF-44E3-9099-C40C66FF867C}">
                  <a14:compatExt spid="_x0000_s1444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42</xdr:row>
          <xdr:rowOff>31750</xdr:rowOff>
        </xdr:from>
        <xdr:to>
          <xdr:col>1</xdr:col>
          <xdr:colOff>990600</xdr:colOff>
          <xdr:row>42</xdr:row>
          <xdr:rowOff>184150</xdr:rowOff>
        </xdr:to>
        <xdr:sp macro="" textlink="">
          <xdr:nvSpPr>
            <xdr:cNvPr id="144421" name="Option Button 37" hidden="1">
              <a:extLst>
                <a:ext uri="{63B3BB69-23CF-44E3-9099-C40C66FF867C}">
                  <a14:compatExt spid="_x0000_s1444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43</xdr:row>
          <xdr:rowOff>31750</xdr:rowOff>
        </xdr:from>
        <xdr:to>
          <xdr:col>1</xdr:col>
          <xdr:colOff>990600</xdr:colOff>
          <xdr:row>43</xdr:row>
          <xdr:rowOff>184150</xdr:rowOff>
        </xdr:to>
        <xdr:sp macro="" textlink="">
          <xdr:nvSpPr>
            <xdr:cNvPr id="144422" name="Option Button 38" hidden="1">
              <a:extLst>
                <a:ext uri="{63B3BB69-23CF-44E3-9099-C40C66FF867C}">
                  <a14:compatExt spid="_x0000_s1444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44</xdr:row>
          <xdr:rowOff>31750</xdr:rowOff>
        </xdr:from>
        <xdr:to>
          <xdr:col>1</xdr:col>
          <xdr:colOff>990600</xdr:colOff>
          <xdr:row>44</xdr:row>
          <xdr:rowOff>184150</xdr:rowOff>
        </xdr:to>
        <xdr:sp macro="" textlink="">
          <xdr:nvSpPr>
            <xdr:cNvPr id="144423" name="Option Button 39" hidden="1">
              <a:extLst>
                <a:ext uri="{63B3BB69-23CF-44E3-9099-C40C66FF867C}">
                  <a14:compatExt spid="_x0000_s1444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45</xdr:row>
          <xdr:rowOff>31750</xdr:rowOff>
        </xdr:from>
        <xdr:to>
          <xdr:col>1</xdr:col>
          <xdr:colOff>990600</xdr:colOff>
          <xdr:row>45</xdr:row>
          <xdr:rowOff>184150</xdr:rowOff>
        </xdr:to>
        <xdr:sp macro="" textlink="">
          <xdr:nvSpPr>
            <xdr:cNvPr id="144424" name="Option Button 40" hidden="1">
              <a:extLst>
                <a:ext uri="{63B3BB69-23CF-44E3-9099-C40C66FF867C}">
                  <a14:compatExt spid="_x0000_s1444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46</xdr:row>
          <xdr:rowOff>31750</xdr:rowOff>
        </xdr:from>
        <xdr:to>
          <xdr:col>1</xdr:col>
          <xdr:colOff>990600</xdr:colOff>
          <xdr:row>46</xdr:row>
          <xdr:rowOff>184150</xdr:rowOff>
        </xdr:to>
        <xdr:sp macro="" textlink="">
          <xdr:nvSpPr>
            <xdr:cNvPr id="144425" name="Option Button 41" hidden="1">
              <a:extLst>
                <a:ext uri="{63B3BB69-23CF-44E3-9099-C40C66FF867C}">
                  <a14:compatExt spid="_x0000_s1444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47</xdr:row>
          <xdr:rowOff>31750</xdr:rowOff>
        </xdr:from>
        <xdr:to>
          <xdr:col>1</xdr:col>
          <xdr:colOff>990600</xdr:colOff>
          <xdr:row>47</xdr:row>
          <xdr:rowOff>184150</xdr:rowOff>
        </xdr:to>
        <xdr:sp macro="" textlink="">
          <xdr:nvSpPr>
            <xdr:cNvPr id="144426" name="Option Button 42" hidden="1">
              <a:extLst>
                <a:ext uri="{63B3BB69-23CF-44E3-9099-C40C66FF867C}">
                  <a14:compatExt spid="_x0000_s1444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48</xdr:row>
          <xdr:rowOff>31750</xdr:rowOff>
        </xdr:from>
        <xdr:to>
          <xdr:col>1</xdr:col>
          <xdr:colOff>990600</xdr:colOff>
          <xdr:row>48</xdr:row>
          <xdr:rowOff>184150</xdr:rowOff>
        </xdr:to>
        <xdr:sp macro="" textlink="">
          <xdr:nvSpPr>
            <xdr:cNvPr id="144427" name="Option Button 43" hidden="1">
              <a:extLst>
                <a:ext uri="{63B3BB69-23CF-44E3-9099-C40C66FF867C}">
                  <a14:compatExt spid="_x0000_s1444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49</xdr:row>
          <xdr:rowOff>31750</xdr:rowOff>
        </xdr:from>
        <xdr:to>
          <xdr:col>1</xdr:col>
          <xdr:colOff>990600</xdr:colOff>
          <xdr:row>49</xdr:row>
          <xdr:rowOff>184150</xdr:rowOff>
        </xdr:to>
        <xdr:sp macro="" textlink="">
          <xdr:nvSpPr>
            <xdr:cNvPr id="144428" name="Option Button 44" hidden="1">
              <a:extLst>
                <a:ext uri="{63B3BB69-23CF-44E3-9099-C40C66FF867C}">
                  <a14:compatExt spid="_x0000_s1444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50</xdr:row>
          <xdr:rowOff>31750</xdr:rowOff>
        </xdr:from>
        <xdr:to>
          <xdr:col>1</xdr:col>
          <xdr:colOff>990600</xdr:colOff>
          <xdr:row>50</xdr:row>
          <xdr:rowOff>184150</xdr:rowOff>
        </xdr:to>
        <xdr:sp macro="" textlink="">
          <xdr:nvSpPr>
            <xdr:cNvPr id="144429" name="Option Button 45" hidden="1">
              <a:extLst>
                <a:ext uri="{63B3BB69-23CF-44E3-9099-C40C66FF867C}">
                  <a14:compatExt spid="_x0000_s1444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51</xdr:row>
          <xdr:rowOff>31750</xdr:rowOff>
        </xdr:from>
        <xdr:to>
          <xdr:col>1</xdr:col>
          <xdr:colOff>990600</xdr:colOff>
          <xdr:row>51</xdr:row>
          <xdr:rowOff>184150</xdr:rowOff>
        </xdr:to>
        <xdr:sp macro="" textlink="">
          <xdr:nvSpPr>
            <xdr:cNvPr id="144430" name="Option Button 46" hidden="1">
              <a:extLst>
                <a:ext uri="{63B3BB69-23CF-44E3-9099-C40C66FF867C}">
                  <a14:compatExt spid="_x0000_s1444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52</xdr:row>
          <xdr:rowOff>31750</xdr:rowOff>
        </xdr:from>
        <xdr:to>
          <xdr:col>1</xdr:col>
          <xdr:colOff>990600</xdr:colOff>
          <xdr:row>52</xdr:row>
          <xdr:rowOff>184150</xdr:rowOff>
        </xdr:to>
        <xdr:sp macro="" textlink="">
          <xdr:nvSpPr>
            <xdr:cNvPr id="144431" name="Option Button 47" hidden="1">
              <a:extLst>
                <a:ext uri="{63B3BB69-23CF-44E3-9099-C40C66FF867C}">
                  <a14:compatExt spid="_x0000_s1444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53</xdr:row>
          <xdr:rowOff>31750</xdr:rowOff>
        </xdr:from>
        <xdr:to>
          <xdr:col>1</xdr:col>
          <xdr:colOff>990600</xdr:colOff>
          <xdr:row>53</xdr:row>
          <xdr:rowOff>184150</xdr:rowOff>
        </xdr:to>
        <xdr:sp macro="" textlink="">
          <xdr:nvSpPr>
            <xdr:cNvPr id="144432" name="Option Button 48" hidden="1">
              <a:extLst>
                <a:ext uri="{63B3BB69-23CF-44E3-9099-C40C66FF867C}">
                  <a14:compatExt spid="_x0000_s1444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54</xdr:row>
          <xdr:rowOff>31750</xdr:rowOff>
        </xdr:from>
        <xdr:to>
          <xdr:col>1</xdr:col>
          <xdr:colOff>990600</xdr:colOff>
          <xdr:row>54</xdr:row>
          <xdr:rowOff>184150</xdr:rowOff>
        </xdr:to>
        <xdr:sp macro="" textlink="">
          <xdr:nvSpPr>
            <xdr:cNvPr id="144433" name="Option Button 49" hidden="1">
              <a:extLst>
                <a:ext uri="{63B3BB69-23CF-44E3-9099-C40C66FF867C}">
                  <a14:compatExt spid="_x0000_s1444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55</xdr:row>
          <xdr:rowOff>31750</xdr:rowOff>
        </xdr:from>
        <xdr:to>
          <xdr:col>1</xdr:col>
          <xdr:colOff>990600</xdr:colOff>
          <xdr:row>55</xdr:row>
          <xdr:rowOff>184150</xdr:rowOff>
        </xdr:to>
        <xdr:sp macro="" textlink="">
          <xdr:nvSpPr>
            <xdr:cNvPr id="144434" name="Option Button 50" hidden="1">
              <a:extLst>
                <a:ext uri="{63B3BB69-23CF-44E3-9099-C40C66FF867C}">
                  <a14:compatExt spid="_x0000_s144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56</xdr:row>
          <xdr:rowOff>31750</xdr:rowOff>
        </xdr:from>
        <xdr:to>
          <xdr:col>1</xdr:col>
          <xdr:colOff>990600</xdr:colOff>
          <xdr:row>56</xdr:row>
          <xdr:rowOff>184150</xdr:rowOff>
        </xdr:to>
        <xdr:sp macro="" textlink="">
          <xdr:nvSpPr>
            <xdr:cNvPr id="144435" name="Option Button 51" hidden="1">
              <a:extLst>
                <a:ext uri="{63B3BB69-23CF-44E3-9099-C40C66FF867C}">
                  <a14:compatExt spid="_x0000_s1444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57</xdr:row>
          <xdr:rowOff>31750</xdr:rowOff>
        </xdr:from>
        <xdr:to>
          <xdr:col>1</xdr:col>
          <xdr:colOff>990600</xdr:colOff>
          <xdr:row>57</xdr:row>
          <xdr:rowOff>184150</xdr:rowOff>
        </xdr:to>
        <xdr:sp macro="" textlink="">
          <xdr:nvSpPr>
            <xdr:cNvPr id="144436" name="Option Button 52" hidden="1">
              <a:extLst>
                <a:ext uri="{63B3BB69-23CF-44E3-9099-C40C66FF867C}">
                  <a14:compatExt spid="_x0000_s1444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58</xdr:row>
          <xdr:rowOff>31750</xdr:rowOff>
        </xdr:from>
        <xdr:to>
          <xdr:col>1</xdr:col>
          <xdr:colOff>990600</xdr:colOff>
          <xdr:row>58</xdr:row>
          <xdr:rowOff>184150</xdr:rowOff>
        </xdr:to>
        <xdr:sp macro="" textlink="">
          <xdr:nvSpPr>
            <xdr:cNvPr id="144437" name="Option Button 53" hidden="1">
              <a:extLst>
                <a:ext uri="{63B3BB69-23CF-44E3-9099-C40C66FF867C}">
                  <a14:compatExt spid="_x0000_s144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59</xdr:row>
          <xdr:rowOff>31750</xdr:rowOff>
        </xdr:from>
        <xdr:to>
          <xdr:col>1</xdr:col>
          <xdr:colOff>990600</xdr:colOff>
          <xdr:row>59</xdr:row>
          <xdr:rowOff>184150</xdr:rowOff>
        </xdr:to>
        <xdr:sp macro="" textlink="">
          <xdr:nvSpPr>
            <xdr:cNvPr id="144438" name="Option Button 54" hidden="1">
              <a:extLst>
                <a:ext uri="{63B3BB69-23CF-44E3-9099-C40C66FF867C}">
                  <a14:compatExt spid="_x0000_s1444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60</xdr:row>
          <xdr:rowOff>31750</xdr:rowOff>
        </xdr:from>
        <xdr:to>
          <xdr:col>1</xdr:col>
          <xdr:colOff>990600</xdr:colOff>
          <xdr:row>60</xdr:row>
          <xdr:rowOff>184150</xdr:rowOff>
        </xdr:to>
        <xdr:sp macro="" textlink="">
          <xdr:nvSpPr>
            <xdr:cNvPr id="144439" name="Option Button 55" hidden="1">
              <a:extLst>
                <a:ext uri="{63B3BB69-23CF-44E3-9099-C40C66FF867C}">
                  <a14:compatExt spid="_x0000_s1444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61</xdr:row>
          <xdr:rowOff>31750</xdr:rowOff>
        </xdr:from>
        <xdr:to>
          <xdr:col>1</xdr:col>
          <xdr:colOff>990600</xdr:colOff>
          <xdr:row>61</xdr:row>
          <xdr:rowOff>184150</xdr:rowOff>
        </xdr:to>
        <xdr:sp macro="" textlink="">
          <xdr:nvSpPr>
            <xdr:cNvPr id="144440" name="Option Button 56" hidden="1">
              <a:extLst>
                <a:ext uri="{63B3BB69-23CF-44E3-9099-C40C66FF867C}">
                  <a14:compatExt spid="_x0000_s1444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62</xdr:row>
          <xdr:rowOff>31750</xdr:rowOff>
        </xdr:from>
        <xdr:to>
          <xdr:col>1</xdr:col>
          <xdr:colOff>990600</xdr:colOff>
          <xdr:row>62</xdr:row>
          <xdr:rowOff>184150</xdr:rowOff>
        </xdr:to>
        <xdr:sp macro="" textlink="">
          <xdr:nvSpPr>
            <xdr:cNvPr id="144441" name="Option Button 57" hidden="1">
              <a:extLst>
                <a:ext uri="{63B3BB69-23CF-44E3-9099-C40C66FF867C}">
                  <a14:compatExt spid="_x0000_s1444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63</xdr:row>
          <xdr:rowOff>31750</xdr:rowOff>
        </xdr:from>
        <xdr:to>
          <xdr:col>1</xdr:col>
          <xdr:colOff>984250</xdr:colOff>
          <xdr:row>63</xdr:row>
          <xdr:rowOff>184150</xdr:rowOff>
        </xdr:to>
        <xdr:sp macro="" textlink="">
          <xdr:nvSpPr>
            <xdr:cNvPr id="144442" name="Option Button 58" hidden="1">
              <a:extLst>
                <a:ext uri="{63B3BB69-23CF-44E3-9099-C40C66FF867C}">
                  <a14:compatExt spid="_x0000_s1444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64</xdr:row>
          <xdr:rowOff>31750</xdr:rowOff>
        </xdr:from>
        <xdr:to>
          <xdr:col>1</xdr:col>
          <xdr:colOff>990600</xdr:colOff>
          <xdr:row>64</xdr:row>
          <xdr:rowOff>184150</xdr:rowOff>
        </xdr:to>
        <xdr:sp macro="" textlink="">
          <xdr:nvSpPr>
            <xdr:cNvPr id="144443" name="Option Button 59" hidden="1">
              <a:extLst>
                <a:ext uri="{63B3BB69-23CF-44E3-9099-C40C66FF867C}">
                  <a14:compatExt spid="_x0000_s1444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65</xdr:row>
          <xdr:rowOff>31750</xdr:rowOff>
        </xdr:from>
        <xdr:to>
          <xdr:col>1</xdr:col>
          <xdr:colOff>990600</xdr:colOff>
          <xdr:row>65</xdr:row>
          <xdr:rowOff>184150</xdr:rowOff>
        </xdr:to>
        <xdr:sp macro="" textlink="">
          <xdr:nvSpPr>
            <xdr:cNvPr id="144444" name="Option Button 60" hidden="1">
              <a:extLst>
                <a:ext uri="{63B3BB69-23CF-44E3-9099-C40C66FF867C}">
                  <a14:compatExt spid="_x0000_s1444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66</xdr:row>
          <xdr:rowOff>31750</xdr:rowOff>
        </xdr:from>
        <xdr:to>
          <xdr:col>1</xdr:col>
          <xdr:colOff>990600</xdr:colOff>
          <xdr:row>66</xdr:row>
          <xdr:rowOff>184150</xdr:rowOff>
        </xdr:to>
        <xdr:sp macro="" textlink="">
          <xdr:nvSpPr>
            <xdr:cNvPr id="144445" name="Option Button 61" hidden="1">
              <a:extLst>
                <a:ext uri="{63B3BB69-23CF-44E3-9099-C40C66FF867C}">
                  <a14:compatExt spid="_x0000_s1444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67</xdr:row>
          <xdr:rowOff>31750</xdr:rowOff>
        </xdr:from>
        <xdr:to>
          <xdr:col>1</xdr:col>
          <xdr:colOff>990600</xdr:colOff>
          <xdr:row>67</xdr:row>
          <xdr:rowOff>184150</xdr:rowOff>
        </xdr:to>
        <xdr:sp macro="" textlink="">
          <xdr:nvSpPr>
            <xdr:cNvPr id="144446" name="Option Button 62" hidden="1">
              <a:extLst>
                <a:ext uri="{63B3BB69-23CF-44E3-9099-C40C66FF867C}">
                  <a14:compatExt spid="_x0000_s1444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68</xdr:row>
          <xdr:rowOff>31750</xdr:rowOff>
        </xdr:from>
        <xdr:to>
          <xdr:col>1</xdr:col>
          <xdr:colOff>990600</xdr:colOff>
          <xdr:row>68</xdr:row>
          <xdr:rowOff>184150</xdr:rowOff>
        </xdr:to>
        <xdr:sp macro="" textlink="">
          <xdr:nvSpPr>
            <xdr:cNvPr id="144447" name="Option Button 63" hidden="1">
              <a:extLst>
                <a:ext uri="{63B3BB69-23CF-44E3-9099-C40C66FF867C}">
                  <a14:compatExt spid="_x0000_s1444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69</xdr:row>
          <xdr:rowOff>31750</xdr:rowOff>
        </xdr:from>
        <xdr:to>
          <xdr:col>1</xdr:col>
          <xdr:colOff>990600</xdr:colOff>
          <xdr:row>69</xdr:row>
          <xdr:rowOff>184150</xdr:rowOff>
        </xdr:to>
        <xdr:sp macro="" textlink="">
          <xdr:nvSpPr>
            <xdr:cNvPr id="144448" name="Option Button 64" hidden="1">
              <a:extLst>
                <a:ext uri="{63B3BB69-23CF-44E3-9099-C40C66FF867C}">
                  <a14:compatExt spid="_x0000_s1444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70</xdr:row>
          <xdr:rowOff>31750</xdr:rowOff>
        </xdr:from>
        <xdr:to>
          <xdr:col>1</xdr:col>
          <xdr:colOff>990600</xdr:colOff>
          <xdr:row>70</xdr:row>
          <xdr:rowOff>184150</xdr:rowOff>
        </xdr:to>
        <xdr:sp macro="" textlink="">
          <xdr:nvSpPr>
            <xdr:cNvPr id="144449" name="Option Button 65" hidden="1">
              <a:extLst>
                <a:ext uri="{63B3BB69-23CF-44E3-9099-C40C66FF867C}">
                  <a14:compatExt spid="_x0000_s1444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71</xdr:row>
          <xdr:rowOff>31750</xdr:rowOff>
        </xdr:from>
        <xdr:to>
          <xdr:col>1</xdr:col>
          <xdr:colOff>990600</xdr:colOff>
          <xdr:row>71</xdr:row>
          <xdr:rowOff>184150</xdr:rowOff>
        </xdr:to>
        <xdr:sp macro="" textlink="">
          <xdr:nvSpPr>
            <xdr:cNvPr id="144450" name="Option Button 66" hidden="1">
              <a:extLst>
                <a:ext uri="{63B3BB69-23CF-44E3-9099-C40C66FF867C}">
                  <a14:compatExt spid="_x0000_s1444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72</xdr:row>
          <xdr:rowOff>31750</xdr:rowOff>
        </xdr:from>
        <xdr:to>
          <xdr:col>1</xdr:col>
          <xdr:colOff>990600</xdr:colOff>
          <xdr:row>72</xdr:row>
          <xdr:rowOff>184150</xdr:rowOff>
        </xdr:to>
        <xdr:sp macro="" textlink="">
          <xdr:nvSpPr>
            <xdr:cNvPr id="144451" name="Option Button 67" hidden="1">
              <a:extLst>
                <a:ext uri="{63B3BB69-23CF-44E3-9099-C40C66FF867C}">
                  <a14:compatExt spid="_x0000_s1444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73</xdr:row>
          <xdr:rowOff>31750</xdr:rowOff>
        </xdr:from>
        <xdr:to>
          <xdr:col>1</xdr:col>
          <xdr:colOff>990600</xdr:colOff>
          <xdr:row>73</xdr:row>
          <xdr:rowOff>184150</xdr:rowOff>
        </xdr:to>
        <xdr:sp macro="" textlink="">
          <xdr:nvSpPr>
            <xdr:cNvPr id="144452" name="Option Button 68" hidden="1">
              <a:extLst>
                <a:ext uri="{63B3BB69-23CF-44E3-9099-C40C66FF867C}">
                  <a14:compatExt spid="_x0000_s1444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74</xdr:row>
          <xdr:rowOff>31750</xdr:rowOff>
        </xdr:from>
        <xdr:to>
          <xdr:col>1</xdr:col>
          <xdr:colOff>990600</xdr:colOff>
          <xdr:row>74</xdr:row>
          <xdr:rowOff>184150</xdr:rowOff>
        </xdr:to>
        <xdr:sp macro="" textlink="">
          <xdr:nvSpPr>
            <xdr:cNvPr id="144453" name="Option Button 69" hidden="1">
              <a:extLst>
                <a:ext uri="{63B3BB69-23CF-44E3-9099-C40C66FF867C}">
                  <a14:compatExt spid="_x0000_s1444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75</xdr:row>
          <xdr:rowOff>31750</xdr:rowOff>
        </xdr:from>
        <xdr:to>
          <xdr:col>1</xdr:col>
          <xdr:colOff>990600</xdr:colOff>
          <xdr:row>75</xdr:row>
          <xdr:rowOff>184150</xdr:rowOff>
        </xdr:to>
        <xdr:sp macro="" textlink="">
          <xdr:nvSpPr>
            <xdr:cNvPr id="144454" name="Option Button 70" hidden="1">
              <a:extLst>
                <a:ext uri="{63B3BB69-23CF-44E3-9099-C40C66FF867C}">
                  <a14:compatExt spid="_x0000_s1444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76</xdr:row>
          <xdr:rowOff>31750</xdr:rowOff>
        </xdr:from>
        <xdr:to>
          <xdr:col>1</xdr:col>
          <xdr:colOff>990600</xdr:colOff>
          <xdr:row>76</xdr:row>
          <xdr:rowOff>184150</xdr:rowOff>
        </xdr:to>
        <xdr:sp macro="" textlink="">
          <xdr:nvSpPr>
            <xdr:cNvPr id="144455" name="Option Button 71" hidden="1">
              <a:extLst>
                <a:ext uri="{63B3BB69-23CF-44E3-9099-C40C66FF867C}">
                  <a14:compatExt spid="_x0000_s1444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77</xdr:row>
          <xdr:rowOff>31750</xdr:rowOff>
        </xdr:from>
        <xdr:to>
          <xdr:col>1</xdr:col>
          <xdr:colOff>990600</xdr:colOff>
          <xdr:row>77</xdr:row>
          <xdr:rowOff>184150</xdr:rowOff>
        </xdr:to>
        <xdr:sp macro="" textlink="">
          <xdr:nvSpPr>
            <xdr:cNvPr id="144456" name="Option Button 72" hidden="1">
              <a:extLst>
                <a:ext uri="{63B3BB69-23CF-44E3-9099-C40C66FF867C}">
                  <a14:compatExt spid="_x0000_s1444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78</xdr:row>
          <xdr:rowOff>31750</xdr:rowOff>
        </xdr:from>
        <xdr:to>
          <xdr:col>1</xdr:col>
          <xdr:colOff>990600</xdr:colOff>
          <xdr:row>78</xdr:row>
          <xdr:rowOff>184150</xdr:rowOff>
        </xdr:to>
        <xdr:sp macro="" textlink="">
          <xdr:nvSpPr>
            <xdr:cNvPr id="144457" name="Option Button 73" hidden="1">
              <a:extLst>
                <a:ext uri="{63B3BB69-23CF-44E3-9099-C40C66FF867C}">
                  <a14:compatExt spid="_x0000_s1444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79</xdr:row>
          <xdr:rowOff>31750</xdr:rowOff>
        </xdr:from>
        <xdr:to>
          <xdr:col>1</xdr:col>
          <xdr:colOff>990600</xdr:colOff>
          <xdr:row>79</xdr:row>
          <xdr:rowOff>184150</xdr:rowOff>
        </xdr:to>
        <xdr:sp macro="" textlink="">
          <xdr:nvSpPr>
            <xdr:cNvPr id="144458" name="Option Button 74" hidden="1">
              <a:extLst>
                <a:ext uri="{63B3BB69-23CF-44E3-9099-C40C66FF867C}">
                  <a14:compatExt spid="_x0000_s1444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80</xdr:row>
          <xdr:rowOff>31750</xdr:rowOff>
        </xdr:from>
        <xdr:to>
          <xdr:col>1</xdr:col>
          <xdr:colOff>990600</xdr:colOff>
          <xdr:row>80</xdr:row>
          <xdr:rowOff>184150</xdr:rowOff>
        </xdr:to>
        <xdr:sp macro="" textlink="">
          <xdr:nvSpPr>
            <xdr:cNvPr id="144459" name="Option Button 75" hidden="1">
              <a:extLst>
                <a:ext uri="{63B3BB69-23CF-44E3-9099-C40C66FF867C}">
                  <a14:compatExt spid="_x0000_s1444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81</xdr:row>
          <xdr:rowOff>31750</xdr:rowOff>
        </xdr:from>
        <xdr:to>
          <xdr:col>1</xdr:col>
          <xdr:colOff>990600</xdr:colOff>
          <xdr:row>81</xdr:row>
          <xdr:rowOff>184150</xdr:rowOff>
        </xdr:to>
        <xdr:sp macro="" textlink="">
          <xdr:nvSpPr>
            <xdr:cNvPr id="144460" name="Option Button 76" hidden="1">
              <a:extLst>
                <a:ext uri="{63B3BB69-23CF-44E3-9099-C40C66FF867C}">
                  <a14:compatExt spid="_x0000_s1444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82</xdr:row>
          <xdr:rowOff>31750</xdr:rowOff>
        </xdr:from>
        <xdr:to>
          <xdr:col>1</xdr:col>
          <xdr:colOff>990600</xdr:colOff>
          <xdr:row>82</xdr:row>
          <xdr:rowOff>184150</xdr:rowOff>
        </xdr:to>
        <xdr:sp macro="" textlink="">
          <xdr:nvSpPr>
            <xdr:cNvPr id="144461" name="Option Button 77" hidden="1">
              <a:extLst>
                <a:ext uri="{63B3BB69-23CF-44E3-9099-C40C66FF867C}">
                  <a14:compatExt spid="_x0000_s1444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83</xdr:row>
          <xdr:rowOff>31750</xdr:rowOff>
        </xdr:from>
        <xdr:to>
          <xdr:col>1</xdr:col>
          <xdr:colOff>990600</xdr:colOff>
          <xdr:row>83</xdr:row>
          <xdr:rowOff>184150</xdr:rowOff>
        </xdr:to>
        <xdr:sp macro="" textlink="">
          <xdr:nvSpPr>
            <xdr:cNvPr id="144462" name="Option Button 78" hidden="1">
              <a:extLst>
                <a:ext uri="{63B3BB69-23CF-44E3-9099-C40C66FF867C}">
                  <a14:compatExt spid="_x0000_s1444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84</xdr:row>
          <xdr:rowOff>31750</xdr:rowOff>
        </xdr:from>
        <xdr:to>
          <xdr:col>1</xdr:col>
          <xdr:colOff>990600</xdr:colOff>
          <xdr:row>84</xdr:row>
          <xdr:rowOff>184150</xdr:rowOff>
        </xdr:to>
        <xdr:sp macro="" textlink="">
          <xdr:nvSpPr>
            <xdr:cNvPr id="144463" name="Option Button 79" hidden="1">
              <a:extLst>
                <a:ext uri="{63B3BB69-23CF-44E3-9099-C40C66FF867C}">
                  <a14:compatExt spid="_x0000_s1444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85</xdr:row>
          <xdr:rowOff>31750</xdr:rowOff>
        </xdr:from>
        <xdr:to>
          <xdr:col>1</xdr:col>
          <xdr:colOff>990600</xdr:colOff>
          <xdr:row>85</xdr:row>
          <xdr:rowOff>184150</xdr:rowOff>
        </xdr:to>
        <xdr:sp macro="" textlink="">
          <xdr:nvSpPr>
            <xdr:cNvPr id="144464" name="Option Button 80" hidden="1">
              <a:extLst>
                <a:ext uri="{63B3BB69-23CF-44E3-9099-C40C66FF867C}">
                  <a14:compatExt spid="_x0000_s1444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86</xdr:row>
          <xdr:rowOff>31750</xdr:rowOff>
        </xdr:from>
        <xdr:to>
          <xdr:col>1</xdr:col>
          <xdr:colOff>990600</xdr:colOff>
          <xdr:row>86</xdr:row>
          <xdr:rowOff>184150</xdr:rowOff>
        </xdr:to>
        <xdr:sp macro="" textlink="">
          <xdr:nvSpPr>
            <xdr:cNvPr id="144465" name="Option Button 81" hidden="1">
              <a:extLst>
                <a:ext uri="{63B3BB69-23CF-44E3-9099-C40C66FF867C}">
                  <a14:compatExt spid="_x0000_s1444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87</xdr:row>
          <xdr:rowOff>31750</xdr:rowOff>
        </xdr:from>
        <xdr:to>
          <xdr:col>1</xdr:col>
          <xdr:colOff>990600</xdr:colOff>
          <xdr:row>87</xdr:row>
          <xdr:rowOff>184150</xdr:rowOff>
        </xdr:to>
        <xdr:sp macro="" textlink="">
          <xdr:nvSpPr>
            <xdr:cNvPr id="144466" name="Option Button 82" hidden="1">
              <a:extLst>
                <a:ext uri="{63B3BB69-23CF-44E3-9099-C40C66FF867C}">
                  <a14:compatExt spid="_x0000_s1444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88</xdr:row>
          <xdr:rowOff>31750</xdr:rowOff>
        </xdr:from>
        <xdr:to>
          <xdr:col>1</xdr:col>
          <xdr:colOff>990600</xdr:colOff>
          <xdr:row>88</xdr:row>
          <xdr:rowOff>184150</xdr:rowOff>
        </xdr:to>
        <xdr:sp macro="" textlink="">
          <xdr:nvSpPr>
            <xdr:cNvPr id="144467" name="Option Button 83" hidden="1">
              <a:extLst>
                <a:ext uri="{63B3BB69-23CF-44E3-9099-C40C66FF867C}">
                  <a14:compatExt spid="_x0000_s1444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89</xdr:row>
          <xdr:rowOff>31750</xdr:rowOff>
        </xdr:from>
        <xdr:to>
          <xdr:col>1</xdr:col>
          <xdr:colOff>990600</xdr:colOff>
          <xdr:row>89</xdr:row>
          <xdr:rowOff>184150</xdr:rowOff>
        </xdr:to>
        <xdr:sp macro="" textlink="">
          <xdr:nvSpPr>
            <xdr:cNvPr id="144468" name="Option Button 84" hidden="1">
              <a:extLst>
                <a:ext uri="{63B3BB69-23CF-44E3-9099-C40C66FF867C}">
                  <a14:compatExt spid="_x0000_s1444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90</xdr:row>
          <xdr:rowOff>31750</xdr:rowOff>
        </xdr:from>
        <xdr:to>
          <xdr:col>1</xdr:col>
          <xdr:colOff>990600</xdr:colOff>
          <xdr:row>90</xdr:row>
          <xdr:rowOff>184150</xdr:rowOff>
        </xdr:to>
        <xdr:sp macro="" textlink="">
          <xdr:nvSpPr>
            <xdr:cNvPr id="144469" name="Option Button 85" hidden="1">
              <a:extLst>
                <a:ext uri="{63B3BB69-23CF-44E3-9099-C40C66FF867C}">
                  <a14:compatExt spid="_x0000_s1444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91</xdr:row>
          <xdr:rowOff>31750</xdr:rowOff>
        </xdr:from>
        <xdr:to>
          <xdr:col>1</xdr:col>
          <xdr:colOff>990600</xdr:colOff>
          <xdr:row>91</xdr:row>
          <xdr:rowOff>184150</xdr:rowOff>
        </xdr:to>
        <xdr:sp macro="" textlink="">
          <xdr:nvSpPr>
            <xdr:cNvPr id="144470" name="Option Button 86" hidden="1">
              <a:extLst>
                <a:ext uri="{63B3BB69-23CF-44E3-9099-C40C66FF867C}">
                  <a14:compatExt spid="_x0000_s1444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92</xdr:row>
          <xdr:rowOff>31750</xdr:rowOff>
        </xdr:from>
        <xdr:to>
          <xdr:col>1</xdr:col>
          <xdr:colOff>990600</xdr:colOff>
          <xdr:row>92</xdr:row>
          <xdr:rowOff>184150</xdr:rowOff>
        </xdr:to>
        <xdr:sp macro="" textlink="">
          <xdr:nvSpPr>
            <xdr:cNvPr id="144471" name="Option Button 87" hidden="1">
              <a:extLst>
                <a:ext uri="{63B3BB69-23CF-44E3-9099-C40C66FF867C}">
                  <a14:compatExt spid="_x0000_s1444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93</xdr:row>
          <xdr:rowOff>31750</xdr:rowOff>
        </xdr:from>
        <xdr:to>
          <xdr:col>1</xdr:col>
          <xdr:colOff>990600</xdr:colOff>
          <xdr:row>93</xdr:row>
          <xdr:rowOff>184150</xdr:rowOff>
        </xdr:to>
        <xdr:sp macro="" textlink="">
          <xdr:nvSpPr>
            <xdr:cNvPr id="144472" name="Option Button 88" hidden="1">
              <a:extLst>
                <a:ext uri="{63B3BB69-23CF-44E3-9099-C40C66FF867C}">
                  <a14:compatExt spid="_x0000_s1444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94</xdr:row>
          <xdr:rowOff>31750</xdr:rowOff>
        </xdr:from>
        <xdr:to>
          <xdr:col>1</xdr:col>
          <xdr:colOff>984250</xdr:colOff>
          <xdr:row>94</xdr:row>
          <xdr:rowOff>184150</xdr:rowOff>
        </xdr:to>
        <xdr:sp macro="" textlink="">
          <xdr:nvSpPr>
            <xdr:cNvPr id="144473" name="Option Button 89" hidden="1">
              <a:extLst>
                <a:ext uri="{63B3BB69-23CF-44E3-9099-C40C66FF867C}">
                  <a14:compatExt spid="_x0000_s1444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95</xdr:row>
          <xdr:rowOff>31750</xdr:rowOff>
        </xdr:from>
        <xdr:to>
          <xdr:col>1</xdr:col>
          <xdr:colOff>990600</xdr:colOff>
          <xdr:row>95</xdr:row>
          <xdr:rowOff>184150</xdr:rowOff>
        </xdr:to>
        <xdr:sp macro="" textlink="">
          <xdr:nvSpPr>
            <xdr:cNvPr id="144474" name="Option Button 90" hidden="1">
              <a:extLst>
                <a:ext uri="{63B3BB69-23CF-44E3-9099-C40C66FF867C}">
                  <a14:compatExt spid="_x0000_s1444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96</xdr:row>
          <xdr:rowOff>31750</xdr:rowOff>
        </xdr:from>
        <xdr:to>
          <xdr:col>1</xdr:col>
          <xdr:colOff>990600</xdr:colOff>
          <xdr:row>96</xdr:row>
          <xdr:rowOff>184150</xdr:rowOff>
        </xdr:to>
        <xdr:sp macro="" textlink="">
          <xdr:nvSpPr>
            <xdr:cNvPr id="144475" name="Option Button 91" hidden="1">
              <a:extLst>
                <a:ext uri="{63B3BB69-23CF-44E3-9099-C40C66FF867C}">
                  <a14:compatExt spid="_x0000_s1444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97</xdr:row>
          <xdr:rowOff>31750</xdr:rowOff>
        </xdr:from>
        <xdr:to>
          <xdr:col>1</xdr:col>
          <xdr:colOff>990600</xdr:colOff>
          <xdr:row>97</xdr:row>
          <xdr:rowOff>184150</xdr:rowOff>
        </xdr:to>
        <xdr:sp macro="" textlink="">
          <xdr:nvSpPr>
            <xdr:cNvPr id="144476" name="Option Button 92" hidden="1">
              <a:extLst>
                <a:ext uri="{63B3BB69-23CF-44E3-9099-C40C66FF867C}">
                  <a14:compatExt spid="_x0000_s1444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98</xdr:row>
          <xdr:rowOff>31750</xdr:rowOff>
        </xdr:from>
        <xdr:to>
          <xdr:col>1</xdr:col>
          <xdr:colOff>990600</xdr:colOff>
          <xdr:row>98</xdr:row>
          <xdr:rowOff>184150</xdr:rowOff>
        </xdr:to>
        <xdr:sp macro="" textlink="">
          <xdr:nvSpPr>
            <xdr:cNvPr id="144477" name="Option Button 93" hidden="1">
              <a:extLst>
                <a:ext uri="{63B3BB69-23CF-44E3-9099-C40C66FF867C}">
                  <a14:compatExt spid="_x0000_s1444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99</xdr:row>
          <xdr:rowOff>31750</xdr:rowOff>
        </xdr:from>
        <xdr:to>
          <xdr:col>1</xdr:col>
          <xdr:colOff>990600</xdr:colOff>
          <xdr:row>99</xdr:row>
          <xdr:rowOff>184150</xdr:rowOff>
        </xdr:to>
        <xdr:sp macro="" textlink="">
          <xdr:nvSpPr>
            <xdr:cNvPr id="144478" name="Option Button 94" hidden="1">
              <a:extLst>
                <a:ext uri="{63B3BB69-23CF-44E3-9099-C40C66FF867C}">
                  <a14:compatExt spid="_x0000_s1444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100</xdr:row>
          <xdr:rowOff>31750</xdr:rowOff>
        </xdr:from>
        <xdr:to>
          <xdr:col>1</xdr:col>
          <xdr:colOff>990600</xdr:colOff>
          <xdr:row>100</xdr:row>
          <xdr:rowOff>184150</xdr:rowOff>
        </xdr:to>
        <xdr:sp macro="" textlink="">
          <xdr:nvSpPr>
            <xdr:cNvPr id="144479" name="Option Button 95" hidden="1">
              <a:extLst>
                <a:ext uri="{63B3BB69-23CF-44E3-9099-C40C66FF867C}">
                  <a14:compatExt spid="_x0000_s1444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101</xdr:row>
          <xdr:rowOff>31750</xdr:rowOff>
        </xdr:from>
        <xdr:to>
          <xdr:col>1</xdr:col>
          <xdr:colOff>990600</xdr:colOff>
          <xdr:row>101</xdr:row>
          <xdr:rowOff>184150</xdr:rowOff>
        </xdr:to>
        <xdr:sp macro="" textlink="">
          <xdr:nvSpPr>
            <xdr:cNvPr id="144480" name="Option Button 96" hidden="1">
              <a:extLst>
                <a:ext uri="{63B3BB69-23CF-44E3-9099-C40C66FF867C}">
                  <a14:compatExt spid="_x0000_s1444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102</xdr:row>
          <xdr:rowOff>31750</xdr:rowOff>
        </xdr:from>
        <xdr:to>
          <xdr:col>1</xdr:col>
          <xdr:colOff>990600</xdr:colOff>
          <xdr:row>102</xdr:row>
          <xdr:rowOff>184150</xdr:rowOff>
        </xdr:to>
        <xdr:sp macro="" textlink="">
          <xdr:nvSpPr>
            <xdr:cNvPr id="144481" name="Option Button 97" hidden="1">
              <a:extLst>
                <a:ext uri="{63B3BB69-23CF-44E3-9099-C40C66FF867C}">
                  <a14:compatExt spid="_x0000_s1444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103</xdr:row>
          <xdr:rowOff>31750</xdr:rowOff>
        </xdr:from>
        <xdr:to>
          <xdr:col>1</xdr:col>
          <xdr:colOff>990600</xdr:colOff>
          <xdr:row>103</xdr:row>
          <xdr:rowOff>184150</xdr:rowOff>
        </xdr:to>
        <xdr:sp macro="" textlink="">
          <xdr:nvSpPr>
            <xdr:cNvPr id="144482" name="Option Button 98" hidden="1">
              <a:extLst>
                <a:ext uri="{63B3BB69-23CF-44E3-9099-C40C66FF867C}">
                  <a14:compatExt spid="_x0000_s1444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104</xdr:row>
          <xdr:rowOff>31750</xdr:rowOff>
        </xdr:from>
        <xdr:to>
          <xdr:col>1</xdr:col>
          <xdr:colOff>990600</xdr:colOff>
          <xdr:row>104</xdr:row>
          <xdr:rowOff>184150</xdr:rowOff>
        </xdr:to>
        <xdr:sp macro="" textlink="">
          <xdr:nvSpPr>
            <xdr:cNvPr id="144483" name="Option Button 99" hidden="1">
              <a:extLst>
                <a:ext uri="{63B3BB69-23CF-44E3-9099-C40C66FF867C}">
                  <a14:compatExt spid="_x0000_s1444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105</xdr:row>
          <xdr:rowOff>31750</xdr:rowOff>
        </xdr:from>
        <xdr:to>
          <xdr:col>1</xdr:col>
          <xdr:colOff>990600</xdr:colOff>
          <xdr:row>105</xdr:row>
          <xdr:rowOff>184150</xdr:rowOff>
        </xdr:to>
        <xdr:sp macro="" textlink="">
          <xdr:nvSpPr>
            <xdr:cNvPr id="144484" name="Option Button 100" hidden="1">
              <a:extLst>
                <a:ext uri="{63B3BB69-23CF-44E3-9099-C40C66FF867C}">
                  <a14:compatExt spid="_x0000_s1444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106</xdr:row>
          <xdr:rowOff>31750</xdr:rowOff>
        </xdr:from>
        <xdr:to>
          <xdr:col>1</xdr:col>
          <xdr:colOff>990600</xdr:colOff>
          <xdr:row>106</xdr:row>
          <xdr:rowOff>184150</xdr:rowOff>
        </xdr:to>
        <xdr:sp macro="" textlink="">
          <xdr:nvSpPr>
            <xdr:cNvPr id="144485" name="Option Button 101" hidden="1">
              <a:extLst>
                <a:ext uri="{63B3BB69-23CF-44E3-9099-C40C66FF867C}">
                  <a14:compatExt spid="_x0000_s144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107</xdr:row>
          <xdr:rowOff>31750</xdr:rowOff>
        </xdr:from>
        <xdr:to>
          <xdr:col>1</xdr:col>
          <xdr:colOff>990600</xdr:colOff>
          <xdr:row>107</xdr:row>
          <xdr:rowOff>184150</xdr:rowOff>
        </xdr:to>
        <xdr:sp macro="" textlink="">
          <xdr:nvSpPr>
            <xdr:cNvPr id="144486" name="Option Button 102" hidden="1">
              <a:extLst>
                <a:ext uri="{63B3BB69-23CF-44E3-9099-C40C66FF867C}">
                  <a14:compatExt spid="_x0000_s1444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108</xdr:row>
          <xdr:rowOff>31750</xdr:rowOff>
        </xdr:from>
        <xdr:to>
          <xdr:col>1</xdr:col>
          <xdr:colOff>990600</xdr:colOff>
          <xdr:row>108</xdr:row>
          <xdr:rowOff>184150</xdr:rowOff>
        </xdr:to>
        <xdr:sp macro="" textlink="">
          <xdr:nvSpPr>
            <xdr:cNvPr id="144487" name="Option Button 103" hidden="1">
              <a:extLst>
                <a:ext uri="{63B3BB69-23CF-44E3-9099-C40C66FF867C}">
                  <a14:compatExt spid="_x0000_s1444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109</xdr:row>
          <xdr:rowOff>31750</xdr:rowOff>
        </xdr:from>
        <xdr:to>
          <xdr:col>1</xdr:col>
          <xdr:colOff>990600</xdr:colOff>
          <xdr:row>109</xdr:row>
          <xdr:rowOff>184150</xdr:rowOff>
        </xdr:to>
        <xdr:sp macro="" textlink="">
          <xdr:nvSpPr>
            <xdr:cNvPr id="144488" name="Option Button 104" hidden="1">
              <a:extLst>
                <a:ext uri="{63B3BB69-23CF-44E3-9099-C40C66FF867C}">
                  <a14:compatExt spid="_x0000_s1444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110</xdr:row>
          <xdr:rowOff>31750</xdr:rowOff>
        </xdr:from>
        <xdr:to>
          <xdr:col>1</xdr:col>
          <xdr:colOff>990600</xdr:colOff>
          <xdr:row>110</xdr:row>
          <xdr:rowOff>184150</xdr:rowOff>
        </xdr:to>
        <xdr:sp macro="" textlink="">
          <xdr:nvSpPr>
            <xdr:cNvPr id="144489" name="Option Button 105" hidden="1">
              <a:extLst>
                <a:ext uri="{63B3BB69-23CF-44E3-9099-C40C66FF867C}">
                  <a14:compatExt spid="_x0000_s1444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111</xdr:row>
          <xdr:rowOff>31750</xdr:rowOff>
        </xdr:from>
        <xdr:to>
          <xdr:col>1</xdr:col>
          <xdr:colOff>990600</xdr:colOff>
          <xdr:row>111</xdr:row>
          <xdr:rowOff>184150</xdr:rowOff>
        </xdr:to>
        <xdr:sp macro="" textlink="">
          <xdr:nvSpPr>
            <xdr:cNvPr id="144490" name="Option Button 106" hidden="1">
              <a:extLst>
                <a:ext uri="{63B3BB69-23CF-44E3-9099-C40C66FF867C}">
                  <a14:compatExt spid="_x0000_s1444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112</xdr:row>
          <xdr:rowOff>31750</xdr:rowOff>
        </xdr:from>
        <xdr:to>
          <xdr:col>1</xdr:col>
          <xdr:colOff>990600</xdr:colOff>
          <xdr:row>112</xdr:row>
          <xdr:rowOff>184150</xdr:rowOff>
        </xdr:to>
        <xdr:sp macro="" textlink="">
          <xdr:nvSpPr>
            <xdr:cNvPr id="144491" name="Option Button 107" hidden="1">
              <a:extLst>
                <a:ext uri="{63B3BB69-23CF-44E3-9099-C40C66FF867C}">
                  <a14:compatExt spid="_x0000_s1444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113</xdr:row>
          <xdr:rowOff>31750</xdr:rowOff>
        </xdr:from>
        <xdr:to>
          <xdr:col>1</xdr:col>
          <xdr:colOff>990600</xdr:colOff>
          <xdr:row>113</xdr:row>
          <xdr:rowOff>184150</xdr:rowOff>
        </xdr:to>
        <xdr:sp macro="" textlink="">
          <xdr:nvSpPr>
            <xdr:cNvPr id="144492" name="Option Button 108" hidden="1">
              <a:extLst>
                <a:ext uri="{63B3BB69-23CF-44E3-9099-C40C66FF867C}">
                  <a14:compatExt spid="_x0000_s1444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114</xdr:row>
          <xdr:rowOff>31750</xdr:rowOff>
        </xdr:from>
        <xdr:to>
          <xdr:col>1</xdr:col>
          <xdr:colOff>990600</xdr:colOff>
          <xdr:row>114</xdr:row>
          <xdr:rowOff>184150</xdr:rowOff>
        </xdr:to>
        <xdr:sp macro="" textlink="">
          <xdr:nvSpPr>
            <xdr:cNvPr id="144493" name="Option Button 109" hidden="1">
              <a:extLst>
                <a:ext uri="{63B3BB69-23CF-44E3-9099-C40C66FF867C}">
                  <a14:compatExt spid="_x0000_s1444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115</xdr:row>
          <xdr:rowOff>31750</xdr:rowOff>
        </xdr:from>
        <xdr:to>
          <xdr:col>1</xdr:col>
          <xdr:colOff>990600</xdr:colOff>
          <xdr:row>115</xdr:row>
          <xdr:rowOff>184150</xdr:rowOff>
        </xdr:to>
        <xdr:sp macro="" textlink="">
          <xdr:nvSpPr>
            <xdr:cNvPr id="144494" name="Option Button 110" hidden="1">
              <a:extLst>
                <a:ext uri="{63B3BB69-23CF-44E3-9099-C40C66FF867C}">
                  <a14:compatExt spid="_x0000_s1444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116</xdr:row>
          <xdr:rowOff>31750</xdr:rowOff>
        </xdr:from>
        <xdr:to>
          <xdr:col>1</xdr:col>
          <xdr:colOff>990600</xdr:colOff>
          <xdr:row>116</xdr:row>
          <xdr:rowOff>184150</xdr:rowOff>
        </xdr:to>
        <xdr:sp macro="" textlink="">
          <xdr:nvSpPr>
            <xdr:cNvPr id="144495" name="Option Button 111" hidden="1">
              <a:extLst>
                <a:ext uri="{63B3BB69-23CF-44E3-9099-C40C66FF867C}">
                  <a14:compatExt spid="_x0000_s1444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117</xdr:row>
          <xdr:rowOff>31750</xdr:rowOff>
        </xdr:from>
        <xdr:to>
          <xdr:col>1</xdr:col>
          <xdr:colOff>990600</xdr:colOff>
          <xdr:row>117</xdr:row>
          <xdr:rowOff>184150</xdr:rowOff>
        </xdr:to>
        <xdr:sp macro="" textlink="">
          <xdr:nvSpPr>
            <xdr:cNvPr id="144496" name="Option Button 112" hidden="1">
              <a:extLst>
                <a:ext uri="{63B3BB69-23CF-44E3-9099-C40C66FF867C}">
                  <a14:compatExt spid="_x0000_s1444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118</xdr:row>
          <xdr:rowOff>31750</xdr:rowOff>
        </xdr:from>
        <xdr:to>
          <xdr:col>1</xdr:col>
          <xdr:colOff>990600</xdr:colOff>
          <xdr:row>118</xdr:row>
          <xdr:rowOff>184150</xdr:rowOff>
        </xdr:to>
        <xdr:sp macro="" textlink="">
          <xdr:nvSpPr>
            <xdr:cNvPr id="144497" name="Option Button 113" hidden="1">
              <a:extLst>
                <a:ext uri="{63B3BB69-23CF-44E3-9099-C40C66FF867C}">
                  <a14:compatExt spid="_x0000_s1444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119</xdr:row>
          <xdr:rowOff>31750</xdr:rowOff>
        </xdr:from>
        <xdr:to>
          <xdr:col>1</xdr:col>
          <xdr:colOff>990600</xdr:colOff>
          <xdr:row>119</xdr:row>
          <xdr:rowOff>184150</xdr:rowOff>
        </xdr:to>
        <xdr:sp macro="" textlink="">
          <xdr:nvSpPr>
            <xdr:cNvPr id="144498" name="Option Button 114" hidden="1">
              <a:extLst>
                <a:ext uri="{63B3BB69-23CF-44E3-9099-C40C66FF867C}">
                  <a14:compatExt spid="_x0000_s1444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120</xdr:row>
          <xdr:rowOff>31750</xdr:rowOff>
        </xdr:from>
        <xdr:to>
          <xdr:col>1</xdr:col>
          <xdr:colOff>990600</xdr:colOff>
          <xdr:row>120</xdr:row>
          <xdr:rowOff>184150</xdr:rowOff>
        </xdr:to>
        <xdr:sp macro="" textlink="">
          <xdr:nvSpPr>
            <xdr:cNvPr id="144499" name="Option Button 115" hidden="1">
              <a:extLst>
                <a:ext uri="{63B3BB69-23CF-44E3-9099-C40C66FF867C}">
                  <a14:compatExt spid="_x0000_s1444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121</xdr:row>
          <xdr:rowOff>31750</xdr:rowOff>
        </xdr:from>
        <xdr:to>
          <xdr:col>1</xdr:col>
          <xdr:colOff>990600</xdr:colOff>
          <xdr:row>121</xdr:row>
          <xdr:rowOff>184150</xdr:rowOff>
        </xdr:to>
        <xdr:sp macro="" textlink="">
          <xdr:nvSpPr>
            <xdr:cNvPr id="144500" name="Option Button 116" hidden="1">
              <a:extLst>
                <a:ext uri="{63B3BB69-23CF-44E3-9099-C40C66FF867C}">
                  <a14:compatExt spid="_x0000_s1445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122</xdr:row>
          <xdr:rowOff>31750</xdr:rowOff>
        </xdr:from>
        <xdr:to>
          <xdr:col>1</xdr:col>
          <xdr:colOff>990600</xdr:colOff>
          <xdr:row>122</xdr:row>
          <xdr:rowOff>184150</xdr:rowOff>
        </xdr:to>
        <xdr:sp macro="" textlink="">
          <xdr:nvSpPr>
            <xdr:cNvPr id="144501" name="Option Button 117" hidden="1">
              <a:extLst>
                <a:ext uri="{63B3BB69-23CF-44E3-9099-C40C66FF867C}">
                  <a14:compatExt spid="_x0000_s1445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123</xdr:row>
          <xdr:rowOff>31750</xdr:rowOff>
        </xdr:from>
        <xdr:to>
          <xdr:col>1</xdr:col>
          <xdr:colOff>990600</xdr:colOff>
          <xdr:row>123</xdr:row>
          <xdr:rowOff>184150</xdr:rowOff>
        </xdr:to>
        <xdr:sp macro="" textlink="">
          <xdr:nvSpPr>
            <xdr:cNvPr id="144502" name="Option Button 118" hidden="1">
              <a:extLst>
                <a:ext uri="{63B3BB69-23CF-44E3-9099-C40C66FF867C}">
                  <a14:compatExt spid="_x0000_s1445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124</xdr:row>
          <xdr:rowOff>31750</xdr:rowOff>
        </xdr:from>
        <xdr:to>
          <xdr:col>1</xdr:col>
          <xdr:colOff>990600</xdr:colOff>
          <xdr:row>124</xdr:row>
          <xdr:rowOff>184150</xdr:rowOff>
        </xdr:to>
        <xdr:sp macro="" textlink="">
          <xdr:nvSpPr>
            <xdr:cNvPr id="144503" name="Option Button 119" hidden="1">
              <a:extLst>
                <a:ext uri="{63B3BB69-23CF-44E3-9099-C40C66FF867C}">
                  <a14:compatExt spid="_x0000_s1445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125</xdr:row>
          <xdr:rowOff>31750</xdr:rowOff>
        </xdr:from>
        <xdr:to>
          <xdr:col>1</xdr:col>
          <xdr:colOff>990600</xdr:colOff>
          <xdr:row>125</xdr:row>
          <xdr:rowOff>184150</xdr:rowOff>
        </xdr:to>
        <xdr:sp macro="" textlink="">
          <xdr:nvSpPr>
            <xdr:cNvPr id="144504" name="Option Button 120" hidden="1">
              <a:extLst>
                <a:ext uri="{63B3BB69-23CF-44E3-9099-C40C66FF867C}">
                  <a14:compatExt spid="_x0000_s1445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126</xdr:row>
          <xdr:rowOff>31750</xdr:rowOff>
        </xdr:from>
        <xdr:to>
          <xdr:col>1</xdr:col>
          <xdr:colOff>990600</xdr:colOff>
          <xdr:row>126</xdr:row>
          <xdr:rowOff>184150</xdr:rowOff>
        </xdr:to>
        <xdr:sp macro="" textlink="">
          <xdr:nvSpPr>
            <xdr:cNvPr id="144505" name="Option Button 121" hidden="1">
              <a:extLst>
                <a:ext uri="{63B3BB69-23CF-44E3-9099-C40C66FF867C}">
                  <a14:compatExt spid="_x0000_s1445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127</xdr:row>
          <xdr:rowOff>31750</xdr:rowOff>
        </xdr:from>
        <xdr:to>
          <xdr:col>1</xdr:col>
          <xdr:colOff>990600</xdr:colOff>
          <xdr:row>127</xdr:row>
          <xdr:rowOff>184150</xdr:rowOff>
        </xdr:to>
        <xdr:sp macro="" textlink="">
          <xdr:nvSpPr>
            <xdr:cNvPr id="144506" name="Option Button 122" hidden="1">
              <a:extLst>
                <a:ext uri="{63B3BB69-23CF-44E3-9099-C40C66FF867C}">
                  <a14:compatExt spid="_x0000_s1445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128</xdr:row>
          <xdr:rowOff>31750</xdr:rowOff>
        </xdr:from>
        <xdr:to>
          <xdr:col>1</xdr:col>
          <xdr:colOff>990600</xdr:colOff>
          <xdr:row>128</xdr:row>
          <xdr:rowOff>184150</xdr:rowOff>
        </xdr:to>
        <xdr:sp macro="" textlink="">
          <xdr:nvSpPr>
            <xdr:cNvPr id="144507" name="Option Button 123" hidden="1">
              <a:extLst>
                <a:ext uri="{63B3BB69-23CF-44E3-9099-C40C66FF867C}">
                  <a14:compatExt spid="_x0000_s1445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129</xdr:row>
          <xdr:rowOff>31750</xdr:rowOff>
        </xdr:from>
        <xdr:to>
          <xdr:col>1</xdr:col>
          <xdr:colOff>990600</xdr:colOff>
          <xdr:row>129</xdr:row>
          <xdr:rowOff>184150</xdr:rowOff>
        </xdr:to>
        <xdr:sp macro="" textlink="">
          <xdr:nvSpPr>
            <xdr:cNvPr id="144508" name="Option Button 124" hidden="1">
              <a:extLst>
                <a:ext uri="{63B3BB69-23CF-44E3-9099-C40C66FF867C}">
                  <a14:compatExt spid="_x0000_s1445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130</xdr:row>
          <xdr:rowOff>31750</xdr:rowOff>
        </xdr:from>
        <xdr:to>
          <xdr:col>1</xdr:col>
          <xdr:colOff>990600</xdr:colOff>
          <xdr:row>130</xdr:row>
          <xdr:rowOff>184150</xdr:rowOff>
        </xdr:to>
        <xdr:sp macro="" textlink="">
          <xdr:nvSpPr>
            <xdr:cNvPr id="144509" name="Option Button 125" hidden="1">
              <a:extLst>
                <a:ext uri="{63B3BB69-23CF-44E3-9099-C40C66FF867C}">
                  <a14:compatExt spid="_x0000_s1445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131</xdr:row>
          <xdr:rowOff>31750</xdr:rowOff>
        </xdr:from>
        <xdr:to>
          <xdr:col>1</xdr:col>
          <xdr:colOff>990600</xdr:colOff>
          <xdr:row>131</xdr:row>
          <xdr:rowOff>184150</xdr:rowOff>
        </xdr:to>
        <xdr:sp macro="" textlink="">
          <xdr:nvSpPr>
            <xdr:cNvPr id="144510" name="Option Button 126" hidden="1">
              <a:extLst>
                <a:ext uri="{63B3BB69-23CF-44E3-9099-C40C66FF867C}">
                  <a14:compatExt spid="_x0000_s1445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132</xdr:row>
          <xdr:rowOff>31750</xdr:rowOff>
        </xdr:from>
        <xdr:to>
          <xdr:col>1</xdr:col>
          <xdr:colOff>990600</xdr:colOff>
          <xdr:row>132</xdr:row>
          <xdr:rowOff>184150</xdr:rowOff>
        </xdr:to>
        <xdr:sp macro="" textlink="">
          <xdr:nvSpPr>
            <xdr:cNvPr id="144511" name="Option Button 127" hidden="1">
              <a:extLst>
                <a:ext uri="{63B3BB69-23CF-44E3-9099-C40C66FF867C}">
                  <a14:compatExt spid="_x0000_s1445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133</xdr:row>
          <xdr:rowOff>31750</xdr:rowOff>
        </xdr:from>
        <xdr:to>
          <xdr:col>1</xdr:col>
          <xdr:colOff>990600</xdr:colOff>
          <xdr:row>133</xdr:row>
          <xdr:rowOff>184150</xdr:rowOff>
        </xdr:to>
        <xdr:sp macro="" textlink="">
          <xdr:nvSpPr>
            <xdr:cNvPr id="144512" name="Option Button 128" hidden="1">
              <a:extLst>
                <a:ext uri="{63B3BB69-23CF-44E3-9099-C40C66FF867C}">
                  <a14:compatExt spid="_x0000_s1445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134</xdr:row>
          <xdr:rowOff>31750</xdr:rowOff>
        </xdr:from>
        <xdr:to>
          <xdr:col>1</xdr:col>
          <xdr:colOff>990600</xdr:colOff>
          <xdr:row>134</xdr:row>
          <xdr:rowOff>184150</xdr:rowOff>
        </xdr:to>
        <xdr:sp macro="" textlink="">
          <xdr:nvSpPr>
            <xdr:cNvPr id="144513" name="Option Button 129" hidden="1">
              <a:extLst>
                <a:ext uri="{63B3BB69-23CF-44E3-9099-C40C66FF867C}">
                  <a14:compatExt spid="_x0000_s1445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135</xdr:row>
          <xdr:rowOff>31750</xdr:rowOff>
        </xdr:from>
        <xdr:to>
          <xdr:col>1</xdr:col>
          <xdr:colOff>990600</xdr:colOff>
          <xdr:row>135</xdr:row>
          <xdr:rowOff>184150</xdr:rowOff>
        </xdr:to>
        <xdr:sp macro="" textlink="">
          <xdr:nvSpPr>
            <xdr:cNvPr id="144514" name="Option Button 130" hidden="1">
              <a:extLst>
                <a:ext uri="{63B3BB69-23CF-44E3-9099-C40C66FF867C}">
                  <a14:compatExt spid="_x0000_s1445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136</xdr:row>
          <xdr:rowOff>31750</xdr:rowOff>
        </xdr:from>
        <xdr:to>
          <xdr:col>1</xdr:col>
          <xdr:colOff>990600</xdr:colOff>
          <xdr:row>136</xdr:row>
          <xdr:rowOff>184150</xdr:rowOff>
        </xdr:to>
        <xdr:sp macro="" textlink="">
          <xdr:nvSpPr>
            <xdr:cNvPr id="144515" name="Option Button 131" hidden="1">
              <a:extLst>
                <a:ext uri="{63B3BB69-23CF-44E3-9099-C40C66FF867C}">
                  <a14:compatExt spid="_x0000_s1445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137</xdr:row>
          <xdr:rowOff>31750</xdr:rowOff>
        </xdr:from>
        <xdr:to>
          <xdr:col>1</xdr:col>
          <xdr:colOff>990600</xdr:colOff>
          <xdr:row>137</xdr:row>
          <xdr:rowOff>184150</xdr:rowOff>
        </xdr:to>
        <xdr:sp macro="" textlink="">
          <xdr:nvSpPr>
            <xdr:cNvPr id="144516" name="Option Button 132" hidden="1">
              <a:extLst>
                <a:ext uri="{63B3BB69-23CF-44E3-9099-C40C66FF867C}">
                  <a14:compatExt spid="_x0000_s1445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138</xdr:row>
          <xdr:rowOff>31750</xdr:rowOff>
        </xdr:from>
        <xdr:to>
          <xdr:col>1</xdr:col>
          <xdr:colOff>990600</xdr:colOff>
          <xdr:row>138</xdr:row>
          <xdr:rowOff>184150</xdr:rowOff>
        </xdr:to>
        <xdr:sp macro="" textlink="">
          <xdr:nvSpPr>
            <xdr:cNvPr id="144517" name="Option Button 133" hidden="1">
              <a:extLst>
                <a:ext uri="{63B3BB69-23CF-44E3-9099-C40C66FF867C}">
                  <a14:compatExt spid="_x0000_s1445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139</xdr:row>
          <xdr:rowOff>31750</xdr:rowOff>
        </xdr:from>
        <xdr:to>
          <xdr:col>1</xdr:col>
          <xdr:colOff>990600</xdr:colOff>
          <xdr:row>139</xdr:row>
          <xdr:rowOff>184150</xdr:rowOff>
        </xdr:to>
        <xdr:sp macro="" textlink="">
          <xdr:nvSpPr>
            <xdr:cNvPr id="144518" name="Option Button 134" hidden="1">
              <a:extLst>
                <a:ext uri="{63B3BB69-23CF-44E3-9099-C40C66FF867C}">
                  <a14:compatExt spid="_x0000_s1445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140</xdr:row>
          <xdr:rowOff>31750</xdr:rowOff>
        </xdr:from>
        <xdr:to>
          <xdr:col>1</xdr:col>
          <xdr:colOff>990600</xdr:colOff>
          <xdr:row>140</xdr:row>
          <xdr:rowOff>184150</xdr:rowOff>
        </xdr:to>
        <xdr:sp macro="" textlink="">
          <xdr:nvSpPr>
            <xdr:cNvPr id="144519" name="Option Button 135" hidden="1">
              <a:extLst>
                <a:ext uri="{63B3BB69-23CF-44E3-9099-C40C66FF867C}">
                  <a14:compatExt spid="_x0000_s1445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141</xdr:row>
          <xdr:rowOff>31750</xdr:rowOff>
        </xdr:from>
        <xdr:to>
          <xdr:col>1</xdr:col>
          <xdr:colOff>990600</xdr:colOff>
          <xdr:row>141</xdr:row>
          <xdr:rowOff>184150</xdr:rowOff>
        </xdr:to>
        <xdr:sp macro="" textlink="">
          <xdr:nvSpPr>
            <xdr:cNvPr id="144520" name="Option Button 136" hidden="1">
              <a:extLst>
                <a:ext uri="{63B3BB69-23CF-44E3-9099-C40C66FF867C}">
                  <a14:compatExt spid="_x0000_s1445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142</xdr:row>
          <xdr:rowOff>31750</xdr:rowOff>
        </xdr:from>
        <xdr:to>
          <xdr:col>1</xdr:col>
          <xdr:colOff>990600</xdr:colOff>
          <xdr:row>142</xdr:row>
          <xdr:rowOff>184150</xdr:rowOff>
        </xdr:to>
        <xdr:sp macro="" textlink="">
          <xdr:nvSpPr>
            <xdr:cNvPr id="144521" name="Option Button 137" hidden="1">
              <a:extLst>
                <a:ext uri="{63B3BB69-23CF-44E3-9099-C40C66FF867C}">
                  <a14:compatExt spid="_x0000_s1445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143</xdr:row>
          <xdr:rowOff>31750</xdr:rowOff>
        </xdr:from>
        <xdr:to>
          <xdr:col>1</xdr:col>
          <xdr:colOff>990600</xdr:colOff>
          <xdr:row>143</xdr:row>
          <xdr:rowOff>184150</xdr:rowOff>
        </xdr:to>
        <xdr:sp macro="" textlink="">
          <xdr:nvSpPr>
            <xdr:cNvPr id="144522" name="Option Button 138" hidden="1">
              <a:extLst>
                <a:ext uri="{63B3BB69-23CF-44E3-9099-C40C66FF867C}">
                  <a14:compatExt spid="_x0000_s144522"/>
                </a:ext>
              </a:extLst>
            </xdr:cNvPr>
            <xdr:cNvSpPr/>
          </xdr:nvSpPr>
          <xdr:spPr>
            <a:xfrm>
              <a:off x="0" y="0"/>
              <a:ext cx="0" cy="0"/>
            </a:xfrm>
            <a:prstGeom prst="rect">
              <a:avLst/>
            </a:prstGeom>
          </xdr:spPr>
        </xdr:sp>
        <xdr:clientData/>
      </xdr:twoCellAnchor>
    </mc:Choice>
    <mc:Fallback/>
  </mc:AlternateContent>
  <xdr:twoCellAnchor>
    <xdr:from>
      <xdr:col>7</xdr:col>
      <xdr:colOff>257735</xdr:colOff>
      <xdr:row>0</xdr:row>
      <xdr:rowOff>112059</xdr:rowOff>
    </xdr:from>
    <xdr:to>
      <xdr:col>13</xdr:col>
      <xdr:colOff>605117</xdr:colOff>
      <xdr:row>2</xdr:row>
      <xdr:rowOff>28576</xdr:rowOff>
    </xdr:to>
    <xdr:sp macro="" textlink="">
      <xdr:nvSpPr>
        <xdr:cNvPr id="140" name="角丸四角形吹き出し 139"/>
        <xdr:cNvSpPr/>
      </xdr:nvSpPr>
      <xdr:spPr>
        <a:xfrm>
          <a:off x="3989294" y="112059"/>
          <a:ext cx="4448735" cy="476811"/>
        </a:xfrm>
        <a:prstGeom prst="wedgeRoundRectCallout">
          <a:avLst>
            <a:gd name="adj1" fmla="val -62755"/>
            <a:gd name="adj2" fmla="val -6669"/>
            <a:gd name="adj3" fmla="val 16667"/>
          </a:avLst>
        </a:prstGeom>
        <a:solidFill>
          <a:srgbClr val="FFCCFF">
            <a:alpha val="81000"/>
          </a:srgbClr>
        </a:solid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altLang="ja-JP"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iD</a:t>
          </a:r>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および</a:t>
          </a:r>
          <a:r>
            <a:rPr lang="en-US" altLang="ja-JP"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WAON</a:t>
          </a:r>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導入の場合はこちらにて業種選択をお願いします。</a:t>
          </a:r>
          <a:endPar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xdr:col>
      <xdr:colOff>347387</xdr:colOff>
      <xdr:row>7</xdr:row>
      <xdr:rowOff>11210</xdr:rowOff>
    </xdr:from>
    <xdr:to>
      <xdr:col>9</xdr:col>
      <xdr:colOff>470645</xdr:colOff>
      <xdr:row>9</xdr:row>
      <xdr:rowOff>62197</xdr:rowOff>
    </xdr:to>
    <xdr:sp macro="" textlink="">
      <xdr:nvSpPr>
        <xdr:cNvPr id="141" name="角丸四角形吹き出し 140"/>
        <xdr:cNvSpPr/>
      </xdr:nvSpPr>
      <xdr:spPr>
        <a:xfrm>
          <a:off x="1748122" y="1792945"/>
          <a:ext cx="3821199" cy="476811"/>
        </a:xfrm>
        <a:prstGeom prst="wedgeRoundRectCallout">
          <a:avLst>
            <a:gd name="adj1" fmla="val -62755"/>
            <a:gd name="adj2" fmla="val -6669"/>
            <a:gd name="adj3" fmla="val 16667"/>
          </a:avLst>
        </a:prstGeom>
        <a:solidFill>
          <a:srgbClr val="FFCCFF">
            <a:alpha val="81000"/>
          </a:srgbClr>
        </a:solid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該当する業種を選択ください。</a:t>
          </a:r>
          <a:endPar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xdr:col>
      <xdr:colOff>56032</xdr:colOff>
      <xdr:row>6</xdr:row>
      <xdr:rowOff>22413</xdr:rowOff>
    </xdr:from>
    <xdr:to>
      <xdr:col>1</xdr:col>
      <xdr:colOff>1064562</xdr:colOff>
      <xdr:row>144</xdr:row>
      <xdr:rowOff>22412</xdr:rowOff>
    </xdr:to>
    <xdr:sp macro="" textlink="">
      <xdr:nvSpPr>
        <xdr:cNvPr id="142" name="角丸四角形 141"/>
        <xdr:cNvSpPr/>
      </xdr:nvSpPr>
      <xdr:spPr>
        <a:xfrm>
          <a:off x="347385" y="1591237"/>
          <a:ext cx="1008530" cy="28821528"/>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380999</xdr:colOff>
      <xdr:row>1</xdr:row>
      <xdr:rowOff>190498</xdr:rowOff>
    </xdr:from>
    <xdr:to>
      <xdr:col>6</xdr:col>
      <xdr:colOff>605118</xdr:colOff>
      <xdr:row>3</xdr:row>
      <xdr:rowOff>112056</xdr:rowOff>
    </xdr:to>
    <xdr:sp macro="" textlink="">
      <xdr:nvSpPr>
        <xdr:cNvPr id="2" name="角丸四角形 1"/>
        <xdr:cNvSpPr/>
      </xdr:nvSpPr>
      <xdr:spPr>
        <a:xfrm>
          <a:off x="1933574" y="409573"/>
          <a:ext cx="2281519" cy="397808"/>
        </a:xfrm>
        <a:prstGeom prst="round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latin typeface="Meiryo UI" panose="020B0604030504040204" pitchFamily="50" charset="-128"/>
              <a:ea typeface="Meiryo UI" panose="020B0604030504040204" pitchFamily="50" charset="-128"/>
              <a:cs typeface="Meiryo UI" panose="020B0604030504040204" pitchFamily="50" charset="-128"/>
            </a:rPr>
            <a:t>必須</a:t>
          </a:r>
        </a:p>
      </xdr:txBody>
    </xdr:sp>
    <xdr:clientData/>
  </xdr:twoCellAnchor>
  <xdr:twoCellAnchor>
    <xdr:from>
      <xdr:col>3</xdr:col>
      <xdr:colOff>403411</xdr:colOff>
      <xdr:row>19</xdr:row>
      <xdr:rowOff>168088</xdr:rowOff>
    </xdr:from>
    <xdr:to>
      <xdr:col>9</xdr:col>
      <xdr:colOff>930088</xdr:colOff>
      <xdr:row>21</xdr:row>
      <xdr:rowOff>78440</xdr:rowOff>
    </xdr:to>
    <xdr:sp macro="" textlink="">
      <xdr:nvSpPr>
        <xdr:cNvPr id="3" name="角丸四角形 2"/>
        <xdr:cNvSpPr/>
      </xdr:nvSpPr>
      <xdr:spPr>
        <a:xfrm>
          <a:off x="1955986" y="4244788"/>
          <a:ext cx="4641477" cy="396127"/>
        </a:xfrm>
        <a:prstGeom prst="round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latin typeface="Meiryo UI" panose="020B0604030504040204" pitchFamily="50" charset="-128"/>
              <a:ea typeface="Meiryo UI" panose="020B0604030504040204" pitchFamily="50" charset="-128"/>
              <a:cs typeface="Meiryo UI" panose="020B0604030504040204" pitchFamily="50" charset="-128"/>
            </a:rPr>
            <a:t>業種により必須</a:t>
          </a:r>
        </a:p>
      </xdr:txBody>
    </xdr:sp>
    <xdr:clientData/>
  </xdr:twoCellAnchor>
  <xdr:twoCellAnchor>
    <xdr:from>
      <xdr:col>3</xdr:col>
      <xdr:colOff>403411</xdr:colOff>
      <xdr:row>45</xdr:row>
      <xdr:rowOff>168088</xdr:rowOff>
    </xdr:from>
    <xdr:to>
      <xdr:col>12</xdr:col>
      <xdr:colOff>504265</xdr:colOff>
      <xdr:row>47</xdr:row>
      <xdr:rowOff>78440</xdr:rowOff>
    </xdr:to>
    <xdr:sp macro="" textlink="">
      <xdr:nvSpPr>
        <xdr:cNvPr id="4" name="角丸四角形 3"/>
        <xdr:cNvSpPr/>
      </xdr:nvSpPr>
      <xdr:spPr>
        <a:xfrm>
          <a:off x="1955986" y="9378763"/>
          <a:ext cx="6549279" cy="386602"/>
        </a:xfrm>
        <a:prstGeom prst="round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latin typeface="Meiryo UI" panose="020B0604030504040204" pitchFamily="50" charset="-128"/>
              <a:ea typeface="Meiryo UI" panose="020B0604030504040204" pitchFamily="50" charset="-128"/>
              <a:cs typeface="Meiryo UI" panose="020B0604030504040204" pitchFamily="50" charset="-128"/>
            </a:rPr>
            <a:t>サイト</a:t>
          </a:r>
          <a:r>
            <a:rPr kumimoji="1" lang="en-US" altLang="ja-JP" sz="1800" b="1">
              <a:latin typeface="Meiryo UI" panose="020B0604030504040204" pitchFamily="50" charset="-128"/>
              <a:ea typeface="Meiryo UI" panose="020B0604030504040204" pitchFamily="50" charset="-128"/>
              <a:cs typeface="Meiryo UI" panose="020B0604030504040204" pitchFamily="50" charset="-128"/>
            </a:rPr>
            <a:t>URL</a:t>
          </a:r>
          <a:r>
            <a:rPr kumimoji="1" lang="ja-JP" altLang="en-US" sz="1800" b="1">
              <a:latin typeface="Meiryo UI" panose="020B0604030504040204" pitchFamily="50" charset="-128"/>
              <a:ea typeface="Meiryo UI" panose="020B0604030504040204" pitchFamily="50" charset="-128"/>
              <a:cs typeface="Meiryo UI" panose="020B0604030504040204" pitchFamily="50" charset="-128"/>
            </a:rPr>
            <a:t>で確認できない場合必須</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17</xdr:col>
      <xdr:colOff>0</xdr:colOff>
      <xdr:row>139</xdr:row>
      <xdr:rowOff>112058</xdr:rowOff>
    </xdr:from>
    <xdr:to>
      <xdr:col>31</xdr:col>
      <xdr:colOff>165516</xdr:colOff>
      <xdr:row>141</xdr:row>
      <xdr:rowOff>137632</xdr:rowOff>
    </xdr:to>
    <xdr:pic>
      <xdr:nvPicPr>
        <xdr:cNvPr id="102" name="図 101"/>
        <xdr:cNvPicPr>
          <a:picLocks noChangeAspect="1"/>
        </xdr:cNvPicPr>
      </xdr:nvPicPr>
      <xdr:blipFill>
        <a:blip xmlns:r="http://schemas.openxmlformats.org/officeDocument/2006/relationships" r:embed="rId1"/>
        <a:stretch>
          <a:fillRect/>
        </a:stretch>
      </xdr:blipFill>
      <xdr:spPr>
        <a:xfrm>
          <a:off x="4381500" y="32866852"/>
          <a:ext cx="3773810" cy="473810"/>
        </a:xfrm>
        <a:prstGeom prst="rect">
          <a:avLst/>
        </a:prstGeom>
      </xdr:spPr>
    </xdr:pic>
    <xdr:clientData/>
  </xdr:twoCellAnchor>
  <mc:AlternateContent xmlns:mc="http://schemas.openxmlformats.org/markup-compatibility/2006">
    <mc:Choice xmlns:a14="http://schemas.microsoft.com/office/drawing/2010/main" Requires="a14">
      <xdr:twoCellAnchor>
        <xdr:from>
          <xdr:col>32</xdr:col>
          <xdr:colOff>203200</xdr:colOff>
          <xdr:row>47</xdr:row>
          <xdr:rowOff>12700</xdr:rowOff>
        </xdr:from>
        <xdr:to>
          <xdr:col>33</xdr:col>
          <xdr:colOff>209550</xdr:colOff>
          <xdr:row>48</xdr:row>
          <xdr:rowOff>0</xdr:rowOff>
        </xdr:to>
        <xdr:sp macro="" textlink="">
          <xdr:nvSpPr>
            <xdr:cNvPr id="13313" name="Option Button 1" hidden="1">
              <a:extLst>
                <a:ext uri="{63B3BB69-23CF-44E3-9099-C40C66FF867C}">
                  <a14:compatExt spid="_x0000_s13313"/>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35</xdr:col>
          <xdr:colOff>171450</xdr:colOff>
          <xdr:row>47</xdr:row>
          <xdr:rowOff>12700</xdr:rowOff>
        </xdr:from>
        <xdr:to>
          <xdr:col>37</xdr:col>
          <xdr:colOff>12700</xdr:colOff>
          <xdr:row>48</xdr:row>
          <xdr:rowOff>0</xdr:rowOff>
        </xdr:to>
        <xdr:sp macro="" textlink="">
          <xdr:nvSpPr>
            <xdr:cNvPr id="13314" name="Option Button 2" hidden="1">
              <a:extLst>
                <a:ext uri="{63B3BB69-23CF-44E3-9099-C40C66FF867C}">
                  <a14:compatExt spid="_x0000_s13314"/>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47</xdr:row>
          <xdr:rowOff>0</xdr:rowOff>
        </xdr:from>
        <xdr:to>
          <xdr:col>46</xdr:col>
          <xdr:colOff>12700</xdr:colOff>
          <xdr:row>48</xdr:row>
          <xdr:rowOff>0</xdr:rowOff>
        </xdr:to>
        <xdr:sp macro="" textlink="">
          <xdr:nvSpPr>
            <xdr:cNvPr id="13315" name="Group Box 3" hidden="1">
              <a:extLst>
                <a:ext uri="{63B3BB69-23CF-44E3-9099-C40C66FF867C}">
                  <a14:compatExt spid="_x0000_s133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165100</xdr:colOff>
          <xdr:row>16</xdr:row>
          <xdr:rowOff>95250</xdr:rowOff>
        </xdr:from>
        <xdr:to>
          <xdr:col>10</xdr:col>
          <xdr:colOff>107950</xdr:colOff>
          <xdr:row>16</xdr:row>
          <xdr:rowOff>285750</xdr:rowOff>
        </xdr:to>
        <xdr:sp macro="" textlink="">
          <xdr:nvSpPr>
            <xdr:cNvPr id="13316" name="Check Box 4" hidden="1">
              <a:extLst>
                <a:ext uri="{63B3BB69-23CF-44E3-9099-C40C66FF867C}">
                  <a14:compatExt spid="_x0000_s133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127000</xdr:colOff>
          <xdr:row>107</xdr:row>
          <xdr:rowOff>127000</xdr:rowOff>
        </xdr:from>
        <xdr:to>
          <xdr:col>9</xdr:col>
          <xdr:colOff>203200</xdr:colOff>
          <xdr:row>108</xdr:row>
          <xdr:rowOff>114300</xdr:rowOff>
        </xdr:to>
        <xdr:sp macro="" textlink="">
          <xdr:nvSpPr>
            <xdr:cNvPr id="13317" name="Option Button 5" hidden="1">
              <a:extLst>
                <a:ext uri="{63B3BB69-23CF-44E3-9099-C40C66FF867C}">
                  <a14:compatExt spid="_x0000_s13317"/>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38100</xdr:colOff>
          <xdr:row>107</xdr:row>
          <xdr:rowOff>127000</xdr:rowOff>
        </xdr:from>
        <xdr:to>
          <xdr:col>13</xdr:col>
          <xdr:colOff>114300</xdr:colOff>
          <xdr:row>108</xdr:row>
          <xdr:rowOff>107950</xdr:rowOff>
        </xdr:to>
        <xdr:sp macro="" textlink="">
          <xdr:nvSpPr>
            <xdr:cNvPr id="13318" name="Option Button 6" hidden="1">
              <a:extLst>
                <a:ext uri="{63B3BB69-23CF-44E3-9099-C40C66FF867C}">
                  <a14:compatExt spid="_x0000_s13318"/>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102</xdr:row>
          <xdr:rowOff>222250</xdr:rowOff>
        </xdr:from>
        <xdr:to>
          <xdr:col>27</xdr:col>
          <xdr:colOff>12700</xdr:colOff>
          <xdr:row>104</xdr:row>
          <xdr:rowOff>222250</xdr:rowOff>
        </xdr:to>
        <xdr:sp macro="" textlink="">
          <xdr:nvSpPr>
            <xdr:cNvPr id="13319" name="Group Box 7" hidden="1">
              <a:extLst>
                <a:ext uri="{63B3BB69-23CF-44E3-9099-C40C66FF867C}">
                  <a14:compatExt spid="_x0000_s133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103</xdr:row>
          <xdr:rowOff>0</xdr:rowOff>
        </xdr:from>
        <xdr:to>
          <xdr:col>46</xdr:col>
          <xdr:colOff>0</xdr:colOff>
          <xdr:row>104</xdr:row>
          <xdr:rowOff>222250</xdr:rowOff>
        </xdr:to>
        <xdr:sp macro="" textlink="">
          <xdr:nvSpPr>
            <xdr:cNvPr id="13320" name="Group Box 8" hidden="1">
              <a:extLst>
                <a:ext uri="{63B3BB69-23CF-44E3-9099-C40C66FF867C}">
                  <a14:compatExt spid="_x0000_s133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40</xdr:col>
          <xdr:colOff>76200</xdr:colOff>
          <xdr:row>103</xdr:row>
          <xdr:rowOff>19050</xdr:rowOff>
        </xdr:from>
        <xdr:to>
          <xdr:col>41</xdr:col>
          <xdr:colOff>152400</xdr:colOff>
          <xdr:row>104</xdr:row>
          <xdr:rowOff>0</xdr:rowOff>
        </xdr:to>
        <xdr:sp macro="" textlink="">
          <xdr:nvSpPr>
            <xdr:cNvPr id="13321" name="Option Button 9" hidden="1">
              <a:extLst>
                <a:ext uri="{63B3BB69-23CF-44E3-9099-C40C66FF867C}">
                  <a14:compatExt spid="_x0000_s133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43</xdr:col>
          <xdr:colOff>76200</xdr:colOff>
          <xdr:row>103</xdr:row>
          <xdr:rowOff>12700</xdr:rowOff>
        </xdr:from>
        <xdr:to>
          <xdr:col>44</xdr:col>
          <xdr:colOff>152400</xdr:colOff>
          <xdr:row>104</xdr:row>
          <xdr:rowOff>0</xdr:rowOff>
        </xdr:to>
        <xdr:sp macro="" textlink="">
          <xdr:nvSpPr>
            <xdr:cNvPr id="13322" name="Option Button 10" hidden="1">
              <a:extLst>
                <a:ext uri="{63B3BB69-23CF-44E3-9099-C40C66FF867C}">
                  <a14:compatExt spid="_x0000_s133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40</xdr:col>
          <xdr:colOff>76200</xdr:colOff>
          <xdr:row>103</xdr:row>
          <xdr:rowOff>222250</xdr:rowOff>
        </xdr:from>
        <xdr:to>
          <xdr:col>41</xdr:col>
          <xdr:colOff>152400</xdr:colOff>
          <xdr:row>104</xdr:row>
          <xdr:rowOff>209550</xdr:rowOff>
        </xdr:to>
        <xdr:sp macro="" textlink="">
          <xdr:nvSpPr>
            <xdr:cNvPr id="13323" name="Option Button 11" hidden="1">
              <a:extLst>
                <a:ext uri="{63B3BB69-23CF-44E3-9099-C40C66FF867C}">
                  <a14:compatExt spid="_x0000_s133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43</xdr:col>
          <xdr:colOff>76200</xdr:colOff>
          <xdr:row>104</xdr:row>
          <xdr:rowOff>0</xdr:rowOff>
        </xdr:from>
        <xdr:to>
          <xdr:col>44</xdr:col>
          <xdr:colOff>152400</xdr:colOff>
          <xdr:row>104</xdr:row>
          <xdr:rowOff>222250</xdr:rowOff>
        </xdr:to>
        <xdr:sp macro="" textlink="">
          <xdr:nvSpPr>
            <xdr:cNvPr id="13324" name="Option Button 12" hidden="1">
              <a:extLst>
                <a:ext uri="{63B3BB69-23CF-44E3-9099-C40C66FF867C}">
                  <a14:compatExt spid="_x0000_s133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107</xdr:row>
          <xdr:rowOff>0</xdr:rowOff>
        </xdr:from>
        <xdr:to>
          <xdr:col>16</xdr:col>
          <xdr:colOff>0</xdr:colOff>
          <xdr:row>108</xdr:row>
          <xdr:rowOff>222250</xdr:rowOff>
        </xdr:to>
        <xdr:sp macro="" textlink="">
          <xdr:nvSpPr>
            <xdr:cNvPr id="13325" name="Group Box 13" hidden="1">
              <a:extLst>
                <a:ext uri="{63B3BB69-23CF-44E3-9099-C40C66FF867C}">
                  <a14:compatExt spid="_x0000_s133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165100</xdr:colOff>
          <xdr:row>90</xdr:row>
          <xdr:rowOff>12700</xdr:rowOff>
        </xdr:from>
        <xdr:to>
          <xdr:col>23</xdr:col>
          <xdr:colOff>12700</xdr:colOff>
          <xdr:row>90</xdr:row>
          <xdr:rowOff>209550</xdr:rowOff>
        </xdr:to>
        <xdr:sp macro="" textlink="">
          <xdr:nvSpPr>
            <xdr:cNvPr id="13326" name="Check Box 14" hidden="1">
              <a:extLst>
                <a:ext uri="{63B3BB69-23CF-44E3-9099-C40C66FF867C}">
                  <a14:compatExt spid="_x0000_s133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184150</xdr:colOff>
          <xdr:row>90</xdr:row>
          <xdr:rowOff>12700</xdr:rowOff>
        </xdr:from>
        <xdr:to>
          <xdr:col>14</xdr:col>
          <xdr:colOff>31750</xdr:colOff>
          <xdr:row>90</xdr:row>
          <xdr:rowOff>209550</xdr:rowOff>
        </xdr:to>
        <xdr:sp macro="" textlink="">
          <xdr:nvSpPr>
            <xdr:cNvPr id="13327" name="Check Box 15" hidden="1">
              <a:extLst>
                <a:ext uri="{63B3BB69-23CF-44E3-9099-C40C66FF867C}">
                  <a14:compatExt spid="_x0000_s133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209550</xdr:colOff>
          <xdr:row>90</xdr:row>
          <xdr:rowOff>12700</xdr:rowOff>
        </xdr:from>
        <xdr:to>
          <xdr:col>27</xdr:col>
          <xdr:colOff>50800</xdr:colOff>
          <xdr:row>90</xdr:row>
          <xdr:rowOff>209550</xdr:rowOff>
        </xdr:to>
        <xdr:sp macro="" textlink="">
          <xdr:nvSpPr>
            <xdr:cNvPr id="13328" name="Check Box 16" hidden="1">
              <a:extLst>
                <a:ext uri="{63B3BB69-23CF-44E3-9099-C40C66FF867C}">
                  <a14:compatExt spid="_x0000_s13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90</xdr:row>
          <xdr:rowOff>12700</xdr:rowOff>
        </xdr:from>
        <xdr:to>
          <xdr:col>32</xdr:col>
          <xdr:colOff>95250</xdr:colOff>
          <xdr:row>90</xdr:row>
          <xdr:rowOff>209550</xdr:rowOff>
        </xdr:to>
        <xdr:sp macro="" textlink="">
          <xdr:nvSpPr>
            <xdr:cNvPr id="13329" name="Check Box 17" hidden="1">
              <a:extLst>
                <a:ext uri="{63B3BB69-23CF-44E3-9099-C40C66FF867C}">
                  <a14:compatExt spid="_x0000_s133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69850</xdr:colOff>
          <xdr:row>103</xdr:row>
          <xdr:rowOff>12700</xdr:rowOff>
        </xdr:from>
        <xdr:to>
          <xdr:col>19</xdr:col>
          <xdr:colOff>165100</xdr:colOff>
          <xdr:row>103</xdr:row>
          <xdr:rowOff>222250</xdr:rowOff>
        </xdr:to>
        <xdr:sp macro="" textlink="">
          <xdr:nvSpPr>
            <xdr:cNvPr id="13330" name="Option Button 18" hidden="1">
              <a:extLst>
                <a:ext uri="{63B3BB69-23CF-44E3-9099-C40C66FF867C}">
                  <a14:compatExt spid="_x0000_s133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103</xdr:row>
          <xdr:rowOff>31750</xdr:rowOff>
        </xdr:from>
        <xdr:to>
          <xdr:col>22</xdr:col>
          <xdr:colOff>165100</xdr:colOff>
          <xdr:row>104</xdr:row>
          <xdr:rowOff>12700</xdr:rowOff>
        </xdr:to>
        <xdr:sp macro="" textlink="">
          <xdr:nvSpPr>
            <xdr:cNvPr id="13341" name="Option Button 29" hidden="1">
              <a:extLst>
                <a:ext uri="{63B3BB69-23CF-44E3-9099-C40C66FF867C}">
                  <a14:compatExt spid="_x0000_s133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50800</xdr:colOff>
          <xdr:row>103</xdr:row>
          <xdr:rowOff>12700</xdr:rowOff>
        </xdr:from>
        <xdr:to>
          <xdr:col>25</xdr:col>
          <xdr:colOff>146050</xdr:colOff>
          <xdr:row>103</xdr:row>
          <xdr:rowOff>222250</xdr:rowOff>
        </xdr:to>
        <xdr:sp macro="" textlink="">
          <xdr:nvSpPr>
            <xdr:cNvPr id="13342" name="Option Button 30" hidden="1">
              <a:extLst>
                <a:ext uri="{63B3BB69-23CF-44E3-9099-C40C66FF867C}">
                  <a14:compatExt spid="_x0000_s133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69850</xdr:colOff>
          <xdr:row>104</xdr:row>
          <xdr:rowOff>19050</xdr:rowOff>
        </xdr:from>
        <xdr:to>
          <xdr:col>19</xdr:col>
          <xdr:colOff>165100</xdr:colOff>
          <xdr:row>104</xdr:row>
          <xdr:rowOff>222250</xdr:rowOff>
        </xdr:to>
        <xdr:sp macro="" textlink="">
          <xdr:nvSpPr>
            <xdr:cNvPr id="13343" name="Option Button 31" hidden="1">
              <a:extLst>
                <a:ext uri="{63B3BB69-23CF-44E3-9099-C40C66FF867C}">
                  <a14:compatExt spid="_x0000_s133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104</xdr:row>
          <xdr:rowOff>19050</xdr:rowOff>
        </xdr:from>
        <xdr:to>
          <xdr:col>22</xdr:col>
          <xdr:colOff>165100</xdr:colOff>
          <xdr:row>104</xdr:row>
          <xdr:rowOff>209550</xdr:rowOff>
        </xdr:to>
        <xdr:sp macro="" textlink="">
          <xdr:nvSpPr>
            <xdr:cNvPr id="13344" name="Option Button 32" hidden="1">
              <a:extLst>
                <a:ext uri="{63B3BB69-23CF-44E3-9099-C40C66FF867C}">
                  <a14:compatExt spid="_x0000_s133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50800</xdr:colOff>
          <xdr:row>104</xdr:row>
          <xdr:rowOff>12700</xdr:rowOff>
        </xdr:from>
        <xdr:to>
          <xdr:col>25</xdr:col>
          <xdr:colOff>146050</xdr:colOff>
          <xdr:row>104</xdr:row>
          <xdr:rowOff>209550</xdr:rowOff>
        </xdr:to>
        <xdr:sp macro="" textlink="">
          <xdr:nvSpPr>
            <xdr:cNvPr id="13345" name="Option Button 33" hidden="1">
              <a:extLst>
                <a:ext uri="{63B3BB69-23CF-44E3-9099-C40C66FF867C}">
                  <a14:compatExt spid="_x0000_s13345"/>
                </a:ext>
              </a:extLst>
            </xdr:cNvPr>
            <xdr:cNvSpPr/>
          </xdr:nvSpPr>
          <xdr:spPr>
            <a:xfrm>
              <a:off x="0" y="0"/>
              <a:ext cx="0" cy="0"/>
            </a:xfrm>
            <a:prstGeom prst="rect">
              <a:avLst/>
            </a:prstGeom>
          </xdr:spPr>
        </xdr:sp>
        <xdr:clientData/>
      </xdr:twoCellAnchor>
    </mc:Choice>
    <mc:Fallback/>
  </mc:AlternateContent>
  <xdr:twoCellAnchor editAs="oneCell">
    <xdr:from>
      <xdr:col>2</xdr:col>
      <xdr:colOff>11205</xdr:colOff>
      <xdr:row>24</xdr:row>
      <xdr:rowOff>11205</xdr:rowOff>
    </xdr:from>
    <xdr:to>
      <xdr:col>11</xdr:col>
      <xdr:colOff>193588</xdr:colOff>
      <xdr:row>25</xdr:row>
      <xdr:rowOff>111087</xdr:rowOff>
    </xdr:to>
    <xdr:sp macro="" textlink="">
      <xdr:nvSpPr>
        <xdr:cNvPr id="40" name="角丸四角形 39"/>
        <xdr:cNvSpPr/>
      </xdr:nvSpPr>
      <xdr:spPr>
        <a:xfrm>
          <a:off x="526676" y="4952999"/>
          <a:ext cx="2502000" cy="324000"/>
        </a:xfrm>
        <a:prstGeom prst="roundRect">
          <a:avLst>
            <a:gd name="adj" fmla="val 50000"/>
          </a:avLst>
        </a:prstGeom>
        <a:solidFill>
          <a:schemeClr val="tx1"/>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1.</a:t>
          </a:r>
          <a:r>
            <a:rPr kumimoji="1"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申込者情報</a:t>
          </a:r>
        </a:p>
      </xdr:txBody>
    </xdr:sp>
    <xdr:clientData/>
  </xdr:twoCellAnchor>
  <xdr:twoCellAnchor editAs="oneCell">
    <xdr:from>
      <xdr:col>2</xdr:col>
      <xdr:colOff>11208</xdr:colOff>
      <xdr:row>45</xdr:row>
      <xdr:rowOff>11189</xdr:rowOff>
    </xdr:from>
    <xdr:to>
      <xdr:col>11</xdr:col>
      <xdr:colOff>193591</xdr:colOff>
      <xdr:row>46</xdr:row>
      <xdr:rowOff>111073</xdr:rowOff>
    </xdr:to>
    <xdr:sp macro="" textlink="">
      <xdr:nvSpPr>
        <xdr:cNvPr id="41" name="角丸四角形 40"/>
        <xdr:cNvSpPr/>
      </xdr:nvSpPr>
      <xdr:spPr>
        <a:xfrm>
          <a:off x="526679" y="8807807"/>
          <a:ext cx="2502000" cy="324000"/>
        </a:xfrm>
        <a:prstGeom prst="roundRect">
          <a:avLst>
            <a:gd name="adj" fmla="val 50000"/>
          </a:avLst>
        </a:prstGeom>
        <a:solidFill>
          <a:schemeClr val="tx1"/>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2.</a:t>
          </a:r>
          <a:r>
            <a:rPr kumimoji="1"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代表者様 情報</a:t>
          </a:r>
        </a:p>
      </xdr:txBody>
    </xdr:sp>
    <xdr:clientData/>
  </xdr:twoCellAnchor>
  <xdr:twoCellAnchor editAs="oneCell">
    <xdr:from>
      <xdr:col>2</xdr:col>
      <xdr:colOff>11195</xdr:colOff>
      <xdr:row>56</xdr:row>
      <xdr:rowOff>224115</xdr:rowOff>
    </xdr:from>
    <xdr:to>
      <xdr:col>11</xdr:col>
      <xdr:colOff>193578</xdr:colOff>
      <xdr:row>58</xdr:row>
      <xdr:rowOff>99880</xdr:rowOff>
    </xdr:to>
    <xdr:sp macro="" textlink="">
      <xdr:nvSpPr>
        <xdr:cNvPr id="48" name="角丸四角形 47"/>
        <xdr:cNvSpPr/>
      </xdr:nvSpPr>
      <xdr:spPr>
        <a:xfrm>
          <a:off x="526666" y="11261909"/>
          <a:ext cx="2502000" cy="324000"/>
        </a:xfrm>
        <a:prstGeom prst="roundRect">
          <a:avLst>
            <a:gd name="adj" fmla="val 50000"/>
          </a:avLst>
        </a:prstGeom>
        <a:solidFill>
          <a:schemeClr val="tx1"/>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3.</a:t>
          </a:r>
          <a:r>
            <a:rPr kumimoji="1"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お取扱い商品・サービス</a:t>
          </a:r>
        </a:p>
      </xdr:txBody>
    </xdr:sp>
    <xdr:clientData/>
  </xdr:twoCellAnchor>
  <mc:AlternateContent xmlns:mc="http://schemas.openxmlformats.org/markup-compatibility/2006">
    <mc:Choice xmlns:a14="http://schemas.microsoft.com/office/drawing/2010/main" Requires="a14">
      <xdr:twoCellAnchor editAs="oneCell">
        <xdr:from>
          <xdr:col>8</xdr:col>
          <xdr:colOff>69850</xdr:colOff>
          <xdr:row>68</xdr:row>
          <xdr:rowOff>19050</xdr:rowOff>
        </xdr:from>
        <xdr:to>
          <xdr:col>9</xdr:col>
          <xdr:colOff>165100</xdr:colOff>
          <xdr:row>69</xdr:row>
          <xdr:rowOff>0</xdr:rowOff>
        </xdr:to>
        <xdr:sp macro="" textlink="">
          <xdr:nvSpPr>
            <xdr:cNvPr id="13358" name="Check Box 46" hidden="1">
              <a:extLst>
                <a:ext uri="{63B3BB69-23CF-44E3-9099-C40C66FF867C}">
                  <a14:compatExt spid="_x0000_s13358"/>
                </a:ext>
              </a:extLst>
            </xdr:cNvPr>
            <xdr:cNvSpPr/>
          </xdr:nvSpPr>
          <xdr:spPr>
            <a:xfrm>
              <a:off x="0" y="0"/>
              <a:ext cx="0" cy="0"/>
            </a:xfrm>
            <a:prstGeom prst="rect">
              <a:avLst/>
            </a:prstGeom>
          </xdr:spPr>
        </xdr:sp>
        <xdr:clientData/>
      </xdr:twoCellAnchor>
    </mc:Choice>
    <mc:Fallback/>
  </mc:AlternateContent>
  <xdr:twoCellAnchor>
    <xdr:from>
      <xdr:col>23</xdr:col>
      <xdr:colOff>244911</xdr:colOff>
      <xdr:row>75</xdr:row>
      <xdr:rowOff>21292</xdr:rowOff>
    </xdr:from>
    <xdr:to>
      <xdr:col>36</xdr:col>
      <xdr:colOff>170352</xdr:colOff>
      <xdr:row>76</xdr:row>
      <xdr:rowOff>13174</xdr:rowOff>
    </xdr:to>
    <xdr:sp macro="" textlink="">
      <xdr:nvSpPr>
        <xdr:cNvPr id="54" name="テキスト ボックス 53"/>
        <xdr:cNvSpPr txBox="1"/>
      </xdr:nvSpPr>
      <xdr:spPr>
        <a:xfrm>
          <a:off x="6172823" y="14644968"/>
          <a:ext cx="3276000" cy="216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000" b="0">
              <a:solidFill>
                <a:srgbClr val="FF66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0">
              <a:solidFill>
                <a:srgbClr val="FF6600"/>
              </a:solidFill>
              <a:latin typeface="Meiryo UI" panose="020B0604030504040204" pitchFamily="50" charset="-128"/>
              <a:ea typeface="Meiryo UI" panose="020B0604030504040204" pitchFamily="50" charset="-128"/>
              <a:cs typeface="Meiryo UI" panose="020B0604030504040204" pitchFamily="50" charset="-128"/>
            </a:rPr>
            <a:t>カードご利用明細およびレシートに記載される表記です。</a:t>
          </a:r>
          <a:endParaRPr kumimoji="1" lang="en-US" altLang="ja-JP" sz="1000" b="0">
            <a:solidFill>
              <a:srgbClr val="FF66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25</xdr:col>
          <xdr:colOff>152400</xdr:colOff>
          <xdr:row>79</xdr:row>
          <xdr:rowOff>12700</xdr:rowOff>
        </xdr:from>
        <xdr:to>
          <xdr:col>27</xdr:col>
          <xdr:colOff>0</xdr:colOff>
          <xdr:row>79</xdr:row>
          <xdr:rowOff>222250</xdr:rowOff>
        </xdr:to>
        <xdr:sp macro="" textlink="">
          <xdr:nvSpPr>
            <xdr:cNvPr id="13359" name="Check Box 47" hidden="1">
              <a:extLst>
                <a:ext uri="{63B3BB69-23CF-44E3-9099-C40C66FF867C}">
                  <a14:compatExt spid="_x0000_s133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165100</xdr:colOff>
          <xdr:row>79</xdr:row>
          <xdr:rowOff>12700</xdr:rowOff>
        </xdr:from>
        <xdr:to>
          <xdr:col>31</xdr:col>
          <xdr:colOff>0</xdr:colOff>
          <xdr:row>79</xdr:row>
          <xdr:rowOff>222250</xdr:rowOff>
        </xdr:to>
        <xdr:sp macro="" textlink="">
          <xdr:nvSpPr>
            <xdr:cNvPr id="13360" name="Check Box 48" hidden="1">
              <a:extLst>
                <a:ext uri="{63B3BB69-23CF-44E3-9099-C40C66FF867C}">
                  <a14:compatExt spid="_x0000_s133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152400</xdr:colOff>
          <xdr:row>79</xdr:row>
          <xdr:rowOff>12700</xdr:rowOff>
        </xdr:from>
        <xdr:to>
          <xdr:col>29</xdr:col>
          <xdr:colOff>3362</xdr:colOff>
          <xdr:row>79</xdr:row>
          <xdr:rowOff>222250</xdr:rowOff>
        </xdr:to>
        <xdr:sp macro="" textlink="">
          <xdr:nvSpPr>
            <xdr:cNvPr id="13361" name="Check Box 49" hidden="1">
              <a:extLst>
                <a:ext uri="{63B3BB69-23CF-44E3-9099-C40C66FF867C}">
                  <a14:compatExt spid="_x0000_s133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165100</xdr:colOff>
          <xdr:row>79</xdr:row>
          <xdr:rowOff>12700</xdr:rowOff>
        </xdr:from>
        <xdr:to>
          <xdr:col>33</xdr:col>
          <xdr:colOff>0</xdr:colOff>
          <xdr:row>79</xdr:row>
          <xdr:rowOff>222250</xdr:rowOff>
        </xdr:to>
        <xdr:sp macro="" textlink="">
          <xdr:nvSpPr>
            <xdr:cNvPr id="13362" name="Check Box 50" hidden="1">
              <a:extLst>
                <a:ext uri="{63B3BB69-23CF-44E3-9099-C40C66FF867C}">
                  <a14:compatExt spid="_x0000_s133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165100</xdr:colOff>
          <xdr:row>79</xdr:row>
          <xdr:rowOff>12700</xdr:rowOff>
        </xdr:from>
        <xdr:to>
          <xdr:col>35</xdr:col>
          <xdr:colOff>0</xdr:colOff>
          <xdr:row>79</xdr:row>
          <xdr:rowOff>222250</xdr:rowOff>
        </xdr:to>
        <xdr:sp macro="" textlink="">
          <xdr:nvSpPr>
            <xdr:cNvPr id="13363" name="Check Box 51" hidden="1">
              <a:extLst>
                <a:ext uri="{63B3BB69-23CF-44E3-9099-C40C66FF867C}">
                  <a14:compatExt spid="_x0000_s133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165100</xdr:colOff>
          <xdr:row>79</xdr:row>
          <xdr:rowOff>12700</xdr:rowOff>
        </xdr:from>
        <xdr:to>
          <xdr:col>37</xdr:col>
          <xdr:colOff>0</xdr:colOff>
          <xdr:row>79</xdr:row>
          <xdr:rowOff>222250</xdr:rowOff>
        </xdr:to>
        <xdr:sp macro="" textlink="">
          <xdr:nvSpPr>
            <xdr:cNvPr id="13364" name="Check Box 52" hidden="1">
              <a:extLst>
                <a:ext uri="{63B3BB69-23CF-44E3-9099-C40C66FF867C}">
                  <a14:compatExt spid="_x0000_s133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165100</xdr:colOff>
          <xdr:row>79</xdr:row>
          <xdr:rowOff>12700</xdr:rowOff>
        </xdr:from>
        <xdr:to>
          <xdr:col>39</xdr:col>
          <xdr:colOff>0</xdr:colOff>
          <xdr:row>79</xdr:row>
          <xdr:rowOff>222250</xdr:rowOff>
        </xdr:to>
        <xdr:sp macro="" textlink="">
          <xdr:nvSpPr>
            <xdr:cNvPr id="13365" name="Check Box 53" hidden="1">
              <a:extLst>
                <a:ext uri="{63B3BB69-23CF-44E3-9099-C40C66FF867C}">
                  <a14:compatExt spid="_x0000_s133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165100</xdr:colOff>
          <xdr:row>79</xdr:row>
          <xdr:rowOff>12700</xdr:rowOff>
        </xdr:from>
        <xdr:to>
          <xdr:col>41</xdr:col>
          <xdr:colOff>19050</xdr:colOff>
          <xdr:row>79</xdr:row>
          <xdr:rowOff>222250</xdr:rowOff>
        </xdr:to>
        <xdr:sp macro="" textlink="">
          <xdr:nvSpPr>
            <xdr:cNvPr id="13366" name="Check Box 54" hidden="1">
              <a:extLst>
                <a:ext uri="{63B3BB69-23CF-44E3-9099-C40C66FF867C}">
                  <a14:compatExt spid="_x0000_s13366"/>
                </a:ext>
              </a:extLst>
            </xdr:cNvPr>
            <xdr:cNvSpPr/>
          </xdr:nvSpPr>
          <xdr:spPr>
            <a:xfrm>
              <a:off x="0" y="0"/>
              <a:ext cx="0" cy="0"/>
            </a:xfrm>
            <a:prstGeom prst="rect">
              <a:avLst/>
            </a:prstGeom>
          </xdr:spPr>
        </xdr:sp>
        <xdr:clientData/>
      </xdr:twoCellAnchor>
    </mc:Choice>
    <mc:Fallback/>
  </mc:AlternateContent>
  <xdr:twoCellAnchor editAs="oneCell">
    <xdr:from>
      <xdr:col>2</xdr:col>
      <xdr:colOff>11206</xdr:colOff>
      <xdr:row>101</xdr:row>
      <xdr:rowOff>11203</xdr:rowOff>
    </xdr:from>
    <xdr:to>
      <xdr:col>11</xdr:col>
      <xdr:colOff>194283</xdr:colOff>
      <xdr:row>102</xdr:row>
      <xdr:rowOff>111087</xdr:rowOff>
    </xdr:to>
    <xdr:sp macro="" textlink="">
      <xdr:nvSpPr>
        <xdr:cNvPr id="65" name="角丸四角形 64"/>
        <xdr:cNvSpPr/>
      </xdr:nvSpPr>
      <xdr:spPr>
        <a:xfrm>
          <a:off x="526677" y="17772527"/>
          <a:ext cx="2502694" cy="324000"/>
        </a:xfrm>
        <a:prstGeom prst="roundRect">
          <a:avLst>
            <a:gd name="adj" fmla="val 50000"/>
          </a:avLst>
        </a:prstGeom>
        <a:solidFill>
          <a:schemeClr val="tx1"/>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bg1"/>
              </a:solidFill>
              <a:latin typeface="+mj-ea"/>
              <a:ea typeface="+mj-ea"/>
            </a:rPr>
            <a:t>4.</a:t>
          </a:r>
          <a:r>
            <a:rPr kumimoji="1" lang="ja-JP" altLang="en-US" sz="1400" b="1">
              <a:solidFill>
                <a:schemeClr val="bg1"/>
              </a:solidFill>
              <a:latin typeface="+mj-ea"/>
              <a:ea typeface="+mj-ea"/>
            </a:rPr>
            <a:t>振込先 金融機関口座情報</a:t>
          </a:r>
        </a:p>
      </xdr:txBody>
    </xdr:sp>
    <xdr:clientData/>
  </xdr:twoCellAnchor>
  <xdr:twoCellAnchor editAs="oneCell">
    <xdr:from>
      <xdr:col>2</xdr:col>
      <xdr:colOff>0</xdr:colOff>
      <xdr:row>114</xdr:row>
      <xdr:rowOff>0</xdr:rowOff>
    </xdr:from>
    <xdr:to>
      <xdr:col>11</xdr:col>
      <xdr:colOff>183077</xdr:colOff>
      <xdr:row>115</xdr:row>
      <xdr:rowOff>99881</xdr:rowOff>
    </xdr:to>
    <xdr:sp macro="" textlink="">
      <xdr:nvSpPr>
        <xdr:cNvPr id="66" name="角丸四角形 65"/>
        <xdr:cNvSpPr/>
      </xdr:nvSpPr>
      <xdr:spPr>
        <a:xfrm>
          <a:off x="515471" y="20674853"/>
          <a:ext cx="2502694" cy="324000"/>
        </a:xfrm>
        <a:prstGeom prst="roundRect">
          <a:avLst>
            <a:gd name="adj" fmla="val 50000"/>
          </a:avLst>
        </a:prstGeom>
        <a:solidFill>
          <a:schemeClr val="tx1"/>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bg1"/>
              </a:solidFill>
              <a:latin typeface="+mj-ea"/>
              <a:ea typeface="+mj-ea"/>
            </a:rPr>
            <a:t>5.</a:t>
          </a:r>
          <a:r>
            <a:rPr kumimoji="1" lang="ja-JP" altLang="en-US" sz="1400" b="1">
              <a:solidFill>
                <a:schemeClr val="bg1"/>
              </a:solidFill>
              <a:latin typeface="+mj-ea"/>
              <a:ea typeface="+mj-ea"/>
            </a:rPr>
            <a:t>ご担当者様情報</a:t>
          </a:r>
        </a:p>
      </xdr:txBody>
    </xdr:sp>
    <xdr:clientData/>
  </xdr:twoCellAnchor>
  <mc:AlternateContent xmlns:mc="http://schemas.openxmlformats.org/markup-compatibility/2006">
    <mc:Choice xmlns:a14="http://schemas.microsoft.com/office/drawing/2010/main" Requires="a14">
      <xdr:twoCellAnchor editAs="oneCell">
        <xdr:from>
          <xdr:col>8</xdr:col>
          <xdr:colOff>0</xdr:colOff>
          <xdr:row>126</xdr:row>
          <xdr:rowOff>222250</xdr:rowOff>
        </xdr:from>
        <xdr:to>
          <xdr:col>46</xdr:col>
          <xdr:colOff>3362</xdr:colOff>
          <xdr:row>127</xdr:row>
          <xdr:rowOff>222250</xdr:rowOff>
        </xdr:to>
        <xdr:sp macro="" textlink="">
          <xdr:nvSpPr>
            <xdr:cNvPr id="13377" name="Group Box 65" hidden="1">
              <a:extLst>
                <a:ext uri="{63B3BB69-23CF-44E3-9099-C40C66FF867C}">
                  <a14:compatExt spid="_x0000_s133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90</xdr:row>
          <xdr:rowOff>0</xdr:rowOff>
        </xdr:from>
        <xdr:to>
          <xdr:col>10</xdr:col>
          <xdr:colOff>38100</xdr:colOff>
          <xdr:row>90</xdr:row>
          <xdr:rowOff>222250</xdr:rowOff>
        </xdr:to>
        <xdr:sp macro="" textlink="">
          <xdr:nvSpPr>
            <xdr:cNvPr id="13382" name="Check Box 70" hidden="1">
              <a:extLst>
                <a:ext uri="{63B3BB69-23CF-44E3-9099-C40C66FF867C}">
                  <a14:compatExt spid="_x0000_s133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90</xdr:row>
          <xdr:rowOff>0</xdr:rowOff>
        </xdr:from>
        <xdr:to>
          <xdr:col>18</xdr:col>
          <xdr:colOff>19050</xdr:colOff>
          <xdr:row>90</xdr:row>
          <xdr:rowOff>209550</xdr:rowOff>
        </xdr:to>
        <xdr:sp macro="" textlink="">
          <xdr:nvSpPr>
            <xdr:cNvPr id="13384" name="Check Box 72" hidden="1">
              <a:extLst>
                <a:ext uri="{63B3BB69-23CF-44E3-9099-C40C66FF867C}">
                  <a14:compatExt spid="_x0000_s133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92</xdr:row>
          <xdr:rowOff>127000</xdr:rowOff>
        </xdr:from>
        <xdr:to>
          <xdr:col>11</xdr:col>
          <xdr:colOff>50800</xdr:colOff>
          <xdr:row>93</xdr:row>
          <xdr:rowOff>107950</xdr:rowOff>
        </xdr:to>
        <xdr:sp macro="" textlink="">
          <xdr:nvSpPr>
            <xdr:cNvPr id="13433" name="Option Button 121" hidden="1">
              <a:extLst>
                <a:ext uri="{63B3BB69-23CF-44E3-9099-C40C66FF867C}">
                  <a14:compatExt spid="_x0000_s134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92</xdr:row>
          <xdr:rowOff>127000</xdr:rowOff>
        </xdr:from>
        <xdr:to>
          <xdr:col>15</xdr:col>
          <xdr:colOff>50800</xdr:colOff>
          <xdr:row>93</xdr:row>
          <xdr:rowOff>107950</xdr:rowOff>
        </xdr:to>
        <xdr:sp macro="" textlink="">
          <xdr:nvSpPr>
            <xdr:cNvPr id="13434" name="Option Button 122" hidden="1">
              <a:extLst>
                <a:ext uri="{63B3BB69-23CF-44E3-9099-C40C66FF867C}">
                  <a14:compatExt spid="_x0000_s13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92</xdr:row>
          <xdr:rowOff>0</xdr:rowOff>
        </xdr:from>
        <xdr:to>
          <xdr:col>17</xdr:col>
          <xdr:colOff>0</xdr:colOff>
          <xdr:row>94</xdr:row>
          <xdr:rowOff>0</xdr:rowOff>
        </xdr:to>
        <xdr:sp macro="" textlink="">
          <xdr:nvSpPr>
            <xdr:cNvPr id="13435" name="Group Box 123" hidden="1">
              <a:extLst>
                <a:ext uri="{63B3BB69-23CF-44E3-9099-C40C66FF867C}">
                  <a14:compatExt spid="_x0000_s134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31750</xdr:colOff>
          <xdr:row>94</xdr:row>
          <xdr:rowOff>114300</xdr:rowOff>
        </xdr:from>
        <xdr:to>
          <xdr:col>11</xdr:col>
          <xdr:colOff>50800</xdr:colOff>
          <xdr:row>95</xdr:row>
          <xdr:rowOff>95250</xdr:rowOff>
        </xdr:to>
        <xdr:sp macro="" textlink="">
          <xdr:nvSpPr>
            <xdr:cNvPr id="13437" name="Option Button 125" hidden="1">
              <a:extLst>
                <a:ext uri="{63B3BB69-23CF-44E3-9099-C40C66FF867C}">
                  <a14:compatExt spid="_x0000_s13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31750</xdr:colOff>
          <xdr:row>94</xdr:row>
          <xdr:rowOff>114300</xdr:rowOff>
        </xdr:from>
        <xdr:to>
          <xdr:col>15</xdr:col>
          <xdr:colOff>50800</xdr:colOff>
          <xdr:row>95</xdr:row>
          <xdr:rowOff>95250</xdr:rowOff>
        </xdr:to>
        <xdr:sp macro="" textlink="">
          <xdr:nvSpPr>
            <xdr:cNvPr id="13438" name="Option Button 126" hidden="1">
              <a:extLst>
                <a:ext uri="{63B3BB69-23CF-44E3-9099-C40C66FF867C}">
                  <a14:compatExt spid="_x0000_s134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94</xdr:row>
          <xdr:rowOff>0</xdr:rowOff>
        </xdr:from>
        <xdr:to>
          <xdr:col>17</xdr:col>
          <xdr:colOff>0</xdr:colOff>
          <xdr:row>96</xdr:row>
          <xdr:rowOff>0</xdr:rowOff>
        </xdr:to>
        <xdr:sp macro="" textlink="">
          <xdr:nvSpPr>
            <xdr:cNvPr id="13439" name="Group Box 127" hidden="1">
              <a:extLst>
                <a:ext uri="{63B3BB69-23CF-44E3-9099-C40C66FF867C}">
                  <a14:compatExt spid="_x0000_s134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92</xdr:row>
          <xdr:rowOff>127000</xdr:rowOff>
        </xdr:from>
        <xdr:to>
          <xdr:col>26</xdr:col>
          <xdr:colOff>69850</xdr:colOff>
          <xdr:row>93</xdr:row>
          <xdr:rowOff>107950</xdr:rowOff>
        </xdr:to>
        <xdr:sp macro="" textlink="">
          <xdr:nvSpPr>
            <xdr:cNvPr id="13440" name="Option Button 128" hidden="1">
              <a:extLst>
                <a:ext uri="{63B3BB69-23CF-44E3-9099-C40C66FF867C}">
                  <a14:compatExt spid="_x0000_s134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92</xdr:row>
          <xdr:rowOff>127000</xdr:rowOff>
        </xdr:from>
        <xdr:to>
          <xdr:col>30</xdr:col>
          <xdr:colOff>69850</xdr:colOff>
          <xdr:row>93</xdr:row>
          <xdr:rowOff>107950</xdr:rowOff>
        </xdr:to>
        <xdr:sp macro="" textlink="">
          <xdr:nvSpPr>
            <xdr:cNvPr id="13441" name="Option Button 129" hidden="1">
              <a:extLst>
                <a:ext uri="{63B3BB69-23CF-44E3-9099-C40C66FF867C}">
                  <a14:compatExt spid="_x0000_s134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94</xdr:row>
          <xdr:rowOff>114300</xdr:rowOff>
        </xdr:from>
        <xdr:to>
          <xdr:col>26</xdr:col>
          <xdr:colOff>69850</xdr:colOff>
          <xdr:row>95</xdr:row>
          <xdr:rowOff>95250</xdr:rowOff>
        </xdr:to>
        <xdr:sp macro="" textlink="">
          <xdr:nvSpPr>
            <xdr:cNvPr id="13442" name="Option Button 130" hidden="1">
              <a:extLst>
                <a:ext uri="{63B3BB69-23CF-44E3-9099-C40C66FF867C}">
                  <a14:compatExt spid="_x0000_s134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94</xdr:row>
          <xdr:rowOff>114300</xdr:rowOff>
        </xdr:from>
        <xdr:to>
          <xdr:col>30</xdr:col>
          <xdr:colOff>69850</xdr:colOff>
          <xdr:row>95</xdr:row>
          <xdr:rowOff>95250</xdr:rowOff>
        </xdr:to>
        <xdr:sp macro="" textlink="">
          <xdr:nvSpPr>
            <xdr:cNvPr id="13443" name="Option Button 131" hidden="1">
              <a:extLst>
                <a:ext uri="{63B3BB69-23CF-44E3-9099-C40C66FF867C}">
                  <a14:compatExt spid="_x0000_s134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92</xdr:row>
          <xdr:rowOff>127000</xdr:rowOff>
        </xdr:from>
        <xdr:to>
          <xdr:col>41</xdr:col>
          <xdr:colOff>69850</xdr:colOff>
          <xdr:row>93</xdr:row>
          <xdr:rowOff>107950</xdr:rowOff>
        </xdr:to>
        <xdr:sp macro="" textlink="">
          <xdr:nvSpPr>
            <xdr:cNvPr id="13444" name="Option Button 132" hidden="1">
              <a:extLst>
                <a:ext uri="{63B3BB69-23CF-44E3-9099-C40C66FF867C}">
                  <a14:compatExt spid="_x0000_s134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92</xdr:row>
          <xdr:rowOff>127000</xdr:rowOff>
        </xdr:from>
        <xdr:to>
          <xdr:col>45</xdr:col>
          <xdr:colOff>69850</xdr:colOff>
          <xdr:row>93</xdr:row>
          <xdr:rowOff>107950</xdr:rowOff>
        </xdr:to>
        <xdr:sp macro="" textlink="">
          <xdr:nvSpPr>
            <xdr:cNvPr id="13445" name="Option Button 133" hidden="1">
              <a:extLst>
                <a:ext uri="{63B3BB69-23CF-44E3-9099-C40C66FF867C}">
                  <a14:compatExt spid="_x0000_s134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94</xdr:row>
          <xdr:rowOff>114300</xdr:rowOff>
        </xdr:from>
        <xdr:to>
          <xdr:col>41</xdr:col>
          <xdr:colOff>69850</xdr:colOff>
          <xdr:row>95</xdr:row>
          <xdr:rowOff>95250</xdr:rowOff>
        </xdr:to>
        <xdr:sp macro="" textlink="">
          <xdr:nvSpPr>
            <xdr:cNvPr id="13446" name="Option Button 134" hidden="1">
              <a:extLst>
                <a:ext uri="{63B3BB69-23CF-44E3-9099-C40C66FF867C}">
                  <a14:compatExt spid="_x0000_s134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94</xdr:row>
          <xdr:rowOff>114300</xdr:rowOff>
        </xdr:from>
        <xdr:to>
          <xdr:col>45</xdr:col>
          <xdr:colOff>69850</xdr:colOff>
          <xdr:row>95</xdr:row>
          <xdr:rowOff>95250</xdr:rowOff>
        </xdr:to>
        <xdr:sp macro="" textlink="">
          <xdr:nvSpPr>
            <xdr:cNvPr id="13447" name="Option Button 135" hidden="1">
              <a:extLst>
                <a:ext uri="{63B3BB69-23CF-44E3-9099-C40C66FF867C}">
                  <a14:compatExt spid="_x0000_s134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92</xdr:row>
          <xdr:rowOff>0</xdr:rowOff>
        </xdr:from>
        <xdr:to>
          <xdr:col>32</xdr:col>
          <xdr:colOff>0</xdr:colOff>
          <xdr:row>94</xdr:row>
          <xdr:rowOff>0</xdr:rowOff>
        </xdr:to>
        <xdr:sp macro="" textlink="">
          <xdr:nvSpPr>
            <xdr:cNvPr id="13448" name="Group Box 136" hidden="1">
              <a:extLst>
                <a:ext uri="{63B3BB69-23CF-44E3-9099-C40C66FF867C}">
                  <a14:compatExt spid="_x0000_s134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94</xdr:row>
          <xdr:rowOff>0</xdr:rowOff>
        </xdr:from>
        <xdr:to>
          <xdr:col>32</xdr:col>
          <xdr:colOff>0</xdr:colOff>
          <xdr:row>96</xdr:row>
          <xdr:rowOff>0</xdr:rowOff>
        </xdr:to>
        <xdr:sp macro="" textlink="">
          <xdr:nvSpPr>
            <xdr:cNvPr id="13449" name="Group Box 137" hidden="1">
              <a:extLst>
                <a:ext uri="{63B3BB69-23CF-44E3-9099-C40C66FF867C}">
                  <a14:compatExt spid="_x0000_s134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92</xdr:row>
          <xdr:rowOff>0</xdr:rowOff>
        </xdr:from>
        <xdr:to>
          <xdr:col>46</xdr:col>
          <xdr:colOff>0</xdr:colOff>
          <xdr:row>94</xdr:row>
          <xdr:rowOff>0</xdr:rowOff>
        </xdr:to>
        <xdr:sp macro="" textlink="">
          <xdr:nvSpPr>
            <xdr:cNvPr id="13450" name="Group Box 138" hidden="1">
              <a:extLst>
                <a:ext uri="{63B3BB69-23CF-44E3-9099-C40C66FF867C}">
                  <a14:compatExt spid="_x0000_s134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94</xdr:row>
          <xdr:rowOff>0</xdr:rowOff>
        </xdr:from>
        <xdr:to>
          <xdr:col>46</xdr:col>
          <xdr:colOff>0</xdr:colOff>
          <xdr:row>96</xdr:row>
          <xdr:rowOff>0</xdr:rowOff>
        </xdr:to>
        <xdr:sp macro="" textlink="">
          <xdr:nvSpPr>
            <xdr:cNvPr id="13451" name="Group Box 139" hidden="1">
              <a:extLst>
                <a:ext uri="{63B3BB69-23CF-44E3-9099-C40C66FF867C}">
                  <a14:compatExt spid="_x0000_s134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0</xdr:colOff>
          <xdr:row>20</xdr:row>
          <xdr:rowOff>69850</xdr:rowOff>
        </xdr:from>
        <xdr:to>
          <xdr:col>42</xdr:col>
          <xdr:colOff>107950</xdr:colOff>
          <xdr:row>21</xdr:row>
          <xdr:rowOff>95250</xdr:rowOff>
        </xdr:to>
        <xdr:sp macro="" textlink="">
          <xdr:nvSpPr>
            <xdr:cNvPr id="13454" name="Option Button 142" hidden="1">
              <a:extLst>
                <a:ext uri="{63B3BB69-23CF-44E3-9099-C40C66FF867C}">
                  <a14:compatExt spid="_x0000_s134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127000</xdr:colOff>
          <xdr:row>20</xdr:row>
          <xdr:rowOff>69850</xdr:rowOff>
        </xdr:from>
        <xdr:to>
          <xdr:col>44</xdr:col>
          <xdr:colOff>222250</xdr:colOff>
          <xdr:row>21</xdr:row>
          <xdr:rowOff>95250</xdr:rowOff>
        </xdr:to>
        <xdr:sp macro="" textlink="">
          <xdr:nvSpPr>
            <xdr:cNvPr id="13455" name="Option Button 143" hidden="1">
              <a:extLst>
                <a:ext uri="{63B3BB69-23CF-44E3-9099-C40C66FF867C}">
                  <a14:compatExt spid="_x0000_s134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152400</xdr:colOff>
          <xdr:row>19</xdr:row>
          <xdr:rowOff>19050</xdr:rowOff>
        </xdr:from>
        <xdr:to>
          <xdr:col>45</xdr:col>
          <xdr:colOff>228600</xdr:colOff>
          <xdr:row>21</xdr:row>
          <xdr:rowOff>203200</xdr:rowOff>
        </xdr:to>
        <xdr:sp macro="" textlink="">
          <xdr:nvSpPr>
            <xdr:cNvPr id="13456" name="Group Box 144" hidden="1">
              <a:extLst>
                <a:ext uri="{63B3BB69-23CF-44E3-9099-C40C66FF867C}">
                  <a14:compatExt spid="_x0000_s134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228600</xdr:colOff>
          <xdr:row>127</xdr:row>
          <xdr:rowOff>12700</xdr:rowOff>
        </xdr:from>
        <xdr:to>
          <xdr:col>12</xdr:col>
          <xdr:colOff>31750</xdr:colOff>
          <xdr:row>127</xdr:row>
          <xdr:rowOff>203200</xdr:rowOff>
        </xdr:to>
        <xdr:sp macro="" textlink="">
          <xdr:nvSpPr>
            <xdr:cNvPr id="13465" name="Option Button 153" hidden="1">
              <a:extLst>
                <a:ext uri="{63B3BB69-23CF-44E3-9099-C40C66FF867C}">
                  <a14:compatExt spid="_x0000_s134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222250</xdr:colOff>
          <xdr:row>127</xdr:row>
          <xdr:rowOff>12700</xdr:rowOff>
        </xdr:from>
        <xdr:to>
          <xdr:col>24</xdr:col>
          <xdr:colOff>19050</xdr:colOff>
          <xdr:row>127</xdr:row>
          <xdr:rowOff>203200</xdr:rowOff>
        </xdr:to>
        <xdr:sp macro="" textlink="">
          <xdr:nvSpPr>
            <xdr:cNvPr id="13466" name="Option Button 154" hidden="1">
              <a:extLst>
                <a:ext uri="{63B3BB69-23CF-44E3-9099-C40C66FF867C}">
                  <a14:compatExt spid="_x0000_s134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12700</xdr:colOff>
          <xdr:row>126</xdr:row>
          <xdr:rowOff>203200</xdr:rowOff>
        </xdr:from>
        <xdr:to>
          <xdr:col>27</xdr:col>
          <xdr:colOff>3362</xdr:colOff>
          <xdr:row>131</xdr:row>
          <xdr:rowOff>19050</xdr:rowOff>
        </xdr:to>
        <xdr:sp macro="" textlink="">
          <xdr:nvSpPr>
            <xdr:cNvPr id="13467" name="Group Box 155" hidden="1">
              <a:extLst>
                <a:ext uri="{63B3BB69-23CF-44E3-9099-C40C66FF867C}">
                  <a14:compatExt spid="_x0000_s13467"/>
                </a:ext>
              </a:extLst>
            </xdr:cNvPr>
            <xdr:cNvSpPr/>
          </xdr:nvSpPr>
          <xdr:spPr>
            <a:xfrm>
              <a:off x="0" y="0"/>
              <a:ext cx="0" cy="0"/>
            </a:xfrm>
            <a:prstGeom prst="rect">
              <a:avLst/>
            </a:prstGeom>
          </xdr:spPr>
        </xdr:sp>
        <xdr:clientData/>
      </xdr:twoCellAnchor>
    </mc:Choice>
    <mc:Fallback/>
  </mc:AlternateContent>
  <xdr:oneCellAnchor>
    <xdr:from>
      <xdr:col>8</xdr:col>
      <xdr:colOff>11206</xdr:colOff>
      <xdr:row>47</xdr:row>
      <xdr:rowOff>201705</xdr:rowOff>
    </xdr:from>
    <xdr:ext cx="188119" cy="190565"/>
    <xdr:sp macro="" textlink="">
      <xdr:nvSpPr>
        <xdr:cNvPr id="100" name="テキスト ボックス 99"/>
        <xdr:cNvSpPr txBox="1"/>
      </xdr:nvSpPr>
      <xdr:spPr>
        <a:xfrm>
          <a:off x="2073088" y="11956676"/>
          <a:ext cx="188119" cy="1905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nchorCtr="1">
          <a:spAutoFit/>
        </a:bodyPr>
        <a:lstStyle/>
        <a:p>
          <a:r>
            <a:rPr kumimoji="1" lang="ja-JP" altLang="en-US" sz="900">
              <a:latin typeface="Meiryo UI" panose="020B0604030504040204" pitchFamily="50" charset="-128"/>
              <a:ea typeface="Meiryo UI" panose="020B0604030504040204" pitchFamily="50" charset="-128"/>
            </a:rPr>
            <a:t>姓</a:t>
          </a:r>
        </a:p>
      </xdr:txBody>
    </xdr:sp>
    <xdr:clientData/>
  </xdr:oneCellAnchor>
  <xdr:oneCellAnchor>
    <xdr:from>
      <xdr:col>14</xdr:col>
      <xdr:colOff>12296</xdr:colOff>
      <xdr:row>47</xdr:row>
      <xdr:rowOff>200027</xdr:rowOff>
    </xdr:from>
    <xdr:ext cx="188119" cy="190565"/>
    <xdr:sp macro="" textlink="">
      <xdr:nvSpPr>
        <xdr:cNvPr id="101" name="テキスト ボックス 100"/>
        <xdr:cNvSpPr txBox="1"/>
      </xdr:nvSpPr>
      <xdr:spPr>
        <a:xfrm>
          <a:off x="3620590" y="11954998"/>
          <a:ext cx="188119" cy="1905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nchorCtr="1">
          <a:spAutoFit/>
        </a:bodyPr>
        <a:lstStyle/>
        <a:p>
          <a:r>
            <a:rPr kumimoji="1" lang="ja-JP" altLang="en-US" sz="900">
              <a:latin typeface="Meiryo UI" panose="020B0604030504040204" pitchFamily="50" charset="-128"/>
              <a:ea typeface="Meiryo UI" panose="020B0604030504040204" pitchFamily="50" charset="-128"/>
            </a:rPr>
            <a:t>名</a:t>
          </a:r>
        </a:p>
      </xdr:txBody>
    </xdr:sp>
    <xdr:clientData/>
  </xdr:oneCellAnchor>
  <xdr:twoCellAnchor>
    <xdr:from>
      <xdr:col>30</xdr:col>
      <xdr:colOff>123325</xdr:colOff>
      <xdr:row>34</xdr:row>
      <xdr:rowOff>11204</xdr:rowOff>
    </xdr:from>
    <xdr:to>
      <xdr:col>45</xdr:col>
      <xdr:colOff>253296</xdr:colOff>
      <xdr:row>35</xdr:row>
      <xdr:rowOff>3359</xdr:rowOff>
    </xdr:to>
    <xdr:sp macro="" textlink="">
      <xdr:nvSpPr>
        <xdr:cNvPr id="107" name="テキスト ボックス 106"/>
        <xdr:cNvSpPr txBox="1"/>
      </xdr:nvSpPr>
      <xdr:spPr>
        <a:xfrm>
          <a:off x="7838575" y="7650254"/>
          <a:ext cx="3987596" cy="2207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050" b="0">
              <a:solidFill>
                <a:srgbClr val="FF66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b="0">
              <a:solidFill>
                <a:srgbClr val="FF6600"/>
              </a:solidFill>
              <a:latin typeface="Meiryo UI" panose="020B0604030504040204" pitchFamily="50" charset="-128"/>
              <a:ea typeface="Meiryo UI" panose="020B0604030504040204" pitchFamily="50" charset="-128"/>
              <a:cs typeface="Meiryo UI" panose="020B0604030504040204" pitchFamily="50" charset="-128"/>
            </a:rPr>
            <a:t>都道府県、建物名、棟名、部屋番号も省略せずにご入力ください。</a:t>
          </a:r>
          <a:endParaRPr kumimoji="1" lang="en-US" altLang="ja-JP" sz="1050" b="0">
            <a:solidFill>
              <a:srgbClr val="FF66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oneCellAnchor>
    <xdr:from>
      <xdr:col>8</xdr:col>
      <xdr:colOff>0</xdr:colOff>
      <xdr:row>34</xdr:row>
      <xdr:rowOff>212911</xdr:rowOff>
    </xdr:from>
    <xdr:ext cx="483072" cy="169405"/>
    <xdr:sp macro="" textlink="">
      <xdr:nvSpPr>
        <xdr:cNvPr id="108" name="テキスト ボックス 107"/>
        <xdr:cNvSpPr txBox="1"/>
      </xdr:nvSpPr>
      <xdr:spPr>
        <a:xfrm>
          <a:off x="2057400" y="7851961"/>
          <a:ext cx="483072"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都道府県</a:t>
          </a:r>
        </a:p>
      </xdr:txBody>
    </xdr:sp>
    <xdr:clientData/>
  </xdr:oneCellAnchor>
  <xdr:oneCellAnchor>
    <xdr:from>
      <xdr:col>7</xdr:col>
      <xdr:colOff>256442</xdr:colOff>
      <xdr:row>32</xdr:row>
      <xdr:rowOff>205154</xdr:rowOff>
    </xdr:from>
    <xdr:ext cx="277888" cy="169405"/>
    <xdr:sp macro="" textlink="">
      <xdr:nvSpPr>
        <xdr:cNvPr id="109" name="テキスト ボックス 108"/>
        <xdr:cNvSpPr txBox="1"/>
      </xdr:nvSpPr>
      <xdr:spPr>
        <a:xfrm>
          <a:off x="2060589" y="7791536"/>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都道</a:t>
          </a:r>
        </a:p>
      </xdr:txBody>
    </xdr:sp>
    <xdr:clientData/>
  </xdr:oneCellAnchor>
  <xdr:oneCellAnchor>
    <xdr:from>
      <xdr:col>7</xdr:col>
      <xdr:colOff>256442</xdr:colOff>
      <xdr:row>33</xdr:row>
      <xdr:rowOff>80597</xdr:rowOff>
    </xdr:from>
    <xdr:ext cx="277888" cy="169405"/>
    <xdr:sp macro="" textlink="">
      <xdr:nvSpPr>
        <xdr:cNvPr id="110" name="テキスト ボックス 109"/>
        <xdr:cNvSpPr txBox="1"/>
      </xdr:nvSpPr>
      <xdr:spPr>
        <a:xfrm>
          <a:off x="2060589" y="7891097"/>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府県</a:t>
          </a:r>
        </a:p>
      </xdr:txBody>
    </xdr:sp>
    <xdr:clientData/>
  </xdr:oneCellAnchor>
  <xdr:oneCellAnchor>
    <xdr:from>
      <xdr:col>13</xdr:col>
      <xdr:colOff>0</xdr:colOff>
      <xdr:row>34</xdr:row>
      <xdr:rowOff>223491</xdr:rowOff>
    </xdr:from>
    <xdr:ext cx="483072" cy="169405"/>
    <xdr:sp macro="" textlink="">
      <xdr:nvSpPr>
        <xdr:cNvPr id="111" name="テキスト ボックス 110"/>
        <xdr:cNvSpPr txBox="1"/>
      </xdr:nvSpPr>
      <xdr:spPr>
        <a:xfrm>
          <a:off x="3343275" y="7862541"/>
          <a:ext cx="483072"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市区町村</a:t>
          </a:r>
        </a:p>
      </xdr:txBody>
    </xdr:sp>
    <xdr:clientData/>
  </xdr:oneCellAnchor>
  <xdr:oneCellAnchor>
    <xdr:from>
      <xdr:col>21</xdr:col>
      <xdr:colOff>0</xdr:colOff>
      <xdr:row>34</xdr:row>
      <xdr:rowOff>223491</xdr:rowOff>
    </xdr:from>
    <xdr:ext cx="277888" cy="169405"/>
    <xdr:sp macro="" textlink="">
      <xdr:nvSpPr>
        <xdr:cNvPr id="112" name="テキスト ボックス 111"/>
        <xdr:cNvSpPr txBox="1"/>
      </xdr:nvSpPr>
      <xdr:spPr>
        <a:xfrm>
          <a:off x="5400675" y="7862541"/>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町名</a:t>
          </a:r>
        </a:p>
      </xdr:txBody>
    </xdr:sp>
    <xdr:clientData/>
  </xdr:oneCellAnchor>
  <xdr:oneCellAnchor>
    <xdr:from>
      <xdr:col>29</xdr:col>
      <xdr:colOff>0</xdr:colOff>
      <xdr:row>34</xdr:row>
      <xdr:rowOff>223491</xdr:rowOff>
    </xdr:from>
    <xdr:ext cx="585664" cy="169405"/>
    <xdr:sp macro="" textlink="">
      <xdr:nvSpPr>
        <xdr:cNvPr id="113" name="テキスト ボックス 112"/>
        <xdr:cNvSpPr txBox="1"/>
      </xdr:nvSpPr>
      <xdr:spPr>
        <a:xfrm>
          <a:off x="7458075" y="7862541"/>
          <a:ext cx="585664"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番・番地・号</a:t>
          </a:r>
        </a:p>
      </xdr:txBody>
    </xdr:sp>
    <xdr:clientData/>
  </xdr:oneCellAnchor>
  <xdr:oneCellAnchor>
    <xdr:from>
      <xdr:col>37</xdr:col>
      <xdr:colOff>0</xdr:colOff>
      <xdr:row>34</xdr:row>
      <xdr:rowOff>223491</xdr:rowOff>
    </xdr:from>
    <xdr:ext cx="842145" cy="169405"/>
    <xdr:sp macro="" textlink="">
      <xdr:nvSpPr>
        <xdr:cNvPr id="114" name="テキスト ボックス 113"/>
        <xdr:cNvSpPr txBox="1"/>
      </xdr:nvSpPr>
      <xdr:spPr>
        <a:xfrm>
          <a:off x="9515475" y="7862541"/>
          <a:ext cx="842145"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建物名・部屋番号</a:t>
          </a:r>
          <a:endParaRPr kumimoji="1" lang="en-US" altLang="ja-JP" sz="800">
            <a:solidFill>
              <a:sysClr val="windowText" lastClr="000000"/>
            </a:solidFill>
            <a:latin typeface="Meiryo UI" panose="020B0604030504040204" pitchFamily="50" charset="-128"/>
            <a:ea typeface="Meiryo UI" panose="020B0604030504040204" pitchFamily="50" charset="-128"/>
          </a:endParaRPr>
        </a:p>
      </xdr:txBody>
    </xdr:sp>
    <xdr:clientData/>
  </xdr:oneCellAnchor>
  <xdr:oneCellAnchor>
    <xdr:from>
      <xdr:col>13</xdr:col>
      <xdr:colOff>0</xdr:colOff>
      <xdr:row>32</xdr:row>
      <xdr:rowOff>205154</xdr:rowOff>
    </xdr:from>
    <xdr:ext cx="277888" cy="169405"/>
    <xdr:sp macro="" textlink="">
      <xdr:nvSpPr>
        <xdr:cNvPr id="115" name="テキスト ボックス 114"/>
        <xdr:cNvSpPr txBox="1"/>
      </xdr:nvSpPr>
      <xdr:spPr>
        <a:xfrm>
          <a:off x="3343275" y="7387004"/>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市区</a:t>
          </a:r>
        </a:p>
      </xdr:txBody>
    </xdr:sp>
    <xdr:clientData/>
  </xdr:oneCellAnchor>
  <xdr:oneCellAnchor>
    <xdr:from>
      <xdr:col>13</xdr:col>
      <xdr:colOff>0</xdr:colOff>
      <xdr:row>33</xdr:row>
      <xdr:rowOff>80597</xdr:rowOff>
    </xdr:from>
    <xdr:ext cx="277888" cy="169405"/>
    <xdr:sp macro="" textlink="">
      <xdr:nvSpPr>
        <xdr:cNvPr id="116" name="テキスト ボックス 115"/>
        <xdr:cNvSpPr txBox="1"/>
      </xdr:nvSpPr>
      <xdr:spPr>
        <a:xfrm>
          <a:off x="3343275" y="7491047"/>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町村</a:t>
          </a:r>
        </a:p>
      </xdr:txBody>
    </xdr:sp>
    <xdr:clientData/>
  </xdr:oneCellAnchor>
  <xdr:oneCellAnchor>
    <xdr:from>
      <xdr:col>21</xdr:col>
      <xdr:colOff>0</xdr:colOff>
      <xdr:row>33</xdr:row>
      <xdr:rowOff>0</xdr:rowOff>
    </xdr:from>
    <xdr:ext cx="277888" cy="169405"/>
    <xdr:sp macro="" textlink="">
      <xdr:nvSpPr>
        <xdr:cNvPr id="117" name="テキスト ボックス 116"/>
        <xdr:cNvSpPr txBox="1"/>
      </xdr:nvSpPr>
      <xdr:spPr>
        <a:xfrm>
          <a:off x="5400675" y="7877175"/>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町名</a:t>
          </a:r>
        </a:p>
      </xdr:txBody>
    </xdr:sp>
    <xdr:clientData/>
  </xdr:oneCellAnchor>
  <xdr:oneCellAnchor>
    <xdr:from>
      <xdr:col>37</xdr:col>
      <xdr:colOff>0</xdr:colOff>
      <xdr:row>33</xdr:row>
      <xdr:rowOff>0</xdr:rowOff>
    </xdr:from>
    <xdr:ext cx="380480" cy="169405"/>
    <xdr:sp macro="" textlink="">
      <xdr:nvSpPr>
        <xdr:cNvPr id="118" name="テキスト ボックス 117"/>
        <xdr:cNvSpPr txBox="1"/>
      </xdr:nvSpPr>
      <xdr:spPr>
        <a:xfrm>
          <a:off x="9515475" y="7877175"/>
          <a:ext cx="380480"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建物名</a:t>
          </a:r>
        </a:p>
      </xdr:txBody>
    </xdr:sp>
    <xdr:clientData/>
  </xdr:oneCellAnchor>
  <xdr:twoCellAnchor>
    <xdr:from>
      <xdr:col>30</xdr:col>
      <xdr:colOff>123325</xdr:colOff>
      <xdr:row>51</xdr:row>
      <xdr:rowOff>11204</xdr:rowOff>
    </xdr:from>
    <xdr:to>
      <xdr:col>45</xdr:col>
      <xdr:colOff>253296</xdr:colOff>
      <xdr:row>52</xdr:row>
      <xdr:rowOff>3359</xdr:rowOff>
    </xdr:to>
    <xdr:sp macro="" textlink="">
      <xdr:nvSpPr>
        <xdr:cNvPr id="119" name="テキスト ボックス 118"/>
        <xdr:cNvSpPr txBox="1"/>
      </xdr:nvSpPr>
      <xdr:spPr>
        <a:xfrm>
          <a:off x="7838575" y="11631704"/>
          <a:ext cx="3987596" cy="2207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050" b="0">
              <a:solidFill>
                <a:srgbClr val="FF66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b="0">
              <a:solidFill>
                <a:srgbClr val="FF6600"/>
              </a:solidFill>
              <a:latin typeface="Meiryo UI" panose="020B0604030504040204" pitchFamily="50" charset="-128"/>
              <a:ea typeface="Meiryo UI" panose="020B0604030504040204" pitchFamily="50" charset="-128"/>
              <a:cs typeface="Meiryo UI" panose="020B0604030504040204" pitchFamily="50" charset="-128"/>
            </a:rPr>
            <a:t>都道府県、建物名、棟名、部屋番号も省略せずにご入力ください。</a:t>
          </a:r>
          <a:endParaRPr kumimoji="1" lang="en-US" altLang="ja-JP" sz="1050" b="0">
            <a:solidFill>
              <a:srgbClr val="FF66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oneCellAnchor>
    <xdr:from>
      <xdr:col>8</xdr:col>
      <xdr:colOff>0</xdr:colOff>
      <xdr:row>51</xdr:row>
      <xdr:rowOff>212911</xdr:rowOff>
    </xdr:from>
    <xdr:ext cx="483072" cy="169405"/>
    <xdr:sp macro="" textlink="">
      <xdr:nvSpPr>
        <xdr:cNvPr id="120" name="テキスト ボックス 119"/>
        <xdr:cNvSpPr txBox="1"/>
      </xdr:nvSpPr>
      <xdr:spPr>
        <a:xfrm>
          <a:off x="2057400" y="11833411"/>
          <a:ext cx="483072"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都道府県</a:t>
          </a:r>
        </a:p>
      </xdr:txBody>
    </xdr:sp>
    <xdr:clientData/>
  </xdr:oneCellAnchor>
  <xdr:oneCellAnchor>
    <xdr:from>
      <xdr:col>7</xdr:col>
      <xdr:colOff>256442</xdr:colOff>
      <xdr:row>49</xdr:row>
      <xdr:rowOff>205154</xdr:rowOff>
    </xdr:from>
    <xdr:ext cx="277888" cy="169405"/>
    <xdr:sp macro="" textlink="">
      <xdr:nvSpPr>
        <xdr:cNvPr id="121" name="テキスト ボックス 120"/>
        <xdr:cNvSpPr txBox="1"/>
      </xdr:nvSpPr>
      <xdr:spPr>
        <a:xfrm>
          <a:off x="2056667" y="11368454"/>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都道</a:t>
          </a:r>
        </a:p>
      </xdr:txBody>
    </xdr:sp>
    <xdr:clientData/>
  </xdr:oneCellAnchor>
  <xdr:oneCellAnchor>
    <xdr:from>
      <xdr:col>7</xdr:col>
      <xdr:colOff>256442</xdr:colOff>
      <xdr:row>50</xdr:row>
      <xdr:rowOff>80597</xdr:rowOff>
    </xdr:from>
    <xdr:ext cx="277888" cy="169405"/>
    <xdr:sp macro="" textlink="">
      <xdr:nvSpPr>
        <xdr:cNvPr id="122" name="テキスト ボックス 121"/>
        <xdr:cNvSpPr txBox="1"/>
      </xdr:nvSpPr>
      <xdr:spPr>
        <a:xfrm>
          <a:off x="2056667" y="11472497"/>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府県</a:t>
          </a:r>
        </a:p>
      </xdr:txBody>
    </xdr:sp>
    <xdr:clientData/>
  </xdr:oneCellAnchor>
  <xdr:oneCellAnchor>
    <xdr:from>
      <xdr:col>13</xdr:col>
      <xdr:colOff>0</xdr:colOff>
      <xdr:row>51</xdr:row>
      <xdr:rowOff>223491</xdr:rowOff>
    </xdr:from>
    <xdr:ext cx="483072" cy="169405"/>
    <xdr:sp macro="" textlink="">
      <xdr:nvSpPr>
        <xdr:cNvPr id="123" name="テキスト ボックス 122"/>
        <xdr:cNvSpPr txBox="1"/>
      </xdr:nvSpPr>
      <xdr:spPr>
        <a:xfrm>
          <a:off x="3343275" y="11843991"/>
          <a:ext cx="483072"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市区町村</a:t>
          </a:r>
        </a:p>
      </xdr:txBody>
    </xdr:sp>
    <xdr:clientData/>
  </xdr:oneCellAnchor>
  <xdr:oneCellAnchor>
    <xdr:from>
      <xdr:col>21</xdr:col>
      <xdr:colOff>0</xdr:colOff>
      <xdr:row>51</xdr:row>
      <xdr:rowOff>223491</xdr:rowOff>
    </xdr:from>
    <xdr:ext cx="277888" cy="169405"/>
    <xdr:sp macro="" textlink="">
      <xdr:nvSpPr>
        <xdr:cNvPr id="124" name="テキスト ボックス 123"/>
        <xdr:cNvSpPr txBox="1"/>
      </xdr:nvSpPr>
      <xdr:spPr>
        <a:xfrm>
          <a:off x="5400675" y="11843991"/>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町名</a:t>
          </a:r>
        </a:p>
      </xdr:txBody>
    </xdr:sp>
    <xdr:clientData/>
  </xdr:oneCellAnchor>
  <xdr:oneCellAnchor>
    <xdr:from>
      <xdr:col>29</xdr:col>
      <xdr:colOff>0</xdr:colOff>
      <xdr:row>51</xdr:row>
      <xdr:rowOff>223491</xdr:rowOff>
    </xdr:from>
    <xdr:ext cx="585664" cy="169405"/>
    <xdr:sp macro="" textlink="">
      <xdr:nvSpPr>
        <xdr:cNvPr id="125" name="テキスト ボックス 124"/>
        <xdr:cNvSpPr txBox="1"/>
      </xdr:nvSpPr>
      <xdr:spPr>
        <a:xfrm>
          <a:off x="7458075" y="11843991"/>
          <a:ext cx="585664"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番・番地・号</a:t>
          </a:r>
        </a:p>
      </xdr:txBody>
    </xdr:sp>
    <xdr:clientData/>
  </xdr:oneCellAnchor>
  <xdr:oneCellAnchor>
    <xdr:from>
      <xdr:col>37</xdr:col>
      <xdr:colOff>0</xdr:colOff>
      <xdr:row>51</xdr:row>
      <xdr:rowOff>223491</xdr:rowOff>
    </xdr:from>
    <xdr:ext cx="842145" cy="169405"/>
    <xdr:sp macro="" textlink="">
      <xdr:nvSpPr>
        <xdr:cNvPr id="126" name="テキスト ボックス 125"/>
        <xdr:cNvSpPr txBox="1"/>
      </xdr:nvSpPr>
      <xdr:spPr>
        <a:xfrm>
          <a:off x="9515475" y="11843991"/>
          <a:ext cx="842145"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建物名・部屋番号</a:t>
          </a:r>
          <a:endParaRPr kumimoji="1" lang="en-US" altLang="ja-JP" sz="800">
            <a:solidFill>
              <a:sysClr val="windowText" lastClr="000000"/>
            </a:solidFill>
            <a:latin typeface="Meiryo UI" panose="020B0604030504040204" pitchFamily="50" charset="-128"/>
            <a:ea typeface="Meiryo UI" panose="020B0604030504040204" pitchFamily="50" charset="-128"/>
          </a:endParaRPr>
        </a:p>
      </xdr:txBody>
    </xdr:sp>
    <xdr:clientData/>
  </xdr:oneCellAnchor>
  <xdr:oneCellAnchor>
    <xdr:from>
      <xdr:col>13</xdr:col>
      <xdr:colOff>0</xdr:colOff>
      <xdr:row>49</xdr:row>
      <xdr:rowOff>205154</xdr:rowOff>
    </xdr:from>
    <xdr:ext cx="277888" cy="169405"/>
    <xdr:sp macro="" textlink="">
      <xdr:nvSpPr>
        <xdr:cNvPr id="127" name="テキスト ボックス 126"/>
        <xdr:cNvSpPr txBox="1"/>
      </xdr:nvSpPr>
      <xdr:spPr>
        <a:xfrm>
          <a:off x="3343275" y="11368454"/>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市区</a:t>
          </a:r>
        </a:p>
      </xdr:txBody>
    </xdr:sp>
    <xdr:clientData/>
  </xdr:oneCellAnchor>
  <xdr:oneCellAnchor>
    <xdr:from>
      <xdr:col>13</xdr:col>
      <xdr:colOff>0</xdr:colOff>
      <xdr:row>50</xdr:row>
      <xdr:rowOff>80597</xdr:rowOff>
    </xdr:from>
    <xdr:ext cx="277888" cy="169405"/>
    <xdr:sp macro="" textlink="">
      <xdr:nvSpPr>
        <xdr:cNvPr id="128" name="テキスト ボックス 127"/>
        <xdr:cNvSpPr txBox="1"/>
      </xdr:nvSpPr>
      <xdr:spPr>
        <a:xfrm>
          <a:off x="3343275" y="11472497"/>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町村</a:t>
          </a:r>
        </a:p>
      </xdr:txBody>
    </xdr:sp>
    <xdr:clientData/>
  </xdr:oneCellAnchor>
  <xdr:oneCellAnchor>
    <xdr:from>
      <xdr:col>21</xdr:col>
      <xdr:colOff>0</xdr:colOff>
      <xdr:row>50</xdr:row>
      <xdr:rowOff>0</xdr:rowOff>
    </xdr:from>
    <xdr:ext cx="277888" cy="169405"/>
    <xdr:sp macro="" textlink="">
      <xdr:nvSpPr>
        <xdr:cNvPr id="129" name="テキスト ボックス 128"/>
        <xdr:cNvSpPr txBox="1"/>
      </xdr:nvSpPr>
      <xdr:spPr>
        <a:xfrm>
          <a:off x="5400675" y="11763375"/>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町名</a:t>
          </a:r>
        </a:p>
      </xdr:txBody>
    </xdr:sp>
    <xdr:clientData/>
  </xdr:oneCellAnchor>
  <xdr:oneCellAnchor>
    <xdr:from>
      <xdr:col>37</xdr:col>
      <xdr:colOff>0</xdr:colOff>
      <xdr:row>50</xdr:row>
      <xdr:rowOff>0</xdr:rowOff>
    </xdr:from>
    <xdr:ext cx="380480" cy="169405"/>
    <xdr:sp macro="" textlink="">
      <xdr:nvSpPr>
        <xdr:cNvPr id="130" name="テキスト ボックス 129"/>
        <xdr:cNvSpPr txBox="1"/>
      </xdr:nvSpPr>
      <xdr:spPr>
        <a:xfrm>
          <a:off x="9515475" y="11763375"/>
          <a:ext cx="380480"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建物名</a:t>
          </a:r>
        </a:p>
      </xdr:txBody>
    </xdr:sp>
    <xdr:clientData/>
  </xdr:oneCellAnchor>
  <xdr:twoCellAnchor>
    <xdr:from>
      <xdr:col>30</xdr:col>
      <xdr:colOff>123325</xdr:colOff>
      <xdr:row>70</xdr:row>
      <xdr:rowOff>11204</xdr:rowOff>
    </xdr:from>
    <xdr:to>
      <xdr:col>45</xdr:col>
      <xdr:colOff>253296</xdr:colOff>
      <xdr:row>71</xdr:row>
      <xdr:rowOff>3359</xdr:rowOff>
    </xdr:to>
    <xdr:sp macro="" textlink="">
      <xdr:nvSpPr>
        <xdr:cNvPr id="131" name="テキスト ボックス 130"/>
        <xdr:cNvSpPr txBox="1"/>
      </xdr:nvSpPr>
      <xdr:spPr>
        <a:xfrm>
          <a:off x="7838575" y="15965579"/>
          <a:ext cx="3987596" cy="2207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050" b="0">
              <a:solidFill>
                <a:srgbClr val="FF66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b="0">
              <a:solidFill>
                <a:srgbClr val="FF6600"/>
              </a:solidFill>
              <a:latin typeface="Meiryo UI" panose="020B0604030504040204" pitchFamily="50" charset="-128"/>
              <a:ea typeface="Meiryo UI" panose="020B0604030504040204" pitchFamily="50" charset="-128"/>
              <a:cs typeface="Meiryo UI" panose="020B0604030504040204" pitchFamily="50" charset="-128"/>
            </a:rPr>
            <a:t>都道府県、建物名、棟名、部屋番号も省略せずにご入力ください。</a:t>
          </a:r>
          <a:endParaRPr kumimoji="1" lang="en-US" altLang="ja-JP" sz="1050" b="0">
            <a:solidFill>
              <a:srgbClr val="FF66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oneCellAnchor>
    <xdr:from>
      <xdr:col>8</xdr:col>
      <xdr:colOff>0</xdr:colOff>
      <xdr:row>70</xdr:row>
      <xdr:rowOff>212911</xdr:rowOff>
    </xdr:from>
    <xdr:ext cx="483072" cy="169405"/>
    <xdr:sp macro="" textlink="">
      <xdr:nvSpPr>
        <xdr:cNvPr id="132" name="テキスト ボックス 131"/>
        <xdr:cNvSpPr txBox="1"/>
      </xdr:nvSpPr>
      <xdr:spPr>
        <a:xfrm>
          <a:off x="2057400" y="16167286"/>
          <a:ext cx="483072"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都道府県</a:t>
          </a:r>
        </a:p>
      </xdr:txBody>
    </xdr:sp>
    <xdr:clientData/>
  </xdr:oneCellAnchor>
  <xdr:oneCellAnchor>
    <xdr:from>
      <xdr:col>7</xdr:col>
      <xdr:colOff>256442</xdr:colOff>
      <xdr:row>68</xdr:row>
      <xdr:rowOff>205154</xdr:rowOff>
    </xdr:from>
    <xdr:ext cx="277888" cy="169405"/>
    <xdr:sp macro="" textlink="">
      <xdr:nvSpPr>
        <xdr:cNvPr id="133" name="テキスト ボックス 132"/>
        <xdr:cNvSpPr txBox="1"/>
      </xdr:nvSpPr>
      <xdr:spPr>
        <a:xfrm>
          <a:off x="2056667" y="15711854"/>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都道</a:t>
          </a:r>
        </a:p>
      </xdr:txBody>
    </xdr:sp>
    <xdr:clientData/>
  </xdr:oneCellAnchor>
  <xdr:oneCellAnchor>
    <xdr:from>
      <xdr:col>7</xdr:col>
      <xdr:colOff>256442</xdr:colOff>
      <xdr:row>69</xdr:row>
      <xdr:rowOff>80597</xdr:rowOff>
    </xdr:from>
    <xdr:ext cx="277888" cy="169405"/>
    <xdr:sp macro="" textlink="">
      <xdr:nvSpPr>
        <xdr:cNvPr id="134" name="テキスト ボックス 133"/>
        <xdr:cNvSpPr txBox="1"/>
      </xdr:nvSpPr>
      <xdr:spPr>
        <a:xfrm>
          <a:off x="2056667" y="15806372"/>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府県</a:t>
          </a:r>
        </a:p>
      </xdr:txBody>
    </xdr:sp>
    <xdr:clientData/>
  </xdr:oneCellAnchor>
  <xdr:oneCellAnchor>
    <xdr:from>
      <xdr:col>13</xdr:col>
      <xdr:colOff>0</xdr:colOff>
      <xdr:row>70</xdr:row>
      <xdr:rowOff>223491</xdr:rowOff>
    </xdr:from>
    <xdr:ext cx="483072" cy="169405"/>
    <xdr:sp macro="" textlink="">
      <xdr:nvSpPr>
        <xdr:cNvPr id="135" name="テキスト ボックス 134"/>
        <xdr:cNvSpPr txBox="1"/>
      </xdr:nvSpPr>
      <xdr:spPr>
        <a:xfrm>
          <a:off x="3343275" y="16177866"/>
          <a:ext cx="483072"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市区町村</a:t>
          </a:r>
        </a:p>
      </xdr:txBody>
    </xdr:sp>
    <xdr:clientData/>
  </xdr:oneCellAnchor>
  <xdr:oneCellAnchor>
    <xdr:from>
      <xdr:col>21</xdr:col>
      <xdr:colOff>0</xdr:colOff>
      <xdr:row>70</xdr:row>
      <xdr:rowOff>223491</xdr:rowOff>
    </xdr:from>
    <xdr:ext cx="277888" cy="169405"/>
    <xdr:sp macro="" textlink="">
      <xdr:nvSpPr>
        <xdr:cNvPr id="136" name="テキスト ボックス 135"/>
        <xdr:cNvSpPr txBox="1"/>
      </xdr:nvSpPr>
      <xdr:spPr>
        <a:xfrm>
          <a:off x="5400675" y="16177866"/>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町名</a:t>
          </a:r>
        </a:p>
      </xdr:txBody>
    </xdr:sp>
    <xdr:clientData/>
  </xdr:oneCellAnchor>
  <xdr:oneCellAnchor>
    <xdr:from>
      <xdr:col>29</xdr:col>
      <xdr:colOff>0</xdr:colOff>
      <xdr:row>70</xdr:row>
      <xdr:rowOff>223491</xdr:rowOff>
    </xdr:from>
    <xdr:ext cx="585664" cy="169405"/>
    <xdr:sp macro="" textlink="">
      <xdr:nvSpPr>
        <xdr:cNvPr id="137" name="テキスト ボックス 136"/>
        <xdr:cNvSpPr txBox="1"/>
      </xdr:nvSpPr>
      <xdr:spPr>
        <a:xfrm>
          <a:off x="7458075" y="16177866"/>
          <a:ext cx="585664"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番・番地・号</a:t>
          </a:r>
        </a:p>
      </xdr:txBody>
    </xdr:sp>
    <xdr:clientData/>
  </xdr:oneCellAnchor>
  <xdr:oneCellAnchor>
    <xdr:from>
      <xdr:col>37</xdr:col>
      <xdr:colOff>0</xdr:colOff>
      <xdr:row>70</xdr:row>
      <xdr:rowOff>223491</xdr:rowOff>
    </xdr:from>
    <xdr:ext cx="842145" cy="169405"/>
    <xdr:sp macro="" textlink="">
      <xdr:nvSpPr>
        <xdr:cNvPr id="138" name="テキスト ボックス 137"/>
        <xdr:cNvSpPr txBox="1"/>
      </xdr:nvSpPr>
      <xdr:spPr>
        <a:xfrm>
          <a:off x="9515475" y="16177866"/>
          <a:ext cx="842145"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建物名・部屋番号</a:t>
          </a:r>
          <a:endParaRPr kumimoji="1" lang="en-US" altLang="ja-JP" sz="800">
            <a:solidFill>
              <a:sysClr val="windowText" lastClr="000000"/>
            </a:solidFill>
            <a:latin typeface="Meiryo UI" panose="020B0604030504040204" pitchFamily="50" charset="-128"/>
            <a:ea typeface="Meiryo UI" panose="020B0604030504040204" pitchFamily="50" charset="-128"/>
          </a:endParaRPr>
        </a:p>
      </xdr:txBody>
    </xdr:sp>
    <xdr:clientData/>
  </xdr:oneCellAnchor>
  <xdr:oneCellAnchor>
    <xdr:from>
      <xdr:col>13</xdr:col>
      <xdr:colOff>0</xdr:colOff>
      <xdr:row>68</xdr:row>
      <xdr:rowOff>205154</xdr:rowOff>
    </xdr:from>
    <xdr:ext cx="277888" cy="169405"/>
    <xdr:sp macro="" textlink="">
      <xdr:nvSpPr>
        <xdr:cNvPr id="139" name="テキスト ボックス 138"/>
        <xdr:cNvSpPr txBox="1"/>
      </xdr:nvSpPr>
      <xdr:spPr>
        <a:xfrm>
          <a:off x="3343275" y="15711854"/>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市区</a:t>
          </a:r>
        </a:p>
      </xdr:txBody>
    </xdr:sp>
    <xdr:clientData/>
  </xdr:oneCellAnchor>
  <xdr:oneCellAnchor>
    <xdr:from>
      <xdr:col>13</xdr:col>
      <xdr:colOff>0</xdr:colOff>
      <xdr:row>69</xdr:row>
      <xdr:rowOff>80597</xdr:rowOff>
    </xdr:from>
    <xdr:ext cx="277888" cy="169405"/>
    <xdr:sp macro="" textlink="">
      <xdr:nvSpPr>
        <xdr:cNvPr id="140" name="テキスト ボックス 139"/>
        <xdr:cNvSpPr txBox="1"/>
      </xdr:nvSpPr>
      <xdr:spPr>
        <a:xfrm>
          <a:off x="3343275" y="15806372"/>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町村</a:t>
          </a:r>
        </a:p>
      </xdr:txBody>
    </xdr:sp>
    <xdr:clientData/>
  </xdr:oneCellAnchor>
  <xdr:oneCellAnchor>
    <xdr:from>
      <xdr:col>21</xdr:col>
      <xdr:colOff>0</xdr:colOff>
      <xdr:row>69</xdr:row>
      <xdr:rowOff>0</xdr:rowOff>
    </xdr:from>
    <xdr:ext cx="277888" cy="169405"/>
    <xdr:sp macro="" textlink="">
      <xdr:nvSpPr>
        <xdr:cNvPr id="141" name="テキスト ボックス 140"/>
        <xdr:cNvSpPr txBox="1"/>
      </xdr:nvSpPr>
      <xdr:spPr>
        <a:xfrm>
          <a:off x="5400675" y="16106775"/>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町名</a:t>
          </a:r>
        </a:p>
      </xdr:txBody>
    </xdr:sp>
    <xdr:clientData/>
  </xdr:oneCellAnchor>
  <xdr:oneCellAnchor>
    <xdr:from>
      <xdr:col>37</xdr:col>
      <xdr:colOff>0</xdr:colOff>
      <xdr:row>69</xdr:row>
      <xdr:rowOff>0</xdr:rowOff>
    </xdr:from>
    <xdr:ext cx="380480" cy="169405"/>
    <xdr:sp macro="" textlink="">
      <xdr:nvSpPr>
        <xdr:cNvPr id="142" name="テキスト ボックス 141"/>
        <xdr:cNvSpPr txBox="1"/>
      </xdr:nvSpPr>
      <xdr:spPr>
        <a:xfrm>
          <a:off x="9515475" y="16106775"/>
          <a:ext cx="380480"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建物名</a:t>
          </a:r>
        </a:p>
      </xdr:txBody>
    </xdr:sp>
    <xdr:clientData/>
  </xdr:oneCellAnchor>
  <mc:AlternateContent xmlns:mc="http://schemas.openxmlformats.org/markup-compatibility/2006">
    <mc:Choice xmlns:a14="http://schemas.microsoft.com/office/drawing/2010/main" Requires="a14">
      <xdr:twoCellAnchor editAs="oneCell">
        <xdr:from>
          <xdr:col>8</xdr:col>
          <xdr:colOff>190500</xdr:colOff>
          <xdr:row>17</xdr:row>
          <xdr:rowOff>50800</xdr:rowOff>
        </xdr:from>
        <xdr:to>
          <xdr:col>22</xdr:col>
          <xdr:colOff>184150</xdr:colOff>
          <xdr:row>18</xdr:row>
          <xdr:rowOff>190500</xdr:rowOff>
        </xdr:to>
        <xdr:sp macro="" textlink="">
          <xdr:nvSpPr>
            <xdr:cNvPr id="13477" name="Group Box 165" hidden="1">
              <a:extLst>
                <a:ext uri="{63B3BB69-23CF-44E3-9099-C40C66FF867C}">
                  <a14:compatExt spid="_x0000_s13477"/>
                </a:ext>
              </a:extLst>
            </xdr:cNvPr>
            <xdr:cNvSpPr/>
          </xdr:nvSpPr>
          <xdr:spPr>
            <a:xfrm>
              <a:off x="0" y="0"/>
              <a:ext cx="0" cy="0"/>
            </a:xfrm>
            <a:prstGeom prst="rect">
              <a:avLst/>
            </a:prstGeom>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165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184150</xdr:colOff>
          <xdr:row>17</xdr:row>
          <xdr:rowOff>127000</xdr:rowOff>
        </xdr:from>
        <xdr:to>
          <xdr:col>13</xdr:col>
          <xdr:colOff>3362</xdr:colOff>
          <xdr:row>18</xdr:row>
          <xdr:rowOff>107950</xdr:rowOff>
        </xdr:to>
        <xdr:sp macro="" textlink="">
          <xdr:nvSpPr>
            <xdr:cNvPr id="13478" name="Option Button 166" hidden="1">
              <a:extLst>
                <a:ext uri="{63B3BB69-23CF-44E3-9099-C40C66FF867C}">
                  <a14:compatExt spid="_x0000_s134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184150</xdr:colOff>
          <xdr:row>17</xdr:row>
          <xdr:rowOff>133350</xdr:rowOff>
        </xdr:from>
        <xdr:to>
          <xdr:col>20</xdr:col>
          <xdr:colOff>3361</xdr:colOff>
          <xdr:row>18</xdr:row>
          <xdr:rowOff>107950</xdr:rowOff>
        </xdr:to>
        <xdr:sp macro="" textlink="">
          <xdr:nvSpPr>
            <xdr:cNvPr id="13479" name="Option Button 167" hidden="1">
              <a:extLst>
                <a:ext uri="{63B3BB69-23CF-44E3-9099-C40C66FF867C}">
                  <a14:compatExt spid="_x0000_s134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57150</xdr:colOff>
          <xdr:row>17</xdr:row>
          <xdr:rowOff>38100</xdr:rowOff>
        </xdr:from>
        <xdr:to>
          <xdr:col>45</xdr:col>
          <xdr:colOff>19050</xdr:colOff>
          <xdr:row>18</xdr:row>
          <xdr:rowOff>190500</xdr:rowOff>
        </xdr:to>
        <xdr:sp macro="" textlink="">
          <xdr:nvSpPr>
            <xdr:cNvPr id="13480" name="Group Box 168" hidden="1">
              <a:extLst>
                <a:ext uri="{63B3BB69-23CF-44E3-9099-C40C66FF867C}">
                  <a14:compatExt spid="_x0000_s13480"/>
                </a:ext>
              </a:extLst>
            </xdr:cNvPr>
            <xdr:cNvSpPr/>
          </xdr:nvSpPr>
          <xdr:spPr>
            <a:xfrm>
              <a:off x="0" y="0"/>
              <a:ext cx="0" cy="0"/>
            </a:xfrm>
            <a:prstGeom prst="rect">
              <a:avLst/>
            </a:prstGeom>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168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171450</xdr:colOff>
          <xdr:row>17</xdr:row>
          <xdr:rowOff>114300</xdr:rowOff>
        </xdr:from>
        <xdr:to>
          <xdr:col>31</xdr:col>
          <xdr:colOff>222250</xdr:colOff>
          <xdr:row>18</xdr:row>
          <xdr:rowOff>95250</xdr:rowOff>
        </xdr:to>
        <xdr:sp macro="" textlink="">
          <xdr:nvSpPr>
            <xdr:cNvPr id="13481" name="Option Button 169" hidden="1">
              <a:extLst>
                <a:ext uri="{63B3BB69-23CF-44E3-9099-C40C66FF867C}">
                  <a14:compatExt spid="_x0000_s134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190500</xdr:colOff>
          <xdr:row>17</xdr:row>
          <xdr:rowOff>114300</xdr:rowOff>
        </xdr:from>
        <xdr:to>
          <xdr:col>39</xdr:col>
          <xdr:colOff>3362</xdr:colOff>
          <xdr:row>18</xdr:row>
          <xdr:rowOff>95250</xdr:rowOff>
        </xdr:to>
        <xdr:sp macro="" textlink="">
          <xdr:nvSpPr>
            <xdr:cNvPr id="13482" name="Option Button 170" hidden="1">
              <a:extLst>
                <a:ext uri="{63B3BB69-23CF-44E3-9099-C40C66FF867C}">
                  <a14:compatExt spid="_x0000_s13482"/>
                </a:ext>
              </a:extLst>
            </xdr:cNvPr>
            <xdr:cNvSpPr/>
          </xdr:nvSpPr>
          <xdr:spPr>
            <a:xfrm>
              <a:off x="0" y="0"/>
              <a:ext cx="0" cy="0"/>
            </a:xfrm>
            <a:prstGeom prst="rect">
              <a:avLst/>
            </a:prstGeom>
          </xdr:spPr>
        </xdr:sp>
        <xdr:clientData/>
      </xdr:twoCellAnchor>
    </mc:Choice>
    <mc:Fallback/>
  </mc:AlternateContent>
  <xdr:oneCellAnchor>
    <xdr:from>
      <xdr:col>8</xdr:col>
      <xdr:colOff>0</xdr:colOff>
      <xdr:row>117</xdr:row>
      <xdr:rowOff>1678</xdr:rowOff>
    </xdr:from>
    <xdr:ext cx="188119" cy="190565"/>
    <xdr:sp macro="" textlink="">
      <xdr:nvSpPr>
        <xdr:cNvPr id="143" name="テキスト ボックス 142"/>
        <xdr:cNvSpPr txBox="1"/>
      </xdr:nvSpPr>
      <xdr:spPr>
        <a:xfrm>
          <a:off x="2061882" y="26189825"/>
          <a:ext cx="188119" cy="1905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nchorCtr="1">
          <a:spAutoFit/>
        </a:bodyPr>
        <a:lstStyle/>
        <a:p>
          <a:r>
            <a:rPr kumimoji="1" lang="ja-JP" altLang="en-US" sz="900">
              <a:latin typeface="Meiryo UI" panose="020B0604030504040204" pitchFamily="50" charset="-128"/>
              <a:ea typeface="Meiryo UI" panose="020B0604030504040204" pitchFamily="50" charset="-128"/>
            </a:rPr>
            <a:t>姓</a:t>
          </a:r>
        </a:p>
      </xdr:txBody>
    </xdr:sp>
    <xdr:clientData/>
  </xdr:oneCellAnchor>
  <xdr:oneCellAnchor>
    <xdr:from>
      <xdr:col>16</xdr:col>
      <xdr:colOff>0</xdr:colOff>
      <xdr:row>117</xdr:row>
      <xdr:rowOff>0</xdr:rowOff>
    </xdr:from>
    <xdr:ext cx="188119" cy="190565"/>
    <xdr:sp macro="" textlink="">
      <xdr:nvSpPr>
        <xdr:cNvPr id="144" name="テキスト ボックス 143"/>
        <xdr:cNvSpPr txBox="1"/>
      </xdr:nvSpPr>
      <xdr:spPr>
        <a:xfrm>
          <a:off x="4123765" y="26188147"/>
          <a:ext cx="188119" cy="1905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nchorCtr="1">
          <a:spAutoFit/>
        </a:bodyPr>
        <a:lstStyle/>
        <a:p>
          <a:r>
            <a:rPr kumimoji="1" lang="ja-JP" altLang="en-US" sz="900">
              <a:latin typeface="Meiryo UI" panose="020B0604030504040204" pitchFamily="50" charset="-128"/>
              <a:ea typeface="Meiryo UI" panose="020B0604030504040204" pitchFamily="50" charset="-128"/>
            </a:rPr>
            <a:t>名</a:t>
          </a:r>
        </a:p>
      </xdr:txBody>
    </xdr:sp>
    <xdr:clientData/>
  </xdr:oneCellAnchor>
  <xdr:oneCellAnchor>
    <xdr:from>
      <xdr:col>8</xdr:col>
      <xdr:colOff>0</xdr:colOff>
      <xdr:row>123</xdr:row>
      <xdr:rowOff>192178</xdr:rowOff>
    </xdr:from>
    <xdr:ext cx="188119" cy="190565"/>
    <xdr:sp macro="" textlink="">
      <xdr:nvSpPr>
        <xdr:cNvPr id="145" name="テキスト ボックス 144"/>
        <xdr:cNvSpPr txBox="1"/>
      </xdr:nvSpPr>
      <xdr:spPr>
        <a:xfrm>
          <a:off x="2061882" y="27725031"/>
          <a:ext cx="188119" cy="1905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nchorCtr="1">
          <a:spAutoFit/>
        </a:bodyPr>
        <a:lstStyle/>
        <a:p>
          <a:r>
            <a:rPr kumimoji="1" lang="ja-JP" altLang="en-US" sz="900">
              <a:latin typeface="Meiryo UI" panose="020B0604030504040204" pitchFamily="50" charset="-128"/>
              <a:ea typeface="Meiryo UI" panose="020B0604030504040204" pitchFamily="50" charset="-128"/>
            </a:rPr>
            <a:t>姓</a:t>
          </a:r>
        </a:p>
      </xdr:txBody>
    </xdr:sp>
    <xdr:clientData/>
  </xdr:oneCellAnchor>
  <xdr:oneCellAnchor>
    <xdr:from>
      <xdr:col>16</xdr:col>
      <xdr:colOff>0</xdr:colOff>
      <xdr:row>123</xdr:row>
      <xdr:rowOff>190500</xdr:rowOff>
    </xdr:from>
    <xdr:ext cx="188119" cy="190565"/>
    <xdr:sp macro="" textlink="">
      <xdr:nvSpPr>
        <xdr:cNvPr id="146" name="テキスト ボックス 145"/>
        <xdr:cNvSpPr txBox="1"/>
      </xdr:nvSpPr>
      <xdr:spPr>
        <a:xfrm>
          <a:off x="4123765" y="27723353"/>
          <a:ext cx="188119" cy="1905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nchorCtr="1">
          <a:spAutoFit/>
        </a:bodyPr>
        <a:lstStyle/>
        <a:p>
          <a:r>
            <a:rPr kumimoji="1" lang="ja-JP" altLang="en-US" sz="900">
              <a:latin typeface="Meiryo UI" panose="020B0604030504040204" pitchFamily="50" charset="-128"/>
              <a:ea typeface="Meiryo UI" panose="020B0604030504040204" pitchFamily="50" charset="-128"/>
            </a:rPr>
            <a:t>名</a:t>
          </a:r>
        </a:p>
      </xdr:txBody>
    </xdr:sp>
    <xdr:clientData/>
  </xdr:oneCellAnchor>
  <xdr:oneCellAnchor>
    <xdr:from>
      <xdr:col>28</xdr:col>
      <xdr:colOff>240195</xdr:colOff>
      <xdr:row>32</xdr:row>
      <xdr:rowOff>207065</xdr:rowOff>
    </xdr:from>
    <xdr:ext cx="277888" cy="169405"/>
    <xdr:sp macro="" textlink="">
      <xdr:nvSpPr>
        <xdr:cNvPr id="147" name="テキスト ボックス 146"/>
        <xdr:cNvSpPr txBox="1"/>
      </xdr:nvSpPr>
      <xdr:spPr>
        <a:xfrm>
          <a:off x="7429499" y="7901608"/>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番地</a:t>
          </a:r>
        </a:p>
      </xdr:txBody>
    </xdr:sp>
    <xdr:clientData/>
  </xdr:oneCellAnchor>
  <xdr:oneCellAnchor>
    <xdr:from>
      <xdr:col>29</xdr:col>
      <xdr:colOff>28161</xdr:colOff>
      <xdr:row>33</xdr:row>
      <xdr:rowOff>77856</xdr:rowOff>
    </xdr:from>
    <xdr:ext cx="226591" cy="169405"/>
    <xdr:sp macro="" textlink="">
      <xdr:nvSpPr>
        <xdr:cNvPr id="148" name="テキスト ボックス 147"/>
        <xdr:cNvSpPr txBox="1"/>
      </xdr:nvSpPr>
      <xdr:spPr>
        <a:xfrm>
          <a:off x="7474226" y="8004313"/>
          <a:ext cx="226591"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・号</a:t>
          </a:r>
        </a:p>
      </xdr:txBody>
    </xdr:sp>
    <xdr:clientData/>
  </xdr:oneCellAnchor>
  <xdr:oneCellAnchor>
    <xdr:from>
      <xdr:col>28</xdr:col>
      <xdr:colOff>247650</xdr:colOff>
      <xdr:row>49</xdr:row>
      <xdr:rowOff>209550</xdr:rowOff>
    </xdr:from>
    <xdr:ext cx="277888" cy="169405"/>
    <xdr:sp macro="" textlink="">
      <xdr:nvSpPr>
        <xdr:cNvPr id="149" name="テキスト ボックス 148"/>
        <xdr:cNvSpPr txBox="1"/>
      </xdr:nvSpPr>
      <xdr:spPr>
        <a:xfrm>
          <a:off x="7448550" y="11744325"/>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番地</a:t>
          </a:r>
        </a:p>
      </xdr:txBody>
    </xdr:sp>
    <xdr:clientData/>
  </xdr:oneCellAnchor>
  <xdr:oneCellAnchor>
    <xdr:from>
      <xdr:col>29</xdr:col>
      <xdr:colOff>35616</xdr:colOff>
      <xdr:row>50</xdr:row>
      <xdr:rowOff>80341</xdr:rowOff>
    </xdr:from>
    <xdr:ext cx="226591" cy="169405"/>
    <xdr:sp macro="" textlink="">
      <xdr:nvSpPr>
        <xdr:cNvPr id="150" name="テキスト ボックス 149"/>
        <xdr:cNvSpPr txBox="1"/>
      </xdr:nvSpPr>
      <xdr:spPr>
        <a:xfrm>
          <a:off x="7493691" y="11843716"/>
          <a:ext cx="226591"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・号</a:t>
          </a:r>
        </a:p>
      </xdr:txBody>
    </xdr:sp>
    <xdr:clientData/>
  </xdr:oneCellAnchor>
  <xdr:oneCellAnchor>
    <xdr:from>
      <xdr:col>28</xdr:col>
      <xdr:colOff>247650</xdr:colOff>
      <xdr:row>68</xdr:row>
      <xdr:rowOff>219075</xdr:rowOff>
    </xdr:from>
    <xdr:ext cx="277888" cy="169405"/>
    <xdr:sp macro="" textlink="">
      <xdr:nvSpPr>
        <xdr:cNvPr id="151" name="テキスト ボックス 150"/>
        <xdr:cNvSpPr txBox="1"/>
      </xdr:nvSpPr>
      <xdr:spPr>
        <a:xfrm>
          <a:off x="7448550" y="16097250"/>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番地</a:t>
          </a:r>
        </a:p>
      </xdr:txBody>
    </xdr:sp>
    <xdr:clientData/>
  </xdr:oneCellAnchor>
  <xdr:oneCellAnchor>
    <xdr:from>
      <xdr:col>29</xdr:col>
      <xdr:colOff>35616</xdr:colOff>
      <xdr:row>69</xdr:row>
      <xdr:rowOff>89866</xdr:rowOff>
    </xdr:from>
    <xdr:ext cx="226591" cy="169405"/>
    <xdr:sp macro="" textlink="">
      <xdr:nvSpPr>
        <xdr:cNvPr id="152" name="テキスト ボックス 151"/>
        <xdr:cNvSpPr txBox="1"/>
      </xdr:nvSpPr>
      <xdr:spPr>
        <a:xfrm>
          <a:off x="7493691" y="16196641"/>
          <a:ext cx="226591"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・号</a:t>
          </a:r>
        </a:p>
      </xdr:txBody>
    </xdr:sp>
    <xdr:clientData/>
  </xdr:oneCellAnchor>
</xdr:wsDr>
</file>

<file path=xl/drawings/drawing9.xml><?xml version="1.0" encoding="utf-8"?>
<xdr:wsDr xmlns:xdr="http://schemas.openxmlformats.org/drawingml/2006/spreadsheetDrawing" xmlns:a="http://schemas.openxmlformats.org/drawingml/2006/main">
  <xdr:twoCellAnchor editAs="oneCell">
    <xdr:from>
      <xdr:col>17</xdr:col>
      <xdr:colOff>0</xdr:colOff>
      <xdr:row>197</xdr:row>
      <xdr:rowOff>108895</xdr:rowOff>
    </xdr:from>
    <xdr:to>
      <xdr:col>31</xdr:col>
      <xdr:colOff>165516</xdr:colOff>
      <xdr:row>199</xdr:row>
      <xdr:rowOff>89646</xdr:rowOff>
    </xdr:to>
    <xdr:pic>
      <xdr:nvPicPr>
        <xdr:cNvPr id="21" name="図 20"/>
        <xdr:cNvPicPr>
          <a:picLocks noChangeAspect="1"/>
        </xdr:cNvPicPr>
      </xdr:nvPicPr>
      <xdr:blipFill>
        <a:blip xmlns:r="http://schemas.openxmlformats.org/officeDocument/2006/relationships" r:embed="rId1"/>
        <a:stretch>
          <a:fillRect/>
        </a:stretch>
      </xdr:blipFill>
      <xdr:spPr>
        <a:xfrm>
          <a:off x="4381500" y="40573336"/>
          <a:ext cx="3773810" cy="473810"/>
        </a:xfrm>
        <a:prstGeom prst="rect">
          <a:avLst/>
        </a:prstGeom>
      </xdr:spPr>
    </xdr:pic>
    <xdr:clientData/>
  </xdr:twoCellAnchor>
  <xdr:twoCellAnchor>
    <xdr:from>
      <xdr:col>2</xdr:col>
      <xdr:colOff>0</xdr:colOff>
      <xdr:row>10</xdr:row>
      <xdr:rowOff>0</xdr:rowOff>
    </xdr:from>
    <xdr:to>
      <xdr:col>11</xdr:col>
      <xdr:colOff>144562</xdr:colOff>
      <xdr:row>11</xdr:row>
      <xdr:rowOff>98742</xdr:rowOff>
    </xdr:to>
    <xdr:sp macro="" textlink="">
      <xdr:nvSpPr>
        <xdr:cNvPr id="116" name="角丸四角形 115"/>
        <xdr:cNvSpPr/>
      </xdr:nvSpPr>
      <xdr:spPr>
        <a:xfrm>
          <a:off x="515471" y="2465294"/>
          <a:ext cx="2464179" cy="345272"/>
        </a:xfrm>
        <a:prstGeom prst="roundRect">
          <a:avLst>
            <a:gd name="adj" fmla="val 50000"/>
          </a:avLst>
        </a:prstGeom>
        <a:solidFill>
          <a:schemeClr val="tx1"/>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bg1"/>
              </a:solidFill>
              <a:latin typeface="+mj-ea"/>
              <a:ea typeface="+mj-ea"/>
            </a:rPr>
            <a:t>6.</a:t>
          </a:r>
          <a:r>
            <a:rPr kumimoji="1" lang="ja-JP" altLang="en-US" sz="1400" b="1">
              <a:solidFill>
                <a:schemeClr val="bg1"/>
              </a:solidFill>
              <a:latin typeface="+mj-ea"/>
              <a:ea typeface="+mj-ea"/>
            </a:rPr>
            <a:t>お申し込み決済手段</a:t>
          </a:r>
        </a:p>
      </xdr:txBody>
    </xdr:sp>
    <xdr:clientData/>
  </xdr:twoCellAnchor>
  <mc:AlternateContent xmlns:mc="http://schemas.openxmlformats.org/markup-compatibility/2006">
    <mc:Choice xmlns:a14="http://schemas.microsoft.com/office/drawing/2010/main" Requires="a14">
      <xdr:twoCellAnchor editAs="oneCell">
        <xdr:from>
          <xdr:col>11</xdr:col>
          <xdr:colOff>184150</xdr:colOff>
          <xdr:row>20</xdr:row>
          <xdr:rowOff>12700</xdr:rowOff>
        </xdr:from>
        <xdr:to>
          <xdr:col>13</xdr:col>
          <xdr:colOff>19050</xdr:colOff>
          <xdr:row>20</xdr:row>
          <xdr:rowOff>228600</xdr:rowOff>
        </xdr:to>
        <xdr:sp macro="" textlink="">
          <xdr:nvSpPr>
            <xdr:cNvPr id="7662" name="Check Box 494" hidden="1">
              <a:extLst>
                <a:ext uri="{63B3BB69-23CF-44E3-9099-C40C66FF867C}">
                  <a14:compatExt spid="_x0000_s76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184150</xdr:colOff>
          <xdr:row>21</xdr:row>
          <xdr:rowOff>12700</xdr:rowOff>
        </xdr:from>
        <xdr:to>
          <xdr:col>13</xdr:col>
          <xdr:colOff>19050</xdr:colOff>
          <xdr:row>21</xdr:row>
          <xdr:rowOff>228600</xdr:rowOff>
        </xdr:to>
        <xdr:sp macro="" textlink="">
          <xdr:nvSpPr>
            <xdr:cNvPr id="7663" name="Check Box 495" hidden="1">
              <a:extLst>
                <a:ext uri="{63B3BB69-23CF-44E3-9099-C40C66FF867C}">
                  <a14:compatExt spid="_x0000_s76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184150</xdr:colOff>
          <xdr:row>22</xdr:row>
          <xdr:rowOff>12700</xdr:rowOff>
        </xdr:from>
        <xdr:to>
          <xdr:col>13</xdr:col>
          <xdr:colOff>19050</xdr:colOff>
          <xdr:row>22</xdr:row>
          <xdr:rowOff>228600</xdr:rowOff>
        </xdr:to>
        <xdr:sp macro="" textlink="">
          <xdr:nvSpPr>
            <xdr:cNvPr id="7664" name="Check Box 496" hidden="1">
              <a:extLst>
                <a:ext uri="{63B3BB69-23CF-44E3-9099-C40C66FF867C}">
                  <a14:compatExt spid="_x0000_s76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184150</xdr:colOff>
          <xdr:row>19</xdr:row>
          <xdr:rowOff>31750</xdr:rowOff>
        </xdr:from>
        <xdr:to>
          <xdr:col>13</xdr:col>
          <xdr:colOff>19050</xdr:colOff>
          <xdr:row>19</xdr:row>
          <xdr:rowOff>241300</xdr:rowOff>
        </xdr:to>
        <xdr:sp macro="" textlink="">
          <xdr:nvSpPr>
            <xdr:cNvPr id="7666" name="Check Box 498" hidden="1">
              <a:extLst>
                <a:ext uri="{63B3BB69-23CF-44E3-9099-C40C66FF867C}">
                  <a14:compatExt spid="_x0000_s76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146050</xdr:colOff>
          <xdr:row>17</xdr:row>
          <xdr:rowOff>12700</xdr:rowOff>
        </xdr:from>
        <xdr:to>
          <xdr:col>11</xdr:col>
          <xdr:colOff>3361</xdr:colOff>
          <xdr:row>17</xdr:row>
          <xdr:rowOff>228600</xdr:rowOff>
        </xdr:to>
        <xdr:sp macro="" textlink="">
          <xdr:nvSpPr>
            <xdr:cNvPr id="7667" name="Check Box 499" hidden="1">
              <a:extLst>
                <a:ext uri="{63B3BB69-23CF-44E3-9099-C40C66FF867C}">
                  <a14:compatExt spid="_x0000_s7667"/>
                </a:ext>
              </a:extLst>
            </xdr:cNvPr>
            <xdr:cNvSpPr/>
          </xdr:nvSpPr>
          <xdr:spPr>
            <a:xfrm>
              <a:off x="0" y="0"/>
              <a:ext cx="0" cy="0"/>
            </a:xfrm>
            <a:prstGeom prst="rect">
              <a:avLst/>
            </a:prstGeom>
          </xdr:spPr>
        </xdr:sp>
        <xdr:clientData/>
      </xdr:twoCellAnchor>
    </mc:Choice>
    <mc:Fallback/>
  </mc:AlternateContent>
  <xdr:twoCellAnchor>
    <xdr:from>
      <xdr:col>2</xdr:col>
      <xdr:colOff>9104</xdr:colOff>
      <xdr:row>121</xdr:row>
      <xdr:rowOff>13343</xdr:rowOff>
    </xdr:from>
    <xdr:to>
      <xdr:col>11</xdr:col>
      <xdr:colOff>153666</xdr:colOff>
      <xdr:row>122</xdr:row>
      <xdr:rowOff>112087</xdr:rowOff>
    </xdr:to>
    <xdr:sp macro="" textlink="">
      <xdr:nvSpPr>
        <xdr:cNvPr id="138" name="角丸四角形 137"/>
        <xdr:cNvSpPr/>
      </xdr:nvSpPr>
      <xdr:spPr>
        <a:xfrm>
          <a:off x="524575" y="22705255"/>
          <a:ext cx="2464179" cy="322861"/>
        </a:xfrm>
        <a:prstGeom prst="roundRect">
          <a:avLst>
            <a:gd name="adj" fmla="val 50000"/>
          </a:avLst>
        </a:prstGeom>
        <a:solidFill>
          <a:schemeClr val="tx1"/>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bg1"/>
              </a:solidFill>
              <a:latin typeface="+mj-ea"/>
              <a:ea typeface="+mj-ea"/>
            </a:rPr>
            <a:t>7.</a:t>
          </a:r>
          <a:r>
            <a:rPr kumimoji="1" lang="ja-JP" altLang="en-US" sz="1400" b="1">
              <a:solidFill>
                <a:schemeClr val="bg1"/>
              </a:solidFill>
              <a:latin typeface="+mj-ea"/>
              <a:ea typeface="+mj-ea"/>
            </a:rPr>
            <a:t>お申し込み端末</a:t>
          </a:r>
        </a:p>
      </xdr:txBody>
    </xdr:sp>
    <xdr:clientData/>
  </xdr:twoCellAnchor>
  <mc:AlternateContent xmlns:mc="http://schemas.openxmlformats.org/markup-compatibility/2006">
    <mc:Choice xmlns:a14="http://schemas.microsoft.com/office/drawing/2010/main" Requires="a14">
      <xdr:twoCellAnchor editAs="oneCell">
        <xdr:from>
          <xdr:col>9</xdr:col>
          <xdr:colOff>171450</xdr:colOff>
          <xdr:row>28</xdr:row>
          <xdr:rowOff>12700</xdr:rowOff>
        </xdr:from>
        <xdr:to>
          <xdr:col>11</xdr:col>
          <xdr:colOff>19050</xdr:colOff>
          <xdr:row>28</xdr:row>
          <xdr:rowOff>228600</xdr:rowOff>
        </xdr:to>
        <xdr:sp macro="" textlink="">
          <xdr:nvSpPr>
            <xdr:cNvPr id="7690" name="Check Box 522" hidden="1">
              <a:extLst>
                <a:ext uri="{63B3BB69-23CF-44E3-9099-C40C66FF867C}">
                  <a14:compatExt spid="_x0000_s76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29</xdr:row>
          <xdr:rowOff>19050</xdr:rowOff>
        </xdr:from>
        <xdr:to>
          <xdr:col>11</xdr:col>
          <xdr:colOff>19050</xdr:colOff>
          <xdr:row>29</xdr:row>
          <xdr:rowOff>228600</xdr:rowOff>
        </xdr:to>
        <xdr:sp macro="" textlink="">
          <xdr:nvSpPr>
            <xdr:cNvPr id="7691" name="Check Box 523" hidden="1">
              <a:extLst>
                <a:ext uri="{63B3BB69-23CF-44E3-9099-C40C66FF867C}">
                  <a14:compatExt spid="_x0000_s76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30</xdr:row>
          <xdr:rowOff>19050</xdr:rowOff>
        </xdr:from>
        <xdr:to>
          <xdr:col>11</xdr:col>
          <xdr:colOff>19050</xdr:colOff>
          <xdr:row>30</xdr:row>
          <xdr:rowOff>228600</xdr:rowOff>
        </xdr:to>
        <xdr:sp macro="" textlink="">
          <xdr:nvSpPr>
            <xdr:cNvPr id="7767" name="Check Box 599" hidden="1">
              <a:extLst>
                <a:ext uri="{63B3BB69-23CF-44E3-9099-C40C66FF867C}">
                  <a14:compatExt spid="_x0000_s77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32</xdr:row>
          <xdr:rowOff>19050</xdr:rowOff>
        </xdr:from>
        <xdr:to>
          <xdr:col>11</xdr:col>
          <xdr:colOff>19050</xdr:colOff>
          <xdr:row>32</xdr:row>
          <xdr:rowOff>228600</xdr:rowOff>
        </xdr:to>
        <xdr:sp macro="" textlink="">
          <xdr:nvSpPr>
            <xdr:cNvPr id="7768" name="Check Box 600" hidden="1">
              <a:extLst>
                <a:ext uri="{63B3BB69-23CF-44E3-9099-C40C66FF867C}">
                  <a14:compatExt spid="_x0000_s77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33</xdr:row>
          <xdr:rowOff>19050</xdr:rowOff>
        </xdr:from>
        <xdr:to>
          <xdr:col>11</xdr:col>
          <xdr:colOff>19050</xdr:colOff>
          <xdr:row>33</xdr:row>
          <xdr:rowOff>228600</xdr:rowOff>
        </xdr:to>
        <xdr:sp macro="" textlink="">
          <xdr:nvSpPr>
            <xdr:cNvPr id="7769" name="Check Box 601" hidden="1">
              <a:extLst>
                <a:ext uri="{63B3BB69-23CF-44E3-9099-C40C66FF867C}">
                  <a14:compatExt spid="_x0000_s77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146050</xdr:colOff>
          <xdr:row>15</xdr:row>
          <xdr:rowOff>133350</xdr:rowOff>
        </xdr:from>
        <xdr:to>
          <xdr:col>11</xdr:col>
          <xdr:colOff>3361</xdr:colOff>
          <xdr:row>16</xdr:row>
          <xdr:rowOff>107950</xdr:rowOff>
        </xdr:to>
        <xdr:sp macro="" textlink="">
          <xdr:nvSpPr>
            <xdr:cNvPr id="8147" name="Check Box 979" hidden="1">
              <a:extLst>
                <a:ext uri="{63B3BB69-23CF-44E3-9099-C40C66FF867C}">
                  <a14:compatExt spid="_x0000_s81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34</xdr:row>
          <xdr:rowOff>19050</xdr:rowOff>
        </xdr:from>
        <xdr:to>
          <xdr:col>11</xdr:col>
          <xdr:colOff>19050</xdr:colOff>
          <xdr:row>34</xdr:row>
          <xdr:rowOff>228600</xdr:rowOff>
        </xdr:to>
        <xdr:sp macro="" textlink="">
          <xdr:nvSpPr>
            <xdr:cNvPr id="8178" name="Check Box 1010" hidden="1">
              <a:extLst>
                <a:ext uri="{63B3BB69-23CF-44E3-9099-C40C66FF867C}">
                  <a14:compatExt spid="_x0000_s8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43</xdr:row>
          <xdr:rowOff>19050</xdr:rowOff>
        </xdr:from>
        <xdr:to>
          <xdr:col>11</xdr:col>
          <xdr:colOff>19050</xdr:colOff>
          <xdr:row>43</xdr:row>
          <xdr:rowOff>228600</xdr:rowOff>
        </xdr:to>
        <xdr:sp macro="" textlink="">
          <xdr:nvSpPr>
            <xdr:cNvPr id="8182" name="Check Box 1014" hidden="1">
              <a:extLst>
                <a:ext uri="{63B3BB69-23CF-44E3-9099-C40C66FF867C}">
                  <a14:compatExt spid="_x0000_s81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44</xdr:row>
          <xdr:rowOff>19050</xdr:rowOff>
        </xdr:from>
        <xdr:to>
          <xdr:col>11</xdr:col>
          <xdr:colOff>19050</xdr:colOff>
          <xdr:row>44</xdr:row>
          <xdr:rowOff>228600</xdr:rowOff>
        </xdr:to>
        <xdr:sp macro="" textlink="">
          <xdr:nvSpPr>
            <xdr:cNvPr id="8183" name="Check Box 1015" hidden="1">
              <a:extLst>
                <a:ext uri="{63B3BB69-23CF-44E3-9099-C40C66FF867C}">
                  <a14:compatExt spid="_x0000_s8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46</xdr:row>
          <xdr:rowOff>19050</xdr:rowOff>
        </xdr:from>
        <xdr:to>
          <xdr:col>11</xdr:col>
          <xdr:colOff>19050</xdr:colOff>
          <xdr:row>46</xdr:row>
          <xdr:rowOff>228600</xdr:rowOff>
        </xdr:to>
        <xdr:sp macro="" textlink="">
          <xdr:nvSpPr>
            <xdr:cNvPr id="8184" name="Check Box 1016" hidden="1">
              <a:extLst>
                <a:ext uri="{63B3BB69-23CF-44E3-9099-C40C66FF867C}">
                  <a14:compatExt spid="_x0000_s8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49</xdr:row>
          <xdr:rowOff>19050</xdr:rowOff>
        </xdr:from>
        <xdr:to>
          <xdr:col>11</xdr:col>
          <xdr:colOff>19050</xdr:colOff>
          <xdr:row>49</xdr:row>
          <xdr:rowOff>228600</xdr:rowOff>
        </xdr:to>
        <xdr:sp macro="" textlink="">
          <xdr:nvSpPr>
            <xdr:cNvPr id="8185" name="Check Box 1017" hidden="1">
              <a:extLst>
                <a:ext uri="{63B3BB69-23CF-44E3-9099-C40C66FF867C}">
                  <a14:compatExt spid="_x0000_s8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203200</xdr:colOff>
          <xdr:row>70</xdr:row>
          <xdr:rowOff>203200</xdr:rowOff>
        </xdr:from>
        <xdr:to>
          <xdr:col>45</xdr:col>
          <xdr:colOff>203200</xdr:colOff>
          <xdr:row>74</xdr:row>
          <xdr:rowOff>69850</xdr:rowOff>
        </xdr:to>
        <xdr:sp macro="" textlink="">
          <xdr:nvSpPr>
            <xdr:cNvPr id="8187" name="Group Box 1019" hidden="1">
              <a:extLst>
                <a:ext uri="{63B3BB69-23CF-44E3-9099-C40C66FF867C}">
                  <a14:compatExt spid="_x0000_s8187"/>
                </a:ext>
              </a:extLst>
            </xdr:cNvPr>
            <xdr:cNvSpPr/>
          </xdr:nvSpPr>
          <xdr:spPr>
            <a:xfrm>
              <a:off x="0" y="0"/>
              <a:ext cx="0" cy="0"/>
            </a:xfrm>
            <a:prstGeom prst="rect">
              <a:avLst/>
            </a:prstGeom>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870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71</xdr:row>
          <xdr:rowOff>19050</xdr:rowOff>
        </xdr:from>
        <xdr:to>
          <xdr:col>31</xdr:col>
          <xdr:colOff>190500</xdr:colOff>
          <xdr:row>71</xdr:row>
          <xdr:rowOff>228600</xdr:rowOff>
        </xdr:to>
        <xdr:sp macro="" textlink="">
          <xdr:nvSpPr>
            <xdr:cNvPr id="8188" name="Option Button 1020" hidden="1">
              <a:extLst>
                <a:ext uri="{63B3BB69-23CF-44E3-9099-C40C66FF867C}">
                  <a14:compatExt spid="_x0000_s8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71</xdr:row>
          <xdr:rowOff>19050</xdr:rowOff>
        </xdr:from>
        <xdr:to>
          <xdr:col>36</xdr:col>
          <xdr:colOff>107950</xdr:colOff>
          <xdr:row>71</xdr:row>
          <xdr:rowOff>228600</xdr:rowOff>
        </xdr:to>
        <xdr:sp macro="" textlink="">
          <xdr:nvSpPr>
            <xdr:cNvPr id="8189" name="Option Button 1021" hidden="1">
              <a:extLst>
                <a:ext uri="{63B3BB69-23CF-44E3-9099-C40C66FF867C}">
                  <a14:compatExt spid="_x0000_s8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19050</xdr:colOff>
          <xdr:row>71</xdr:row>
          <xdr:rowOff>19050</xdr:rowOff>
        </xdr:from>
        <xdr:to>
          <xdr:col>43</xdr:col>
          <xdr:colOff>76200</xdr:colOff>
          <xdr:row>71</xdr:row>
          <xdr:rowOff>228600</xdr:rowOff>
        </xdr:to>
        <xdr:sp macro="" textlink="">
          <xdr:nvSpPr>
            <xdr:cNvPr id="8190" name="Option Button 1022" hidden="1">
              <a:extLst>
                <a:ext uri="{63B3BB69-23CF-44E3-9099-C40C66FF867C}">
                  <a14:compatExt spid="_x0000_s8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59</xdr:row>
          <xdr:rowOff>19050</xdr:rowOff>
        </xdr:from>
        <xdr:to>
          <xdr:col>11</xdr:col>
          <xdr:colOff>19050</xdr:colOff>
          <xdr:row>59</xdr:row>
          <xdr:rowOff>228600</xdr:rowOff>
        </xdr:to>
        <xdr:sp macro="" textlink="">
          <xdr:nvSpPr>
            <xdr:cNvPr id="8191" name="Check Box 1023" hidden="1">
              <a:extLst>
                <a:ext uri="{63B3BB69-23CF-44E3-9099-C40C66FF867C}">
                  <a14:compatExt spid="_x0000_s8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62</xdr:row>
          <xdr:rowOff>19050</xdr:rowOff>
        </xdr:from>
        <xdr:to>
          <xdr:col>11</xdr:col>
          <xdr:colOff>19050</xdr:colOff>
          <xdr:row>62</xdr:row>
          <xdr:rowOff>228600</xdr:rowOff>
        </xdr:to>
        <xdr:sp macro="" textlink="">
          <xdr:nvSpPr>
            <xdr:cNvPr id="102400" name="Check Box 1024" hidden="1">
              <a:extLst>
                <a:ext uri="{63B3BB69-23CF-44E3-9099-C40C66FF867C}">
                  <a14:compatExt spid="_x0000_s1024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64</xdr:row>
          <xdr:rowOff>19050</xdr:rowOff>
        </xdr:from>
        <xdr:to>
          <xdr:col>11</xdr:col>
          <xdr:colOff>19050</xdr:colOff>
          <xdr:row>64</xdr:row>
          <xdr:rowOff>228600</xdr:rowOff>
        </xdr:to>
        <xdr:sp macro="" textlink="">
          <xdr:nvSpPr>
            <xdr:cNvPr id="102401" name="Check Box 1025" hidden="1">
              <a:extLst>
                <a:ext uri="{63B3BB69-23CF-44E3-9099-C40C66FF867C}">
                  <a14:compatExt spid="_x0000_s1024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70</xdr:row>
          <xdr:rowOff>19050</xdr:rowOff>
        </xdr:from>
        <xdr:to>
          <xdr:col>11</xdr:col>
          <xdr:colOff>19050</xdr:colOff>
          <xdr:row>70</xdr:row>
          <xdr:rowOff>228600</xdr:rowOff>
        </xdr:to>
        <xdr:sp macro="" textlink="">
          <xdr:nvSpPr>
            <xdr:cNvPr id="102403" name="Check Box 1027" hidden="1">
              <a:extLst>
                <a:ext uri="{63B3BB69-23CF-44E3-9099-C40C66FF867C}">
                  <a14:compatExt spid="_x0000_s1024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74</xdr:row>
          <xdr:rowOff>19050</xdr:rowOff>
        </xdr:from>
        <xdr:to>
          <xdr:col>11</xdr:col>
          <xdr:colOff>19050</xdr:colOff>
          <xdr:row>74</xdr:row>
          <xdr:rowOff>228600</xdr:rowOff>
        </xdr:to>
        <xdr:sp macro="" textlink="">
          <xdr:nvSpPr>
            <xdr:cNvPr id="102404" name="Check Box 1028" hidden="1">
              <a:extLst>
                <a:ext uri="{63B3BB69-23CF-44E3-9099-C40C66FF867C}">
                  <a14:compatExt spid="_x0000_s1024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77</xdr:row>
          <xdr:rowOff>19050</xdr:rowOff>
        </xdr:from>
        <xdr:to>
          <xdr:col>11</xdr:col>
          <xdr:colOff>19050</xdr:colOff>
          <xdr:row>77</xdr:row>
          <xdr:rowOff>228600</xdr:rowOff>
        </xdr:to>
        <xdr:sp macro="" textlink="">
          <xdr:nvSpPr>
            <xdr:cNvPr id="102405" name="Check Box 1029" hidden="1">
              <a:extLst>
                <a:ext uri="{63B3BB69-23CF-44E3-9099-C40C66FF867C}">
                  <a14:compatExt spid="_x0000_s1024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50800</xdr:colOff>
          <xdr:row>60</xdr:row>
          <xdr:rowOff>241300</xdr:rowOff>
        </xdr:from>
        <xdr:to>
          <xdr:col>23</xdr:col>
          <xdr:colOff>209550</xdr:colOff>
          <xdr:row>62</xdr:row>
          <xdr:rowOff>209550</xdr:rowOff>
        </xdr:to>
        <xdr:sp macro="" textlink="">
          <xdr:nvSpPr>
            <xdr:cNvPr id="102408" name="Group Box 1032" hidden="1">
              <a:extLst>
                <a:ext uri="{63B3BB69-23CF-44E3-9099-C40C66FF867C}">
                  <a14:compatExt spid="_x0000_s102408"/>
                </a:ext>
              </a:extLst>
            </xdr:cNvPr>
            <xdr:cNvSpPr/>
          </xdr:nvSpPr>
          <xdr:spPr>
            <a:xfrm>
              <a:off x="0" y="0"/>
              <a:ext cx="0" cy="0"/>
            </a:xfrm>
            <a:prstGeom prst="rect">
              <a:avLst/>
            </a:prstGeom>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1032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61</xdr:row>
          <xdr:rowOff>12700</xdr:rowOff>
        </xdr:from>
        <xdr:to>
          <xdr:col>18</xdr:col>
          <xdr:colOff>3362</xdr:colOff>
          <xdr:row>61</xdr:row>
          <xdr:rowOff>209550</xdr:rowOff>
        </xdr:to>
        <xdr:sp macro="" textlink="">
          <xdr:nvSpPr>
            <xdr:cNvPr id="102409" name="Option Button 1033" hidden="1">
              <a:extLst>
                <a:ext uri="{63B3BB69-23CF-44E3-9099-C40C66FF867C}">
                  <a14:compatExt spid="_x0000_s1024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61</xdr:row>
          <xdr:rowOff>12700</xdr:rowOff>
        </xdr:from>
        <xdr:to>
          <xdr:col>22</xdr:col>
          <xdr:colOff>152400</xdr:colOff>
          <xdr:row>61</xdr:row>
          <xdr:rowOff>209550</xdr:rowOff>
        </xdr:to>
        <xdr:sp macro="" textlink="">
          <xdr:nvSpPr>
            <xdr:cNvPr id="102410" name="Option Button 1034" hidden="1">
              <a:extLst>
                <a:ext uri="{63B3BB69-23CF-44E3-9099-C40C66FF867C}">
                  <a14:compatExt spid="_x0000_s1024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12700</xdr:colOff>
          <xdr:row>64</xdr:row>
          <xdr:rowOff>228600</xdr:rowOff>
        </xdr:from>
        <xdr:to>
          <xdr:col>36</xdr:col>
          <xdr:colOff>0</xdr:colOff>
          <xdr:row>70</xdr:row>
          <xdr:rowOff>12700</xdr:rowOff>
        </xdr:to>
        <xdr:sp macro="" textlink="">
          <xdr:nvSpPr>
            <xdr:cNvPr id="102413" name="Group Box 1037" hidden="1">
              <a:extLst>
                <a:ext uri="{63B3BB69-23CF-44E3-9099-C40C66FF867C}">
                  <a14:compatExt spid="_x0000_s102413"/>
                </a:ext>
              </a:extLst>
            </xdr:cNvPr>
            <xdr:cNvSpPr/>
          </xdr:nvSpPr>
          <xdr:spPr>
            <a:xfrm>
              <a:off x="0" y="0"/>
              <a:ext cx="0" cy="0"/>
            </a:xfrm>
            <a:prstGeom prst="rect">
              <a:avLst/>
            </a:prstGeom>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1037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127000</xdr:colOff>
          <xdr:row>65</xdr:row>
          <xdr:rowOff>19050</xdr:rowOff>
        </xdr:from>
        <xdr:to>
          <xdr:col>32</xdr:col>
          <xdr:colOff>3361</xdr:colOff>
          <xdr:row>65</xdr:row>
          <xdr:rowOff>228600</xdr:rowOff>
        </xdr:to>
        <xdr:sp macro="" textlink="">
          <xdr:nvSpPr>
            <xdr:cNvPr id="102414" name="Option Button 1038" hidden="1">
              <a:extLst>
                <a:ext uri="{63B3BB69-23CF-44E3-9099-C40C66FF867C}">
                  <a14:compatExt spid="_x0000_s1024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107950</xdr:colOff>
          <xdr:row>65</xdr:row>
          <xdr:rowOff>19050</xdr:rowOff>
        </xdr:from>
        <xdr:to>
          <xdr:col>35</xdr:col>
          <xdr:colOff>228600</xdr:colOff>
          <xdr:row>65</xdr:row>
          <xdr:rowOff>228600</xdr:rowOff>
        </xdr:to>
        <xdr:sp macro="" textlink="">
          <xdr:nvSpPr>
            <xdr:cNvPr id="102415" name="Option Button 1039" hidden="1">
              <a:extLst>
                <a:ext uri="{63B3BB69-23CF-44E3-9099-C40C66FF867C}">
                  <a14:compatExt spid="_x0000_s1024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76</xdr:row>
          <xdr:rowOff>0</xdr:rowOff>
        </xdr:from>
        <xdr:to>
          <xdr:col>24</xdr:col>
          <xdr:colOff>3361</xdr:colOff>
          <xdr:row>77</xdr:row>
          <xdr:rowOff>19050</xdr:rowOff>
        </xdr:to>
        <xdr:sp macro="" textlink="">
          <xdr:nvSpPr>
            <xdr:cNvPr id="102416" name="Group Box 1040" hidden="1">
              <a:extLst>
                <a:ext uri="{63B3BB69-23CF-44E3-9099-C40C66FF867C}">
                  <a14:compatExt spid="_x0000_s102416"/>
                </a:ext>
              </a:extLst>
            </xdr:cNvPr>
            <xdr:cNvSpPr/>
          </xdr:nvSpPr>
          <xdr:spPr>
            <a:xfrm>
              <a:off x="0" y="0"/>
              <a:ext cx="0" cy="0"/>
            </a:xfrm>
            <a:prstGeom prst="rect">
              <a:avLst/>
            </a:prstGeom>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885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76</xdr:row>
          <xdr:rowOff>19050</xdr:rowOff>
        </xdr:from>
        <xdr:to>
          <xdr:col>17</xdr:col>
          <xdr:colOff>171450</xdr:colOff>
          <xdr:row>76</xdr:row>
          <xdr:rowOff>228600</xdr:rowOff>
        </xdr:to>
        <xdr:sp macro="" textlink="">
          <xdr:nvSpPr>
            <xdr:cNvPr id="102417" name="Option Button 1041" hidden="1">
              <a:extLst>
                <a:ext uri="{63B3BB69-23CF-44E3-9099-C40C66FF867C}">
                  <a14:compatExt spid="_x0000_s1024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260350</xdr:colOff>
          <xdr:row>76</xdr:row>
          <xdr:rowOff>19050</xdr:rowOff>
        </xdr:from>
        <xdr:to>
          <xdr:col>22</xdr:col>
          <xdr:colOff>57150</xdr:colOff>
          <xdr:row>76</xdr:row>
          <xdr:rowOff>228600</xdr:rowOff>
        </xdr:to>
        <xdr:sp macro="" textlink="">
          <xdr:nvSpPr>
            <xdr:cNvPr id="102418" name="Option Button 1042" hidden="1">
              <a:extLst>
                <a:ext uri="{63B3BB69-23CF-44E3-9099-C40C66FF867C}">
                  <a14:compatExt spid="_x0000_s102418"/>
                </a:ext>
              </a:extLst>
            </xdr:cNvPr>
            <xdr:cNvSpPr/>
          </xdr:nvSpPr>
          <xdr:spPr>
            <a:xfrm>
              <a:off x="0" y="0"/>
              <a:ext cx="0" cy="0"/>
            </a:xfrm>
            <a:prstGeom prst="rect">
              <a:avLst/>
            </a:prstGeom>
          </xdr:spPr>
        </xdr:sp>
        <xdr:clientData/>
      </xdr:twoCellAnchor>
    </mc:Choice>
    <mc:Fallback/>
  </mc:AlternateContent>
  <xdr:oneCellAnchor>
    <xdr:from>
      <xdr:col>25</xdr:col>
      <xdr:colOff>100854</xdr:colOff>
      <xdr:row>189</xdr:row>
      <xdr:rowOff>60973</xdr:rowOff>
    </xdr:from>
    <xdr:ext cx="4462623" cy="338811"/>
    <xdr:sp macro="" textlink="" fLocksText="0">
      <xdr:nvSpPr>
        <xdr:cNvPr id="2" name="テキスト ボックス 1"/>
        <xdr:cNvSpPr txBox="1"/>
      </xdr:nvSpPr>
      <xdr:spPr>
        <a:xfrm>
          <a:off x="6544236" y="44055267"/>
          <a:ext cx="4462623" cy="3388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en-US" altLang="ja-JP" sz="1600">
              <a:solidFill>
                <a:srgbClr val="FF0000"/>
              </a:solidFill>
              <a:latin typeface="Meiryo UI" panose="020B0604030504040204" pitchFamily="50" charset="-128"/>
              <a:ea typeface="Meiryo UI" panose="020B0604030504040204" pitchFamily="50" charset="-128"/>
            </a:rPr>
            <a:t>sbps-dp-attachments@poc-operation.com</a:t>
          </a:r>
          <a:endParaRPr kumimoji="1" lang="ja-JP" altLang="en-US" sz="1600">
            <a:solidFill>
              <a:srgbClr val="FF0000"/>
            </a:solidFill>
            <a:latin typeface="Meiryo UI" panose="020B0604030504040204" pitchFamily="50" charset="-128"/>
            <a:ea typeface="Meiryo UI" panose="020B0604030504040204" pitchFamily="50" charset="-128"/>
          </a:endParaRPr>
        </a:p>
      </xdr:txBody>
    </xdr:sp>
    <xdr:clientData/>
  </xdr:oneCellAnchor>
  <mc:AlternateContent xmlns:mc="http://schemas.openxmlformats.org/markup-compatibility/2006">
    <mc:Choice xmlns:a14="http://schemas.microsoft.com/office/drawing/2010/main" Requires="a14">
      <xdr:twoCellAnchor editAs="oneCell">
        <xdr:from>
          <xdr:col>14</xdr:col>
          <xdr:colOff>31750</xdr:colOff>
          <xdr:row>80</xdr:row>
          <xdr:rowOff>247650</xdr:rowOff>
        </xdr:from>
        <xdr:to>
          <xdr:col>23</xdr:col>
          <xdr:colOff>228600</xdr:colOff>
          <xdr:row>82</xdr:row>
          <xdr:rowOff>0</xdr:rowOff>
        </xdr:to>
        <xdr:sp macro="" textlink="">
          <xdr:nvSpPr>
            <xdr:cNvPr id="102560" name="Group Box 1184" hidden="1">
              <a:extLst>
                <a:ext uri="{63B3BB69-23CF-44E3-9099-C40C66FF867C}">
                  <a14:compatExt spid="_x0000_s102560"/>
                </a:ext>
              </a:extLst>
            </xdr:cNvPr>
            <xdr:cNvSpPr/>
          </xdr:nvSpPr>
          <xdr:spPr>
            <a:xfrm>
              <a:off x="0" y="0"/>
              <a:ext cx="0" cy="0"/>
            </a:xfrm>
            <a:prstGeom prst="rect">
              <a:avLst/>
            </a:prstGeom>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203200</xdr:colOff>
          <xdr:row>81</xdr:row>
          <xdr:rowOff>0</xdr:rowOff>
        </xdr:from>
        <xdr:to>
          <xdr:col>18</xdr:col>
          <xdr:colOff>107950</xdr:colOff>
          <xdr:row>81</xdr:row>
          <xdr:rowOff>241300</xdr:rowOff>
        </xdr:to>
        <xdr:sp macro="" textlink="">
          <xdr:nvSpPr>
            <xdr:cNvPr id="102561" name="Option Button 1185" hidden="1">
              <a:extLst>
                <a:ext uri="{63B3BB69-23CF-44E3-9099-C40C66FF867C}">
                  <a14:compatExt spid="_x0000_s1025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209550</xdr:colOff>
          <xdr:row>81</xdr:row>
          <xdr:rowOff>0</xdr:rowOff>
        </xdr:from>
        <xdr:to>
          <xdr:col>23</xdr:col>
          <xdr:colOff>114300</xdr:colOff>
          <xdr:row>81</xdr:row>
          <xdr:rowOff>241300</xdr:rowOff>
        </xdr:to>
        <xdr:sp macro="" textlink="">
          <xdr:nvSpPr>
            <xdr:cNvPr id="102562" name="Option Button 1186" hidden="1">
              <a:extLst>
                <a:ext uri="{63B3BB69-23CF-44E3-9099-C40C66FF867C}">
                  <a14:compatExt spid="_x0000_s1025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31750</xdr:colOff>
          <xdr:row>148</xdr:row>
          <xdr:rowOff>31750</xdr:rowOff>
        </xdr:from>
        <xdr:to>
          <xdr:col>45</xdr:col>
          <xdr:colOff>190500</xdr:colOff>
          <xdr:row>150</xdr:row>
          <xdr:rowOff>190500</xdr:rowOff>
        </xdr:to>
        <xdr:sp macro="" textlink="">
          <xdr:nvSpPr>
            <xdr:cNvPr id="102569" name="Group Box 1193" hidden="1">
              <a:extLst>
                <a:ext uri="{63B3BB69-23CF-44E3-9099-C40C66FF867C}">
                  <a14:compatExt spid="_x0000_s102569"/>
                </a:ext>
              </a:extLst>
            </xdr:cNvPr>
            <xdr:cNvSpPr/>
          </xdr:nvSpPr>
          <xdr:spPr>
            <a:xfrm>
              <a:off x="0" y="0"/>
              <a:ext cx="0" cy="0"/>
            </a:xfrm>
            <a:prstGeom prst="rect">
              <a:avLst/>
            </a:prstGeom>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1193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148</xdr:row>
          <xdr:rowOff>69850</xdr:rowOff>
        </xdr:from>
        <xdr:to>
          <xdr:col>12</xdr:col>
          <xdr:colOff>3362</xdr:colOff>
          <xdr:row>150</xdr:row>
          <xdr:rowOff>114300</xdr:rowOff>
        </xdr:to>
        <xdr:sp macro="" textlink="">
          <xdr:nvSpPr>
            <xdr:cNvPr id="102570" name="Option Button 1194" hidden="1">
              <a:extLst>
                <a:ext uri="{63B3BB69-23CF-44E3-9099-C40C66FF867C}">
                  <a14:compatExt spid="_x0000_s1025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148</xdr:row>
          <xdr:rowOff>69850</xdr:rowOff>
        </xdr:from>
        <xdr:to>
          <xdr:col>24</xdr:col>
          <xdr:colOff>3361</xdr:colOff>
          <xdr:row>150</xdr:row>
          <xdr:rowOff>114300</xdr:rowOff>
        </xdr:to>
        <xdr:sp macro="" textlink="">
          <xdr:nvSpPr>
            <xdr:cNvPr id="102571" name="Option Button 1195" hidden="1">
              <a:extLst>
                <a:ext uri="{63B3BB69-23CF-44E3-9099-C40C66FF867C}">
                  <a14:compatExt spid="_x0000_s1025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165100</xdr:colOff>
          <xdr:row>148</xdr:row>
          <xdr:rowOff>69850</xdr:rowOff>
        </xdr:from>
        <xdr:to>
          <xdr:col>36</xdr:col>
          <xdr:colOff>12700</xdr:colOff>
          <xdr:row>150</xdr:row>
          <xdr:rowOff>114300</xdr:rowOff>
        </xdr:to>
        <xdr:sp macro="" textlink="">
          <xdr:nvSpPr>
            <xdr:cNvPr id="102572" name="Option Button 1196" hidden="1">
              <a:extLst>
                <a:ext uri="{63B3BB69-23CF-44E3-9099-C40C66FF867C}">
                  <a14:compatExt spid="_x0000_s1025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31750</xdr:colOff>
          <xdr:row>153</xdr:row>
          <xdr:rowOff>0</xdr:rowOff>
        </xdr:from>
        <xdr:to>
          <xdr:col>28</xdr:col>
          <xdr:colOff>3361</xdr:colOff>
          <xdr:row>153</xdr:row>
          <xdr:rowOff>241300</xdr:rowOff>
        </xdr:to>
        <xdr:sp macro="" textlink="">
          <xdr:nvSpPr>
            <xdr:cNvPr id="102582" name="Group Box 1206" hidden="1">
              <a:extLst>
                <a:ext uri="{63B3BB69-23CF-44E3-9099-C40C66FF867C}">
                  <a14:compatExt spid="_x0000_s102582"/>
                </a:ext>
              </a:extLst>
            </xdr:cNvPr>
            <xdr:cNvSpPr/>
          </xdr:nvSpPr>
          <xdr:spPr>
            <a:xfrm>
              <a:off x="0" y="0"/>
              <a:ext cx="0" cy="0"/>
            </a:xfrm>
            <a:prstGeom prst="rect">
              <a:avLst/>
            </a:prstGeom>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1206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222250</xdr:colOff>
          <xdr:row>153</xdr:row>
          <xdr:rowOff>0</xdr:rowOff>
        </xdr:from>
        <xdr:to>
          <xdr:col>20</xdr:col>
          <xdr:colOff>152400</xdr:colOff>
          <xdr:row>153</xdr:row>
          <xdr:rowOff>241300</xdr:rowOff>
        </xdr:to>
        <xdr:sp macro="" textlink="">
          <xdr:nvSpPr>
            <xdr:cNvPr id="102583" name="Option Button 1207" hidden="1">
              <a:extLst>
                <a:ext uri="{63B3BB69-23CF-44E3-9099-C40C66FF867C}">
                  <a14:compatExt spid="_x0000_s1025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203200</xdr:colOff>
          <xdr:row>153</xdr:row>
          <xdr:rowOff>0</xdr:rowOff>
        </xdr:from>
        <xdr:to>
          <xdr:col>26</xdr:col>
          <xdr:colOff>146050</xdr:colOff>
          <xdr:row>153</xdr:row>
          <xdr:rowOff>241300</xdr:rowOff>
        </xdr:to>
        <xdr:sp macro="" textlink="">
          <xdr:nvSpPr>
            <xdr:cNvPr id="102584" name="Option Button 1208" hidden="1">
              <a:extLst>
                <a:ext uri="{63B3BB69-23CF-44E3-9099-C40C66FF867C}">
                  <a14:compatExt spid="_x0000_s1025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31750</xdr:colOff>
          <xdr:row>155</xdr:row>
          <xdr:rowOff>12700</xdr:rowOff>
        </xdr:from>
        <xdr:to>
          <xdr:col>28</xdr:col>
          <xdr:colOff>3361</xdr:colOff>
          <xdr:row>156</xdr:row>
          <xdr:rowOff>0</xdr:rowOff>
        </xdr:to>
        <xdr:sp macro="" textlink="">
          <xdr:nvSpPr>
            <xdr:cNvPr id="102585" name="Group Box 1209" hidden="1">
              <a:extLst>
                <a:ext uri="{63B3BB69-23CF-44E3-9099-C40C66FF867C}">
                  <a14:compatExt spid="_x0000_s102585"/>
                </a:ext>
              </a:extLst>
            </xdr:cNvPr>
            <xdr:cNvSpPr/>
          </xdr:nvSpPr>
          <xdr:spPr>
            <a:xfrm>
              <a:off x="0" y="0"/>
              <a:ext cx="0" cy="0"/>
            </a:xfrm>
            <a:prstGeom prst="rect">
              <a:avLst/>
            </a:prstGeom>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1206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222250</xdr:colOff>
          <xdr:row>155</xdr:row>
          <xdr:rowOff>12700</xdr:rowOff>
        </xdr:from>
        <xdr:to>
          <xdr:col>20</xdr:col>
          <xdr:colOff>152400</xdr:colOff>
          <xdr:row>156</xdr:row>
          <xdr:rowOff>0</xdr:rowOff>
        </xdr:to>
        <xdr:sp macro="" textlink="">
          <xdr:nvSpPr>
            <xdr:cNvPr id="102586" name="Option Button 1210" hidden="1">
              <a:extLst>
                <a:ext uri="{63B3BB69-23CF-44E3-9099-C40C66FF867C}">
                  <a14:compatExt spid="_x0000_s1025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203200</xdr:colOff>
          <xdr:row>155</xdr:row>
          <xdr:rowOff>12700</xdr:rowOff>
        </xdr:from>
        <xdr:to>
          <xdr:col>26</xdr:col>
          <xdr:colOff>146050</xdr:colOff>
          <xdr:row>156</xdr:row>
          <xdr:rowOff>0</xdr:rowOff>
        </xdr:to>
        <xdr:sp macro="" textlink="">
          <xdr:nvSpPr>
            <xdr:cNvPr id="102587" name="Option Button 1211" hidden="1">
              <a:extLst>
                <a:ext uri="{63B3BB69-23CF-44E3-9099-C40C66FF867C}">
                  <a14:compatExt spid="_x0000_s1025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31750</xdr:colOff>
          <xdr:row>155</xdr:row>
          <xdr:rowOff>12700</xdr:rowOff>
        </xdr:from>
        <xdr:to>
          <xdr:col>46</xdr:col>
          <xdr:colOff>3362</xdr:colOff>
          <xdr:row>156</xdr:row>
          <xdr:rowOff>0</xdr:rowOff>
        </xdr:to>
        <xdr:sp macro="" textlink="">
          <xdr:nvSpPr>
            <xdr:cNvPr id="102588" name="Group Box 1212" hidden="1">
              <a:extLst>
                <a:ext uri="{63B3BB69-23CF-44E3-9099-C40C66FF867C}">
                  <a14:compatExt spid="_x0000_s102588"/>
                </a:ext>
              </a:extLst>
            </xdr:cNvPr>
            <xdr:cNvSpPr/>
          </xdr:nvSpPr>
          <xdr:spPr>
            <a:xfrm>
              <a:off x="0" y="0"/>
              <a:ext cx="0" cy="0"/>
            </a:xfrm>
            <a:prstGeom prst="rect">
              <a:avLst/>
            </a:prstGeom>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1206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222250</xdr:colOff>
          <xdr:row>155</xdr:row>
          <xdr:rowOff>12700</xdr:rowOff>
        </xdr:from>
        <xdr:to>
          <xdr:col>38</xdr:col>
          <xdr:colOff>152400</xdr:colOff>
          <xdr:row>156</xdr:row>
          <xdr:rowOff>0</xdr:rowOff>
        </xdr:to>
        <xdr:sp macro="" textlink="">
          <xdr:nvSpPr>
            <xdr:cNvPr id="102589" name="Option Button 1213" hidden="1">
              <a:extLst>
                <a:ext uri="{63B3BB69-23CF-44E3-9099-C40C66FF867C}">
                  <a14:compatExt spid="_x0000_s1025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203200</xdr:colOff>
          <xdr:row>155</xdr:row>
          <xdr:rowOff>12700</xdr:rowOff>
        </xdr:from>
        <xdr:to>
          <xdr:col>44</xdr:col>
          <xdr:colOff>146050</xdr:colOff>
          <xdr:row>156</xdr:row>
          <xdr:rowOff>0</xdr:rowOff>
        </xdr:to>
        <xdr:sp macro="" textlink="">
          <xdr:nvSpPr>
            <xdr:cNvPr id="102590" name="Option Button 1214" hidden="1">
              <a:extLst>
                <a:ext uri="{63B3BB69-23CF-44E3-9099-C40C66FF867C}">
                  <a14:compatExt spid="_x0000_s102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156</xdr:row>
          <xdr:rowOff>12700</xdr:rowOff>
        </xdr:from>
        <xdr:to>
          <xdr:col>28</xdr:col>
          <xdr:colOff>3361</xdr:colOff>
          <xdr:row>157</xdr:row>
          <xdr:rowOff>0</xdr:rowOff>
        </xdr:to>
        <xdr:sp macro="" textlink="">
          <xdr:nvSpPr>
            <xdr:cNvPr id="102591" name="Group Box 1215" hidden="1">
              <a:extLst>
                <a:ext uri="{63B3BB69-23CF-44E3-9099-C40C66FF867C}">
                  <a14:compatExt spid="_x0000_s102591"/>
                </a:ext>
              </a:extLst>
            </xdr:cNvPr>
            <xdr:cNvSpPr/>
          </xdr:nvSpPr>
          <xdr:spPr>
            <a:xfrm>
              <a:off x="0" y="0"/>
              <a:ext cx="0" cy="0"/>
            </a:xfrm>
            <a:prstGeom prst="rect">
              <a:avLst/>
            </a:prstGeom>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1206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222250</xdr:colOff>
          <xdr:row>156</xdr:row>
          <xdr:rowOff>12700</xdr:rowOff>
        </xdr:from>
        <xdr:to>
          <xdr:col>20</xdr:col>
          <xdr:colOff>152400</xdr:colOff>
          <xdr:row>157</xdr:row>
          <xdr:rowOff>0</xdr:rowOff>
        </xdr:to>
        <xdr:sp macro="" textlink="">
          <xdr:nvSpPr>
            <xdr:cNvPr id="102592" name="Option Button 1216" hidden="1">
              <a:extLst>
                <a:ext uri="{63B3BB69-23CF-44E3-9099-C40C66FF867C}">
                  <a14:compatExt spid="_x0000_s1025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203200</xdr:colOff>
          <xdr:row>156</xdr:row>
          <xdr:rowOff>12700</xdr:rowOff>
        </xdr:from>
        <xdr:to>
          <xdr:col>26</xdr:col>
          <xdr:colOff>146050</xdr:colOff>
          <xdr:row>157</xdr:row>
          <xdr:rowOff>0</xdr:rowOff>
        </xdr:to>
        <xdr:sp macro="" textlink="">
          <xdr:nvSpPr>
            <xdr:cNvPr id="102593" name="Option Button 1217" hidden="1">
              <a:extLst>
                <a:ext uri="{63B3BB69-23CF-44E3-9099-C40C66FF867C}">
                  <a14:compatExt spid="_x0000_s1025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158</xdr:row>
          <xdr:rowOff>0</xdr:rowOff>
        </xdr:from>
        <xdr:to>
          <xdr:col>28</xdr:col>
          <xdr:colOff>3361</xdr:colOff>
          <xdr:row>158</xdr:row>
          <xdr:rowOff>241300</xdr:rowOff>
        </xdr:to>
        <xdr:sp macro="" textlink="">
          <xdr:nvSpPr>
            <xdr:cNvPr id="102594" name="Group Box 1218" hidden="1">
              <a:extLst>
                <a:ext uri="{63B3BB69-23CF-44E3-9099-C40C66FF867C}">
                  <a14:compatExt spid="_x0000_s102594"/>
                </a:ext>
              </a:extLst>
            </xdr:cNvPr>
            <xdr:cNvSpPr/>
          </xdr:nvSpPr>
          <xdr:spPr>
            <a:xfrm>
              <a:off x="0" y="0"/>
              <a:ext cx="0" cy="0"/>
            </a:xfrm>
            <a:prstGeom prst="rect">
              <a:avLst/>
            </a:prstGeom>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1206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50800</xdr:colOff>
          <xdr:row>156</xdr:row>
          <xdr:rowOff>241300</xdr:rowOff>
        </xdr:from>
        <xdr:to>
          <xdr:col>31</xdr:col>
          <xdr:colOff>50800</xdr:colOff>
          <xdr:row>158</xdr:row>
          <xdr:rowOff>0</xdr:rowOff>
        </xdr:to>
        <xdr:sp macro="" textlink="">
          <xdr:nvSpPr>
            <xdr:cNvPr id="102614" name="Group Box 1238" hidden="1">
              <a:extLst>
                <a:ext uri="{63B3BB69-23CF-44E3-9099-C40C66FF867C}">
                  <a14:compatExt spid="_x0000_s102614"/>
                </a:ext>
              </a:extLst>
            </xdr:cNvPr>
            <xdr:cNvSpPr/>
          </xdr:nvSpPr>
          <xdr:spPr>
            <a:xfrm>
              <a:off x="0" y="0"/>
              <a:ext cx="0" cy="0"/>
            </a:xfrm>
            <a:prstGeom prst="rect">
              <a:avLst/>
            </a:prstGeom>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209550</xdr:colOff>
          <xdr:row>157</xdr:row>
          <xdr:rowOff>0</xdr:rowOff>
        </xdr:from>
        <xdr:to>
          <xdr:col>20</xdr:col>
          <xdr:colOff>146050</xdr:colOff>
          <xdr:row>157</xdr:row>
          <xdr:rowOff>241300</xdr:rowOff>
        </xdr:to>
        <xdr:sp macro="" textlink="">
          <xdr:nvSpPr>
            <xdr:cNvPr id="102615" name="Option Button 1239" hidden="1">
              <a:extLst>
                <a:ext uri="{63B3BB69-23CF-44E3-9099-C40C66FF867C}">
                  <a14:compatExt spid="_x0000_s1026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222250</xdr:colOff>
          <xdr:row>157</xdr:row>
          <xdr:rowOff>0</xdr:rowOff>
        </xdr:from>
        <xdr:to>
          <xdr:col>25</xdr:col>
          <xdr:colOff>152400</xdr:colOff>
          <xdr:row>157</xdr:row>
          <xdr:rowOff>241300</xdr:rowOff>
        </xdr:to>
        <xdr:sp macro="" textlink="">
          <xdr:nvSpPr>
            <xdr:cNvPr id="102616" name="Option Button 1240" hidden="1">
              <a:extLst>
                <a:ext uri="{63B3BB69-23CF-44E3-9099-C40C66FF867C}">
                  <a14:compatExt spid="_x0000_s1026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222250</xdr:colOff>
          <xdr:row>157</xdr:row>
          <xdr:rowOff>0</xdr:rowOff>
        </xdr:from>
        <xdr:to>
          <xdr:col>30</xdr:col>
          <xdr:colOff>152400</xdr:colOff>
          <xdr:row>157</xdr:row>
          <xdr:rowOff>241300</xdr:rowOff>
        </xdr:to>
        <xdr:sp macro="" textlink="">
          <xdr:nvSpPr>
            <xdr:cNvPr id="102617" name="Option Button 1241" hidden="1">
              <a:extLst>
                <a:ext uri="{63B3BB69-23CF-44E3-9099-C40C66FF867C}">
                  <a14:compatExt spid="_x0000_s1026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82</xdr:row>
          <xdr:rowOff>228600</xdr:rowOff>
        </xdr:from>
        <xdr:to>
          <xdr:col>39</xdr:col>
          <xdr:colOff>3362</xdr:colOff>
          <xdr:row>84</xdr:row>
          <xdr:rowOff>38100</xdr:rowOff>
        </xdr:to>
        <xdr:sp macro="" textlink="">
          <xdr:nvSpPr>
            <xdr:cNvPr id="102637" name="Group Box 1261" hidden="1">
              <a:extLst>
                <a:ext uri="{63B3BB69-23CF-44E3-9099-C40C66FF867C}">
                  <a14:compatExt spid="_x0000_s102637"/>
                </a:ext>
              </a:extLst>
            </xdr:cNvPr>
            <xdr:cNvSpPr/>
          </xdr:nvSpPr>
          <xdr:spPr>
            <a:xfrm>
              <a:off x="0" y="0"/>
              <a:ext cx="0" cy="0"/>
            </a:xfrm>
            <a:prstGeom prst="rect">
              <a:avLst/>
            </a:prstGeom>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1261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203200</xdr:colOff>
          <xdr:row>82</xdr:row>
          <xdr:rowOff>247650</xdr:rowOff>
        </xdr:from>
        <xdr:to>
          <xdr:col>18</xdr:col>
          <xdr:colOff>107950</xdr:colOff>
          <xdr:row>83</xdr:row>
          <xdr:rowOff>241300</xdr:rowOff>
        </xdr:to>
        <xdr:sp macro="" textlink="">
          <xdr:nvSpPr>
            <xdr:cNvPr id="102638" name="Option Button 1262" hidden="1">
              <a:extLst>
                <a:ext uri="{63B3BB69-23CF-44E3-9099-C40C66FF867C}">
                  <a14:compatExt spid="_x0000_s1026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209550</xdr:colOff>
          <xdr:row>82</xdr:row>
          <xdr:rowOff>247650</xdr:rowOff>
        </xdr:from>
        <xdr:to>
          <xdr:col>23</xdr:col>
          <xdr:colOff>114300</xdr:colOff>
          <xdr:row>83</xdr:row>
          <xdr:rowOff>241300</xdr:rowOff>
        </xdr:to>
        <xdr:sp macro="" textlink="">
          <xdr:nvSpPr>
            <xdr:cNvPr id="102639" name="Option Button 1263" hidden="1">
              <a:extLst>
                <a:ext uri="{63B3BB69-23CF-44E3-9099-C40C66FF867C}">
                  <a14:compatExt spid="_x0000_s1026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209550</xdr:colOff>
          <xdr:row>82</xdr:row>
          <xdr:rowOff>247650</xdr:rowOff>
        </xdr:from>
        <xdr:to>
          <xdr:col>33</xdr:col>
          <xdr:colOff>114300</xdr:colOff>
          <xdr:row>83</xdr:row>
          <xdr:rowOff>241300</xdr:rowOff>
        </xdr:to>
        <xdr:sp macro="" textlink="">
          <xdr:nvSpPr>
            <xdr:cNvPr id="102640" name="Option Button 1264" hidden="1">
              <a:extLst>
                <a:ext uri="{63B3BB69-23CF-44E3-9099-C40C66FF867C}">
                  <a14:compatExt spid="_x0000_s1026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107950</xdr:colOff>
          <xdr:row>85</xdr:row>
          <xdr:rowOff>228600</xdr:rowOff>
        </xdr:from>
        <xdr:to>
          <xdr:col>23</xdr:col>
          <xdr:colOff>152400</xdr:colOff>
          <xdr:row>88</xdr:row>
          <xdr:rowOff>19050</xdr:rowOff>
        </xdr:to>
        <xdr:sp macro="" textlink="">
          <xdr:nvSpPr>
            <xdr:cNvPr id="102644" name="Group Box 1268" hidden="1">
              <a:extLst>
                <a:ext uri="{63B3BB69-23CF-44E3-9099-C40C66FF867C}">
                  <a14:compatExt spid="_x0000_s102644"/>
                </a:ext>
              </a:extLst>
            </xdr:cNvPr>
            <xdr:cNvSpPr/>
          </xdr:nvSpPr>
          <xdr:spPr>
            <a:xfrm>
              <a:off x="0" y="0"/>
              <a:ext cx="0" cy="0"/>
            </a:xfrm>
            <a:prstGeom prst="rect">
              <a:avLst/>
            </a:prstGeom>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1268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203200</xdr:colOff>
          <xdr:row>85</xdr:row>
          <xdr:rowOff>247650</xdr:rowOff>
        </xdr:from>
        <xdr:to>
          <xdr:col>18</xdr:col>
          <xdr:colOff>107950</xdr:colOff>
          <xdr:row>86</xdr:row>
          <xdr:rowOff>241300</xdr:rowOff>
        </xdr:to>
        <xdr:sp macro="" textlink="">
          <xdr:nvSpPr>
            <xdr:cNvPr id="102645" name="Option Button 1269" hidden="1">
              <a:extLst>
                <a:ext uri="{63B3BB69-23CF-44E3-9099-C40C66FF867C}">
                  <a14:compatExt spid="_x0000_s1026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209550</xdr:colOff>
          <xdr:row>85</xdr:row>
          <xdr:rowOff>247650</xdr:rowOff>
        </xdr:from>
        <xdr:to>
          <xdr:col>23</xdr:col>
          <xdr:colOff>114300</xdr:colOff>
          <xdr:row>86</xdr:row>
          <xdr:rowOff>241300</xdr:rowOff>
        </xdr:to>
        <xdr:sp macro="" textlink="">
          <xdr:nvSpPr>
            <xdr:cNvPr id="102646" name="Option Button 1270" hidden="1">
              <a:extLst>
                <a:ext uri="{63B3BB69-23CF-44E3-9099-C40C66FF867C}">
                  <a14:compatExt spid="_x0000_s102646"/>
                </a:ext>
              </a:extLst>
            </xdr:cNvPr>
            <xdr:cNvSpPr/>
          </xdr:nvSpPr>
          <xdr:spPr>
            <a:xfrm>
              <a:off x="0" y="0"/>
              <a:ext cx="0" cy="0"/>
            </a:xfrm>
            <a:prstGeom prst="rect">
              <a:avLst/>
            </a:prstGeom>
          </xdr:spPr>
        </xdr:sp>
        <xdr:clientData/>
      </xdr:twoCellAnchor>
    </mc:Choice>
    <mc:Fallback/>
  </mc:AlternateContent>
  <xdr:twoCellAnchor>
    <xdr:from>
      <xdr:col>2</xdr:col>
      <xdr:colOff>0</xdr:colOff>
      <xdr:row>171</xdr:row>
      <xdr:rowOff>0</xdr:rowOff>
    </xdr:from>
    <xdr:to>
      <xdr:col>11</xdr:col>
      <xdr:colOff>144562</xdr:colOff>
      <xdr:row>172</xdr:row>
      <xdr:rowOff>98743</xdr:rowOff>
    </xdr:to>
    <xdr:sp macro="" textlink="">
      <xdr:nvSpPr>
        <xdr:cNvPr id="72" name="角丸四角形 71"/>
        <xdr:cNvSpPr/>
      </xdr:nvSpPr>
      <xdr:spPr>
        <a:xfrm>
          <a:off x="515471" y="27611294"/>
          <a:ext cx="2464179" cy="345273"/>
        </a:xfrm>
        <a:prstGeom prst="roundRect">
          <a:avLst>
            <a:gd name="adj" fmla="val 50000"/>
          </a:avLst>
        </a:prstGeom>
        <a:solidFill>
          <a:schemeClr val="tx1"/>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bg1"/>
              </a:solidFill>
              <a:latin typeface="+mj-ea"/>
              <a:ea typeface="+mj-ea"/>
            </a:rPr>
            <a:t>8.</a:t>
          </a:r>
          <a:r>
            <a:rPr kumimoji="1" lang="ja-JP" altLang="ja-JP" sz="1400" b="1">
              <a:solidFill>
                <a:schemeClr val="lt1"/>
              </a:solidFill>
              <a:effectLst/>
              <a:latin typeface="+mn-lt"/>
              <a:ea typeface="+mn-ea"/>
              <a:cs typeface="+mn-cs"/>
            </a:rPr>
            <a:t>追加アプリ</a:t>
          </a:r>
          <a:r>
            <a:rPr kumimoji="1" lang="ja-JP" altLang="ja-JP" sz="1400" b="1" baseline="0">
              <a:solidFill>
                <a:schemeClr val="lt1"/>
              </a:solidFill>
              <a:effectLst/>
              <a:latin typeface="+mn-lt"/>
              <a:ea typeface="+mn-ea"/>
              <a:cs typeface="+mn-cs"/>
            </a:rPr>
            <a:t> </a:t>
          </a:r>
          <a:r>
            <a:rPr kumimoji="1" lang="ja-JP" altLang="ja-JP" sz="1400" b="1">
              <a:solidFill>
                <a:schemeClr val="lt1"/>
              </a:solidFill>
              <a:effectLst/>
              <a:latin typeface="+mn-lt"/>
              <a:ea typeface="+mn-ea"/>
              <a:cs typeface="+mn-cs"/>
            </a:rPr>
            <a:t>お申込み</a:t>
          </a:r>
          <a:endParaRPr kumimoji="1" lang="ja-JP" altLang="en-US" sz="1400" b="1">
            <a:solidFill>
              <a:schemeClr val="bg1"/>
            </a:solidFill>
            <a:latin typeface="+mj-ea"/>
            <a:ea typeface="+mj-ea"/>
          </a:endParaRPr>
        </a:p>
      </xdr:txBody>
    </xdr:sp>
    <xdr:clientData/>
  </xdr:twoCellAnchor>
  <mc:AlternateContent xmlns:mc="http://schemas.openxmlformats.org/markup-compatibility/2006">
    <mc:Choice xmlns:a14="http://schemas.microsoft.com/office/drawing/2010/main" Requires="a14">
      <xdr:twoCellAnchor editAs="oneCell">
        <xdr:from>
          <xdr:col>10</xdr:col>
          <xdr:colOff>146050</xdr:colOff>
          <xdr:row>174</xdr:row>
          <xdr:rowOff>0</xdr:rowOff>
        </xdr:from>
        <xdr:to>
          <xdr:col>16</xdr:col>
          <xdr:colOff>3362</xdr:colOff>
          <xdr:row>175</xdr:row>
          <xdr:rowOff>0</xdr:rowOff>
        </xdr:to>
        <xdr:sp macro="" textlink="">
          <xdr:nvSpPr>
            <xdr:cNvPr id="102647" name="Check Box 1271" hidden="1">
              <a:extLst>
                <a:ext uri="{63B3BB69-23CF-44E3-9099-C40C66FF867C}">
                  <a14:compatExt spid="_x0000_s1026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79</xdr:row>
          <xdr:rowOff>19050</xdr:rowOff>
        </xdr:from>
        <xdr:to>
          <xdr:col>11</xdr:col>
          <xdr:colOff>19050</xdr:colOff>
          <xdr:row>79</xdr:row>
          <xdr:rowOff>228600</xdr:rowOff>
        </xdr:to>
        <xdr:sp macro="" textlink="">
          <xdr:nvSpPr>
            <xdr:cNvPr id="102662" name="Check Box 1286" hidden="1">
              <a:extLst>
                <a:ext uri="{63B3BB69-23CF-44E3-9099-C40C66FF867C}">
                  <a14:compatExt spid="_x0000_s1026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203200</xdr:colOff>
          <xdr:row>77</xdr:row>
          <xdr:rowOff>209550</xdr:rowOff>
        </xdr:from>
        <xdr:to>
          <xdr:col>46</xdr:col>
          <xdr:colOff>50800</xdr:colOff>
          <xdr:row>79</xdr:row>
          <xdr:rowOff>38100</xdr:rowOff>
        </xdr:to>
        <xdr:sp macro="" textlink="">
          <xdr:nvSpPr>
            <xdr:cNvPr id="102672" name="Group Box 1296" hidden="1">
              <a:extLst>
                <a:ext uri="{63B3BB69-23CF-44E3-9099-C40C66FF867C}">
                  <a14:compatExt spid="_x0000_s102672"/>
                </a:ext>
              </a:extLst>
            </xdr:cNvPr>
            <xdr:cNvSpPr/>
          </xdr:nvSpPr>
          <xdr:spPr>
            <a:xfrm>
              <a:off x="0" y="0"/>
              <a:ext cx="0" cy="0"/>
            </a:xfrm>
            <a:prstGeom prst="rect">
              <a:avLst/>
            </a:prstGeom>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1296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78</xdr:row>
          <xdr:rowOff>0</xdr:rowOff>
        </xdr:from>
        <xdr:to>
          <xdr:col>42</xdr:col>
          <xdr:colOff>0</xdr:colOff>
          <xdr:row>78</xdr:row>
          <xdr:rowOff>241300</xdr:rowOff>
        </xdr:to>
        <xdr:sp macro="" textlink="">
          <xdr:nvSpPr>
            <xdr:cNvPr id="102673" name="Option Button 1297" hidden="1">
              <a:extLst>
                <a:ext uri="{63B3BB69-23CF-44E3-9099-C40C66FF867C}">
                  <a14:compatExt spid="_x0000_s1026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76200</xdr:colOff>
          <xdr:row>78</xdr:row>
          <xdr:rowOff>0</xdr:rowOff>
        </xdr:from>
        <xdr:to>
          <xdr:col>46</xdr:col>
          <xdr:colOff>3362</xdr:colOff>
          <xdr:row>78</xdr:row>
          <xdr:rowOff>241300</xdr:rowOff>
        </xdr:to>
        <xdr:sp macro="" textlink="">
          <xdr:nvSpPr>
            <xdr:cNvPr id="102674" name="Option Button 1298" hidden="1">
              <a:extLst>
                <a:ext uri="{63B3BB69-23CF-44E3-9099-C40C66FF867C}">
                  <a14:compatExt spid="_x0000_s1026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88</xdr:row>
          <xdr:rowOff>19050</xdr:rowOff>
        </xdr:from>
        <xdr:to>
          <xdr:col>11</xdr:col>
          <xdr:colOff>19050</xdr:colOff>
          <xdr:row>88</xdr:row>
          <xdr:rowOff>228600</xdr:rowOff>
        </xdr:to>
        <xdr:sp macro="" textlink="">
          <xdr:nvSpPr>
            <xdr:cNvPr id="102683" name="Check Box 1307" hidden="1">
              <a:extLst>
                <a:ext uri="{63B3BB69-23CF-44E3-9099-C40C66FF867C}">
                  <a14:compatExt spid="_x0000_s1026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203200</xdr:colOff>
          <xdr:row>158</xdr:row>
          <xdr:rowOff>12700</xdr:rowOff>
        </xdr:from>
        <xdr:to>
          <xdr:col>28</xdr:col>
          <xdr:colOff>38100</xdr:colOff>
          <xdr:row>161</xdr:row>
          <xdr:rowOff>114300</xdr:rowOff>
        </xdr:to>
        <xdr:sp macro="" textlink="">
          <xdr:nvSpPr>
            <xdr:cNvPr id="102686" name="Group Box 1310" hidden="1">
              <a:extLst>
                <a:ext uri="{63B3BB69-23CF-44E3-9099-C40C66FF867C}">
                  <a14:compatExt spid="_x0000_s102686"/>
                </a:ext>
              </a:extLst>
            </xdr:cNvPr>
            <xdr:cNvSpPr/>
          </xdr:nvSpPr>
          <xdr:spPr>
            <a:xfrm>
              <a:off x="0" y="0"/>
              <a:ext cx="0" cy="0"/>
            </a:xfrm>
            <a:prstGeom prst="rect">
              <a:avLst/>
            </a:prstGeom>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1310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222250</xdr:colOff>
          <xdr:row>158</xdr:row>
          <xdr:rowOff>19050</xdr:rowOff>
        </xdr:from>
        <xdr:to>
          <xdr:col>20</xdr:col>
          <xdr:colOff>114300</xdr:colOff>
          <xdr:row>161</xdr:row>
          <xdr:rowOff>12700</xdr:rowOff>
        </xdr:to>
        <xdr:sp macro="" textlink="">
          <xdr:nvSpPr>
            <xdr:cNvPr id="102687" name="Option Button 1311" hidden="1">
              <a:extLst>
                <a:ext uri="{63B3BB69-23CF-44E3-9099-C40C66FF867C}">
                  <a14:compatExt spid="_x0000_s1026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203200</xdr:colOff>
          <xdr:row>158</xdr:row>
          <xdr:rowOff>19050</xdr:rowOff>
        </xdr:from>
        <xdr:to>
          <xdr:col>26</xdr:col>
          <xdr:colOff>95250</xdr:colOff>
          <xdr:row>161</xdr:row>
          <xdr:rowOff>12700</xdr:rowOff>
        </xdr:to>
        <xdr:sp macro="" textlink="">
          <xdr:nvSpPr>
            <xdr:cNvPr id="102688" name="Option Button 1312" hidden="1">
              <a:extLst>
                <a:ext uri="{63B3BB69-23CF-44E3-9099-C40C66FF867C}">
                  <a14:compatExt spid="_x0000_s102688"/>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7&#26989;&#21209;&#26412;&#37096;/15_&#26989;&#21209;&#20225;&#30011;&#37096;/1_&#21152;&#30431;&#24215;&#26989;&#21209;&#20225;&#30011;&#35506;/02_&#12456;&#12531;&#12488;&#12522;&#12471;&#12540;&#12488;&#38306;&#36899;&#26989;&#21209;/70_&#33258;&#31038;&#12475;&#12531;&#12479;&#12540;(&#12522;&#12450;&#12523;)/06_PayCAS%20UC&#12450;&#12521;&#12452;&#12450;&#12531;&#12473;/20230414_&#12304;PayCASUC&#12450;&#12521;&#12452;&#12450;&#12531;&#12473;&#12305;&#26356;&#26032;(Ver.1.10)/02_&#22793;&#26356;&#24460;/chi01&#31471;&#26411;&#27770;&#28168;&#12469;&#12540;&#12499;&#12473;(PayCAS%20Mobile%20UC&#12450;&#12521;&#12452;&#12450;&#12531;&#12473;)&#12456;&#12531;&#12488;&#12522;&#12540;&#12471;&#12540;&#12488;Ver1.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7&#26989;&#21209;&#26412;&#37096;/15_&#26989;&#21209;&#20225;&#30011;&#37096;/1_&#21152;&#30431;&#24215;&#26989;&#21209;&#20225;&#30011;&#35506;/02_&#12456;&#12531;&#12488;&#12522;&#12471;&#12540;&#12488;&#38306;&#36899;&#26989;&#21209;/62_&#31471;&#26411;ES&#19968;&#20803;&#21270;/20210112_&#20462;&#27491;(Ver.1.12)/chi1SBPS&#31471;&#26411;&#27770;&#28168;&#12469;&#12540;&#12499;&#12473;&#12456;&#12531;&#12488;&#12522;&#12540;&#12471;&#12540;&#12488;%20Ver1.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見本】記入シート1"/>
      <sheetName val="【見本】記入シート2"/>
      <sheetName val="【見本】【JCB用記入シート】業態シート"/>
      <sheetName val="【見本】【楽天Edy用記入シート】業種シート"/>
      <sheetName val="【見本】【楽天Edy用記入シート】チェックシート"/>
      <sheetName val="【見本】【iD・WAON用記入シート】業種シート"/>
      <sheetName val="サービス申込みに必要な添付書類"/>
      <sheetName val="記入シート1"/>
      <sheetName val="記入シート2"/>
      <sheetName val="【JCB用記入シート】業態シート"/>
      <sheetName val="【楽天Edy用記入シート】業種シート"/>
      <sheetName val="【楽天Edy用記入シート】チェックシート"/>
      <sheetName val="【iD・WAON用記入シート】業種シート"/>
      <sheetName val="料金設定シート"/>
      <sheetName val="参照用シート"/>
      <sheetName val="キックバック先マスタ"/>
      <sheetName val="C&amp;S用KBマスタ(PAX)"/>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2">
          <cell r="BG2" t="str">
            <v>00</v>
          </cell>
        </row>
        <row r="3">
          <cell r="BG3" t="str">
            <v>01</v>
          </cell>
        </row>
        <row r="4">
          <cell r="BG4" t="str">
            <v>02</v>
          </cell>
        </row>
        <row r="5">
          <cell r="BG5" t="str">
            <v>03</v>
          </cell>
        </row>
        <row r="6">
          <cell r="BG6" t="str">
            <v>04</v>
          </cell>
        </row>
        <row r="7">
          <cell r="BG7" t="str">
            <v>05</v>
          </cell>
        </row>
        <row r="8">
          <cell r="BG8" t="str">
            <v>06</v>
          </cell>
        </row>
        <row r="9">
          <cell r="BG9" t="str">
            <v>07</v>
          </cell>
        </row>
        <row r="10">
          <cell r="BG10" t="str">
            <v>08</v>
          </cell>
        </row>
        <row r="11">
          <cell r="BG11" t="str">
            <v>09</v>
          </cell>
        </row>
        <row r="12">
          <cell r="BG12" t="str">
            <v>10</v>
          </cell>
        </row>
        <row r="13">
          <cell r="BG13" t="str">
            <v>11</v>
          </cell>
        </row>
        <row r="14">
          <cell r="BG14" t="str">
            <v>12</v>
          </cell>
        </row>
        <row r="15">
          <cell r="BG15" t="str">
            <v>13</v>
          </cell>
        </row>
        <row r="16">
          <cell r="BG16" t="str">
            <v>14</v>
          </cell>
        </row>
        <row r="17">
          <cell r="BG17" t="str">
            <v>15</v>
          </cell>
        </row>
        <row r="18">
          <cell r="BG18" t="str">
            <v>16</v>
          </cell>
        </row>
        <row r="19">
          <cell r="BG19" t="str">
            <v>17</v>
          </cell>
        </row>
        <row r="20">
          <cell r="BG20" t="str">
            <v>18</v>
          </cell>
        </row>
        <row r="21">
          <cell r="BG21" t="str">
            <v>19</v>
          </cell>
        </row>
        <row r="22">
          <cell r="BG22" t="str">
            <v>20</v>
          </cell>
        </row>
        <row r="23">
          <cell r="BG23" t="str">
            <v>21</v>
          </cell>
        </row>
        <row r="24">
          <cell r="BG24" t="str">
            <v>22</v>
          </cell>
        </row>
        <row r="25">
          <cell r="BG25" t="str">
            <v>23</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見本】記入シート1"/>
      <sheetName val="【見本】記入シート2"/>
      <sheetName val="【見本】【JCB用記入シート】業態シート"/>
      <sheetName val="【見本】【楽天Edy用記入シート】業種シート"/>
      <sheetName val="【見本】【楽天Edy用記入シート】チェックシート"/>
      <sheetName val="サービス申込みに必要な添付書類"/>
      <sheetName val="記入シート1"/>
      <sheetName val="記入シート2"/>
      <sheetName val="【JCB用記入シート】業態シート"/>
      <sheetName val="【楽天Edy用記入シート】業種シート"/>
      <sheetName val="【楽天Edy用記入シート】チェックシート"/>
      <sheetName val="スキーム別マスタ"/>
    </sheetNames>
    <sheetDataSet>
      <sheetData sheetId="0"/>
      <sheetData sheetId="1"/>
      <sheetData sheetId="2"/>
      <sheetData sheetId="3"/>
      <sheetData sheetId="4"/>
      <sheetData sheetId="5"/>
      <sheetData sheetId="6">
        <row r="2">
          <cell r="BG2" t="str">
            <v>00</v>
          </cell>
          <cell r="BH2" t="str">
            <v>00</v>
          </cell>
          <cell r="BL2" t="str">
            <v>00：選択して下さい</v>
          </cell>
          <cell r="BM2" t="str">
            <v>00：選択して下さい</v>
          </cell>
          <cell r="BN2" t="str">
            <v>00：選択して下さい</v>
          </cell>
          <cell r="BO2" t="str">
            <v>00：選択して下さい</v>
          </cell>
        </row>
        <row r="3">
          <cell r="BH3" t="str">
            <v>10</v>
          </cell>
          <cell r="BL3" t="str">
            <v>01：店頭販売</v>
          </cell>
          <cell r="BM3" t="str">
            <v>01：保持している［保持］</v>
          </cell>
          <cell r="BN3" t="str">
            <v>01：準拠している</v>
          </cell>
          <cell r="BO3" t="str">
            <v>01：北海道</v>
          </cell>
        </row>
        <row r="4">
          <cell r="BH4" t="str">
            <v>20</v>
          </cell>
          <cell r="BL4" t="str">
            <v>02：催事販売</v>
          </cell>
          <cell r="BM4" t="str">
            <v>02：保持していない［非保持］</v>
          </cell>
          <cell r="BN4" t="str">
            <v>02：準拠予定あり</v>
          </cell>
          <cell r="BO4" t="str">
            <v>02：青森県</v>
          </cell>
        </row>
        <row r="5">
          <cell r="BH5" t="str">
            <v>30</v>
          </cell>
          <cell r="BL5" t="str">
            <v>03：訪問販売</v>
          </cell>
          <cell r="BM5" t="str">
            <v>03：【非保持化】予定あり</v>
          </cell>
          <cell r="BN5" t="str">
            <v>03：準拠予定なし</v>
          </cell>
          <cell r="BO5" t="str">
            <v>03：岩手県</v>
          </cell>
        </row>
        <row r="6">
          <cell r="BH6" t="str">
            <v>40</v>
          </cell>
          <cell r="BL6" t="str">
            <v>04：移動販売（タクシー含）</v>
          </cell>
          <cell r="BO6" t="str">
            <v>04：宮城県</v>
          </cell>
        </row>
        <row r="7">
          <cell r="BH7" t="str">
            <v>50</v>
          </cell>
          <cell r="BL7" t="str">
            <v>05：電話勧誘販売</v>
          </cell>
          <cell r="BO7" t="str">
            <v>05：秋田県</v>
          </cell>
        </row>
        <row r="8">
          <cell r="BL8" t="str">
            <v>06：連鎖販売</v>
          </cell>
          <cell r="BO8" t="str">
            <v>06：山形県</v>
          </cell>
        </row>
        <row r="9">
          <cell r="BL9" t="str">
            <v>07：その他（右欄にテキストでご記入ください）</v>
          </cell>
          <cell r="BO9" t="str">
            <v>07：福島県</v>
          </cell>
        </row>
        <row r="10">
          <cell r="BO10" t="str">
            <v>08：茨城県</v>
          </cell>
        </row>
        <row r="11">
          <cell r="BO11" t="str">
            <v>09：栃木県</v>
          </cell>
        </row>
        <row r="12">
          <cell r="BO12" t="str">
            <v>10：群馬県</v>
          </cell>
        </row>
        <row r="13">
          <cell r="BO13" t="str">
            <v>11：埼玉県</v>
          </cell>
        </row>
        <row r="14">
          <cell r="BO14" t="str">
            <v>12：千葉県</v>
          </cell>
        </row>
        <row r="15">
          <cell r="BO15" t="str">
            <v>13：東京都</v>
          </cell>
        </row>
        <row r="16">
          <cell r="BO16" t="str">
            <v>14：神奈川県</v>
          </cell>
        </row>
        <row r="17">
          <cell r="BO17" t="str">
            <v>15：新潟県</v>
          </cell>
        </row>
        <row r="18">
          <cell r="BO18" t="str">
            <v>16：富山県</v>
          </cell>
        </row>
        <row r="19">
          <cell r="BO19" t="str">
            <v>17：石川県</v>
          </cell>
        </row>
        <row r="20">
          <cell r="BO20" t="str">
            <v>18：福井県</v>
          </cell>
        </row>
        <row r="21">
          <cell r="BO21" t="str">
            <v>19：山梨県</v>
          </cell>
        </row>
        <row r="22">
          <cell r="BO22" t="str">
            <v>20：長野県</v>
          </cell>
        </row>
        <row r="23">
          <cell r="BO23" t="str">
            <v>21：岐阜県</v>
          </cell>
        </row>
        <row r="24">
          <cell r="BO24" t="str">
            <v>22：静岡県</v>
          </cell>
        </row>
        <row r="25">
          <cell r="BO25" t="str">
            <v>23：愛知県</v>
          </cell>
        </row>
        <row r="26">
          <cell r="BO26" t="str">
            <v>24：三重県</v>
          </cell>
        </row>
        <row r="27">
          <cell r="BO27" t="str">
            <v>25：滋賀県</v>
          </cell>
        </row>
        <row r="28">
          <cell r="BO28" t="str">
            <v>26：京都府</v>
          </cell>
        </row>
        <row r="29">
          <cell r="BO29" t="str">
            <v>27：大阪府</v>
          </cell>
        </row>
        <row r="30">
          <cell r="BO30" t="str">
            <v>28：兵庫県</v>
          </cell>
        </row>
        <row r="31">
          <cell r="BO31" t="str">
            <v>29：奈良県</v>
          </cell>
        </row>
        <row r="32">
          <cell r="BO32" t="str">
            <v>30：和歌山県</v>
          </cell>
        </row>
        <row r="33">
          <cell r="BO33" t="str">
            <v>31：鳥取県</v>
          </cell>
        </row>
        <row r="34">
          <cell r="BO34" t="str">
            <v>32：島根県</v>
          </cell>
        </row>
        <row r="35">
          <cell r="BO35" t="str">
            <v>33：岡山県</v>
          </cell>
        </row>
        <row r="36">
          <cell r="BO36" t="str">
            <v>34：広島県</v>
          </cell>
        </row>
        <row r="37">
          <cell r="BO37" t="str">
            <v>35：山口県</v>
          </cell>
        </row>
        <row r="38">
          <cell r="BO38" t="str">
            <v>36：徳島県</v>
          </cell>
        </row>
        <row r="39">
          <cell r="BO39" t="str">
            <v>37：香川県</v>
          </cell>
        </row>
        <row r="40">
          <cell r="BO40" t="str">
            <v>38：愛媛県</v>
          </cell>
        </row>
        <row r="41">
          <cell r="BO41" t="str">
            <v>39：高知県</v>
          </cell>
        </row>
        <row r="42">
          <cell r="BO42" t="str">
            <v>40：福岡県</v>
          </cell>
        </row>
        <row r="43">
          <cell r="BO43" t="str">
            <v>41：佐賀県</v>
          </cell>
        </row>
        <row r="44">
          <cell r="BO44" t="str">
            <v>42：長崎県</v>
          </cell>
        </row>
        <row r="45">
          <cell r="BO45" t="str">
            <v>43：熊本県</v>
          </cell>
        </row>
        <row r="46">
          <cell r="BO46" t="str">
            <v>44：大分県</v>
          </cell>
        </row>
        <row r="47">
          <cell r="BO47" t="str">
            <v>45：宮崎県</v>
          </cell>
        </row>
        <row r="48">
          <cell r="BO48" t="str">
            <v>46：鹿児島県</v>
          </cell>
        </row>
        <row r="49">
          <cell r="BO49" t="str">
            <v>47：沖縄県</v>
          </cell>
        </row>
      </sheetData>
      <sheetData sheetId="7">
        <row r="203">
          <cell r="AX203" t="str">
            <v>00:選択してください</v>
          </cell>
        </row>
        <row r="204">
          <cell r="AX204" t="str">
            <v>01:コンビニエンスストア</v>
          </cell>
        </row>
        <row r="205">
          <cell r="AX205" t="str">
            <v>02:スーパーマーケット・GMS</v>
          </cell>
        </row>
        <row r="206">
          <cell r="AX206" t="str">
            <v>03:生鮮食料品</v>
          </cell>
        </row>
        <row r="207">
          <cell r="AX207" t="str">
            <v>04:薬局・ドラッグストア</v>
          </cell>
        </row>
        <row r="208">
          <cell r="AX208" t="str">
            <v>05:家電・PC・カメラ・モバイル機器</v>
          </cell>
        </row>
        <row r="209">
          <cell r="AX209" t="str">
            <v>06:インテリア・雑貨</v>
          </cell>
        </row>
        <row r="210">
          <cell r="AX210" t="str">
            <v>07:書籍・CD・DVD</v>
          </cell>
        </row>
        <row r="211">
          <cell r="AX211" t="str">
            <v>08:メガネ・コンタクトレンズ</v>
          </cell>
        </row>
        <row r="212">
          <cell r="AX212" t="str">
            <v>09:アパレル</v>
          </cell>
        </row>
        <row r="213">
          <cell r="AX213" t="str">
            <v>10:靴・鞄</v>
          </cell>
        </row>
        <row r="214">
          <cell r="AX214" t="str">
            <v>11:アクセサリー</v>
          </cell>
        </row>
        <row r="215">
          <cell r="AX215" t="str">
            <v>12:化粧品</v>
          </cell>
        </row>
        <row r="216">
          <cell r="AX216" t="str">
            <v>13:チケット</v>
          </cell>
        </row>
        <row r="217">
          <cell r="AX217" t="str">
            <v>14:レストラン・食事処</v>
          </cell>
        </row>
        <row r="218">
          <cell r="AX218" t="str">
            <v>15:その他小売</v>
          </cell>
        </row>
        <row r="219">
          <cell r="AX219" t="str">
            <v>16:居酒屋・バー・パブ</v>
          </cell>
        </row>
        <row r="220">
          <cell r="AX220" t="str">
            <v>17:カフェ・スウィーツ</v>
          </cell>
        </row>
        <row r="221">
          <cell r="AX221" t="str">
            <v>18:その他食品・飲料品</v>
          </cell>
        </row>
        <row r="222">
          <cell r="AX222" t="str">
            <v>19:美容室・理容室</v>
          </cell>
        </row>
        <row r="223">
          <cell r="AX223" t="str">
            <v>20:エステ・マッサージ</v>
          </cell>
        </row>
        <row r="224">
          <cell r="AX224" t="str">
            <v>21:医療機関・治療院</v>
          </cell>
        </row>
        <row r="225">
          <cell r="AX225" t="str">
            <v>22:クリーニング</v>
          </cell>
        </row>
        <row r="226">
          <cell r="AX226" t="str">
            <v>23:アミューズメント施設</v>
          </cell>
        </row>
        <row r="227">
          <cell r="AX227" t="str">
            <v>24:スポーツ施設</v>
          </cell>
        </row>
        <row r="228">
          <cell r="AX228" t="str">
            <v>25:タクシー・交通・運輸</v>
          </cell>
        </row>
        <row r="229">
          <cell r="AX229" t="str">
            <v>26:駐車場</v>
          </cell>
        </row>
        <row r="230">
          <cell r="AX230" t="str">
            <v>27:レンタカー・カーシェアリング</v>
          </cell>
        </row>
        <row r="231">
          <cell r="AX231" t="str">
            <v>28:ホテル・宿泊施設</v>
          </cell>
        </row>
        <row r="232">
          <cell r="AX232" t="str">
            <v>29:学習塾・各種スクール</v>
          </cell>
        </row>
        <row r="233">
          <cell r="AX233" t="str">
            <v>30:ホテル・宿泊施設</v>
          </cell>
        </row>
      </sheetData>
      <sheetData sheetId="8"/>
      <sheetData sheetId="9"/>
      <sheetData sheetId="10"/>
      <sheetData sheetId="1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ln w="9525" cmpd="sng">
          <a:noFill/>
        </a:ln>
      </a:spPr>
      <a:bodyPr vertOverflow="clip" horzOverflow="clip" wrap="none" lIns="36000" tIns="0" rIns="36000" bIns="0" rtlCol="0" anchor="ctr">
        <a:spAutoFit/>
      </a:bodyPr>
      <a:lstStyle>
        <a:defPPr>
          <a:defRPr kumimoji="1" sz="800">
            <a:solidFill>
              <a:sysClr val="windowText" lastClr="000000"/>
            </a:solidFill>
            <a:latin typeface="Meiryo UI" panose="020B0604030504040204" pitchFamily="50" charset="-128"/>
            <a:ea typeface="Meiryo UI" panose="020B0604030504040204" pitchFamily="50" charset="-128"/>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68" Type="http://schemas.openxmlformats.org/officeDocument/2006/relationships/ctrlProp" Target="../ctrlProps/ctrlProp65.xml"/><Relationship Id="rId7" Type="http://schemas.openxmlformats.org/officeDocument/2006/relationships/ctrlProp" Target="../ctrlProps/ctrlProp4.xml"/><Relationship Id="rId2" Type="http://schemas.openxmlformats.org/officeDocument/2006/relationships/drawing" Target="../drawings/drawing1.xml"/><Relationship Id="rId16" Type="http://schemas.openxmlformats.org/officeDocument/2006/relationships/ctrlProp" Target="../ctrlProps/ctrlProp13.xml"/><Relationship Id="rId29" Type="http://schemas.openxmlformats.org/officeDocument/2006/relationships/ctrlProp" Target="../ctrlProps/ctrlProp26.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trlProp" Target="../ctrlProps/ctrlProp63.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omments" Target="../comments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s>
</file>

<file path=xl/worksheets/_rels/sheet10.xml.rels><?xml version="1.0" encoding="UTF-8" standalone="yes"?>
<Relationships xmlns="http://schemas.openxmlformats.org/package/2006/relationships"><Relationship Id="rId13" Type="http://schemas.openxmlformats.org/officeDocument/2006/relationships/ctrlProp" Target="../ctrlProps/ctrlProp650.xml"/><Relationship Id="rId18" Type="http://schemas.openxmlformats.org/officeDocument/2006/relationships/ctrlProp" Target="../ctrlProps/ctrlProp655.xml"/><Relationship Id="rId26" Type="http://schemas.openxmlformats.org/officeDocument/2006/relationships/ctrlProp" Target="../ctrlProps/ctrlProp663.xml"/><Relationship Id="rId39" Type="http://schemas.openxmlformats.org/officeDocument/2006/relationships/ctrlProp" Target="../ctrlProps/ctrlProp676.xml"/><Relationship Id="rId21" Type="http://schemas.openxmlformats.org/officeDocument/2006/relationships/ctrlProp" Target="../ctrlProps/ctrlProp658.xml"/><Relationship Id="rId34" Type="http://schemas.openxmlformats.org/officeDocument/2006/relationships/ctrlProp" Target="../ctrlProps/ctrlProp671.xml"/><Relationship Id="rId42" Type="http://schemas.openxmlformats.org/officeDocument/2006/relationships/ctrlProp" Target="../ctrlProps/ctrlProp679.xml"/><Relationship Id="rId47" Type="http://schemas.openxmlformats.org/officeDocument/2006/relationships/ctrlProp" Target="../ctrlProps/ctrlProp684.xml"/><Relationship Id="rId50" Type="http://schemas.openxmlformats.org/officeDocument/2006/relationships/ctrlProp" Target="../ctrlProps/ctrlProp687.xml"/><Relationship Id="rId55" Type="http://schemas.openxmlformats.org/officeDocument/2006/relationships/ctrlProp" Target="../ctrlProps/ctrlProp692.xml"/><Relationship Id="rId63" Type="http://schemas.openxmlformats.org/officeDocument/2006/relationships/ctrlProp" Target="../ctrlProps/ctrlProp700.xml"/><Relationship Id="rId68" Type="http://schemas.openxmlformats.org/officeDocument/2006/relationships/ctrlProp" Target="../ctrlProps/ctrlProp705.xml"/><Relationship Id="rId76" Type="http://schemas.openxmlformats.org/officeDocument/2006/relationships/ctrlProp" Target="../ctrlProps/ctrlProp713.xml"/><Relationship Id="rId84" Type="http://schemas.openxmlformats.org/officeDocument/2006/relationships/ctrlProp" Target="../ctrlProps/ctrlProp721.xml"/><Relationship Id="rId89" Type="http://schemas.openxmlformats.org/officeDocument/2006/relationships/ctrlProp" Target="../ctrlProps/ctrlProp726.xml"/><Relationship Id="rId7" Type="http://schemas.openxmlformats.org/officeDocument/2006/relationships/ctrlProp" Target="../ctrlProps/ctrlProp644.xml"/><Relationship Id="rId71" Type="http://schemas.openxmlformats.org/officeDocument/2006/relationships/ctrlProp" Target="../ctrlProps/ctrlProp708.xml"/><Relationship Id="rId92" Type="http://schemas.openxmlformats.org/officeDocument/2006/relationships/ctrlProp" Target="../ctrlProps/ctrlProp729.xml"/><Relationship Id="rId2" Type="http://schemas.openxmlformats.org/officeDocument/2006/relationships/vmlDrawing" Target="../drawings/vmlDrawing9.vml"/><Relationship Id="rId16" Type="http://schemas.openxmlformats.org/officeDocument/2006/relationships/ctrlProp" Target="../ctrlProps/ctrlProp653.xml"/><Relationship Id="rId29" Type="http://schemas.openxmlformats.org/officeDocument/2006/relationships/ctrlProp" Target="../ctrlProps/ctrlProp666.xml"/><Relationship Id="rId11" Type="http://schemas.openxmlformats.org/officeDocument/2006/relationships/ctrlProp" Target="../ctrlProps/ctrlProp648.xml"/><Relationship Id="rId24" Type="http://schemas.openxmlformats.org/officeDocument/2006/relationships/ctrlProp" Target="../ctrlProps/ctrlProp661.xml"/><Relationship Id="rId32" Type="http://schemas.openxmlformats.org/officeDocument/2006/relationships/ctrlProp" Target="../ctrlProps/ctrlProp669.xml"/><Relationship Id="rId37" Type="http://schemas.openxmlformats.org/officeDocument/2006/relationships/ctrlProp" Target="../ctrlProps/ctrlProp674.xml"/><Relationship Id="rId40" Type="http://schemas.openxmlformats.org/officeDocument/2006/relationships/ctrlProp" Target="../ctrlProps/ctrlProp677.xml"/><Relationship Id="rId45" Type="http://schemas.openxmlformats.org/officeDocument/2006/relationships/ctrlProp" Target="../ctrlProps/ctrlProp682.xml"/><Relationship Id="rId53" Type="http://schemas.openxmlformats.org/officeDocument/2006/relationships/ctrlProp" Target="../ctrlProps/ctrlProp690.xml"/><Relationship Id="rId58" Type="http://schemas.openxmlformats.org/officeDocument/2006/relationships/ctrlProp" Target="../ctrlProps/ctrlProp695.xml"/><Relationship Id="rId66" Type="http://schemas.openxmlformats.org/officeDocument/2006/relationships/ctrlProp" Target="../ctrlProps/ctrlProp703.xml"/><Relationship Id="rId74" Type="http://schemas.openxmlformats.org/officeDocument/2006/relationships/ctrlProp" Target="../ctrlProps/ctrlProp711.xml"/><Relationship Id="rId79" Type="http://schemas.openxmlformats.org/officeDocument/2006/relationships/ctrlProp" Target="../ctrlProps/ctrlProp716.xml"/><Relationship Id="rId87" Type="http://schemas.openxmlformats.org/officeDocument/2006/relationships/ctrlProp" Target="../ctrlProps/ctrlProp724.xml"/><Relationship Id="rId5" Type="http://schemas.openxmlformats.org/officeDocument/2006/relationships/ctrlProp" Target="../ctrlProps/ctrlProp642.xml"/><Relationship Id="rId61" Type="http://schemas.openxmlformats.org/officeDocument/2006/relationships/ctrlProp" Target="../ctrlProps/ctrlProp698.xml"/><Relationship Id="rId82" Type="http://schemas.openxmlformats.org/officeDocument/2006/relationships/ctrlProp" Target="../ctrlProps/ctrlProp719.xml"/><Relationship Id="rId90" Type="http://schemas.openxmlformats.org/officeDocument/2006/relationships/ctrlProp" Target="../ctrlProps/ctrlProp727.xml"/><Relationship Id="rId19" Type="http://schemas.openxmlformats.org/officeDocument/2006/relationships/ctrlProp" Target="../ctrlProps/ctrlProp656.xml"/><Relationship Id="rId14" Type="http://schemas.openxmlformats.org/officeDocument/2006/relationships/ctrlProp" Target="../ctrlProps/ctrlProp651.xml"/><Relationship Id="rId22" Type="http://schemas.openxmlformats.org/officeDocument/2006/relationships/ctrlProp" Target="../ctrlProps/ctrlProp659.xml"/><Relationship Id="rId27" Type="http://schemas.openxmlformats.org/officeDocument/2006/relationships/ctrlProp" Target="../ctrlProps/ctrlProp664.xml"/><Relationship Id="rId30" Type="http://schemas.openxmlformats.org/officeDocument/2006/relationships/ctrlProp" Target="../ctrlProps/ctrlProp667.xml"/><Relationship Id="rId35" Type="http://schemas.openxmlformats.org/officeDocument/2006/relationships/ctrlProp" Target="../ctrlProps/ctrlProp672.xml"/><Relationship Id="rId43" Type="http://schemas.openxmlformats.org/officeDocument/2006/relationships/ctrlProp" Target="../ctrlProps/ctrlProp680.xml"/><Relationship Id="rId48" Type="http://schemas.openxmlformats.org/officeDocument/2006/relationships/ctrlProp" Target="../ctrlProps/ctrlProp685.xml"/><Relationship Id="rId56" Type="http://schemas.openxmlformats.org/officeDocument/2006/relationships/ctrlProp" Target="../ctrlProps/ctrlProp693.xml"/><Relationship Id="rId64" Type="http://schemas.openxmlformats.org/officeDocument/2006/relationships/ctrlProp" Target="../ctrlProps/ctrlProp701.xml"/><Relationship Id="rId69" Type="http://schemas.openxmlformats.org/officeDocument/2006/relationships/ctrlProp" Target="../ctrlProps/ctrlProp706.xml"/><Relationship Id="rId77" Type="http://schemas.openxmlformats.org/officeDocument/2006/relationships/ctrlProp" Target="../ctrlProps/ctrlProp714.xml"/><Relationship Id="rId8" Type="http://schemas.openxmlformats.org/officeDocument/2006/relationships/ctrlProp" Target="../ctrlProps/ctrlProp645.xml"/><Relationship Id="rId51" Type="http://schemas.openxmlformats.org/officeDocument/2006/relationships/ctrlProp" Target="../ctrlProps/ctrlProp688.xml"/><Relationship Id="rId72" Type="http://schemas.openxmlformats.org/officeDocument/2006/relationships/ctrlProp" Target="../ctrlProps/ctrlProp709.xml"/><Relationship Id="rId80" Type="http://schemas.openxmlformats.org/officeDocument/2006/relationships/ctrlProp" Target="../ctrlProps/ctrlProp717.xml"/><Relationship Id="rId85" Type="http://schemas.openxmlformats.org/officeDocument/2006/relationships/ctrlProp" Target="../ctrlProps/ctrlProp722.xml"/><Relationship Id="rId3" Type="http://schemas.openxmlformats.org/officeDocument/2006/relationships/ctrlProp" Target="../ctrlProps/ctrlProp640.xml"/><Relationship Id="rId12" Type="http://schemas.openxmlformats.org/officeDocument/2006/relationships/ctrlProp" Target="../ctrlProps/ctrlProp649.xml"/><Relationship Id="rId17" Type="http://schemas.openxmlformats.org/officeDocument/2006/relationships/ctrlProp" Target="../ctrlProps/ctrlProp654.xml"/><Relationship Id="rId25" Type="http://schemas.openxmlformats.org/officeDocument/2006/relationships/ctrlProp" Target="../ctrlProps/ctrlProp662.xml"/><Relationship Id="rId33" Type="http://schemas.openxmlformats.org/officeDocument/2006/relationships/ctrlProp" Target="../ctrlProps/ctrlProp670.xml"/><Relationship Id="rId38" Type="http://schemas.openxmlformats.org/officeDocument/2006/relationships/ctrlProp" Target="../ctrlProps/ctrlProp675.xml"/><Relationship Id="rId46" Type="http://schemas.openxmlformats.org/officeDocument/2006/relationships/ctrlProp" Target="../ctrlProps/ctrlProp683.xml"/><Relationship Id="rId59" Type="http://schemas.openxmlformats.org/officeDocument/2006/relationships/ctrlProp" Target="../ctrlProps/ctrlProp696.xml"/><Relationship Id="rId67" Type="http://schemas.openxmlformats.org/officeDocument/2006/relationships/ctrlProp" Target="../ctrlProps/ctrlProp704.xml"/><Relationship Id="rId20" Type="http://schemas.openxmlformats.org/officeDocument/2006/relationships/ctrlProp" Target="../ctrlProps/ctrlProp657.xml"/><Relationship Id="rId41" Type="http://schemas.openxmlformats.org/officeDocument/2006/relationships/ctrlProp" Target="../ctrlProps/ctrlProp678.xml"/><Relationship Id="rId54" Type="http://schemas.openxmlformats.org/officeDocument/2006/relationships/ctrlProp" Target="../ctrlProps/ctrlProp691.xml"/><Relationship Id="rId62" Type="http://schemas.openxmlformats.org/officeDocument/2006/relationships/ctrlProp" Target="../ctrlProps/ctrlProp699.xml"/><Relationship Id="rId70" Type="http://schemas.openxmlformats.org/officeDocument/2006/relationships/ctrlProp" Target="../ctrlProps/ctrlProp707.xml"/><Relationship Id="rId75" Type="http://schemas.openxmlformats.org/officeDocument/2006/relationships/ctrlProp" Target="../ctrlProps/ctrlProp712.xml"/><Relationship Id="rId83" Type="http://schemas.openxmlformats.org/officeDocument/2006/relationships/ctrlProp" Target="../ctrlProps/ctrlProp720.xml"/><Relationship Id="rId88" Type="http://schemas.openxmlformats.org/officeDocument/2006/relationships/ctrlProp" Target="../ctrlProps/ctrlProp725.xml"/><Relationship Id="rId91" Type="http://schemas.openxmlformats.org/officeDocument/2006/relationships/ctrlProp" Target="../ctrlProps/ctrlProp728.xml"/><Relationship Id="rId1" Type="http://schemas.openxmlformats.org/officeDocument/2006/relationships/drawing" Target="../drawings/drawing10.xml"/><Relationship Id="rId6" Type="http://schemas.openxmlformats.org/officeDocument/2006/relationships/ctrlProp" Target="../ctrlProps/ctrlProp643.xml"/><Relationship Id="rId15" Type="http://schemas.openxmlformats.org/officeDocument/2006/relationships/ctrlProp" Target="../ctrlProps/ctrlProp652.xml"/><Relationship Id="rId23" Type="http://schemas.openxmlformats.org/officeDocument/2006/relationships/ctrlProp" Target="../ctrlProps/ctrlProp660.xml"/><Relationship Id="rId28" Type="http://schemas.openxmlformats.org/officeDocument/2006/relationships/ctrlProp" Target="../ctrlProps/ctrlProp665.xml"/><Relationship Id="rId36" Type="http://schemas.openxmlformats.org/officeDocument/2006/relationships/ctrlProp" Target="../ctrlProps/ctrlProp673.xml"/><Relationship Id="rId49" Type="http://schemas.openxmlformats.org/officeDocument/2006/relationships/ctrlProp" Target="../ctrlProps/ctrlProp686.xml"/><Relationship Id="rId57" Type="http://schemas.openxmlformats.org/officeDocument/2006/relationships/ctrlProp" Target="../ctrlProps/ctrlProp694.xml"/><Relationship Id="rId10" Type="http://schemas.openxmlformats.org/officeDocument/2006/relationships/ctrlProp" Target="../ctrlProps/ctrlProp647.xml"/><Relationship Id="rId31" Type="http://schemas.openxmlformats.org/officeDocument/2006/relationships/ctrlProp" Target="../ctrlProps/ctrlProp668.xml"/><Relationship Id="rId44" Type="http://schemas.openxmlformats.org/officeDocument/2006/relationships/ctrlProp" Target="../ctrlProps/ctrlProp681.xml"/><Relationship Id="rId52" Type="http://schemas.openxmlformats.org/officeDocument/2006/relationships/ctrlProp" Target="../ctrlProps/ctrlProp689.xml"/><Relationship Id="rId60" Type="http://schemas.openxmlformats.org/officeDocument/2006/relationships/ctrlProp" Target="../ctrlProps/ctrlProp697.xml"/><Relationship Id="rId65" Type="http://schemas.openxmlformats.org/officeDocument/2006/relationships/ctrlProp" Target="../ctrlProps/ctrlProp702.xml"/><Relationship Id="rId73" Type="http://schemas.openxmlformats.org/officeDocument/2006/relationships/ctrlProp" Target="../ctrlProps/ctrlProp710.xml"/><Relationship Id="rId78" Type="http://schemas.openxmlformats.org/officeDocument/2006/relationships/ctrlProp" Target="../ctrlProps/ctrlProp715.xml"/><Relationship Id="rId81" Type="http://schemas.openxmlformats.org/officeDocument/2006/relationships/ctrlProp" Target="../ctrlProps/ctrlProp718.xml"/><Relationship Id="rId86" Type="http://schemas.openxmlformats.org/officeDocument/2006/relationships/ctrlProp" Target="../ctrlProps/ctrlProp723.xml"/><Relationship Id="rId4" Type="http://schemas.openxmlformats.org/officeDocument/2006/relationships/ctrlProp" Target="../ctrlProps/ctrlProp641.xml"/><Relationship Id="rId9" Type="http://schemas.openxmlformats.org/officeDocument/2006/relationships/ctrlProp" Target="../ctrlProps/ctrlProp646.xml"/></Relationships>
</file>

<file path=xl/worksheets/_rels/sheet11.xml.rels><?xml version="1.0" encoding="UTF-8" standalone="yes"?>
<Relationships xmlns="http://schemas.openxmlformats.org/package/2006/relationships"><Relationship Id="rId26" Type="http://schemas.openxmlformats.org/officeDocument/2006/relationships/ctrlProp" Target="../ctrlProps/ctrlProp752.xml"/><Relationship Id="rId21" Type="http://schemas.openxmlformats.org/officeDocument/2006/relationships/ctrlProp" Target="../ctrlProps/ctrlProp747.xml"/><Relationship Id="rId42" Type="http://schemas.openxmlformats.org/officeDocument/2006/relationships/ctrlProp" Target="../ctrlProps/ctrlProp768.xml"/><Relationship Id="rId47" Type="http://schemas.openxmlformats.org/officeDocument/2006/relationships/ctrlProp" Target="../ctrlProps/ctrlProp773.xml"/><Relationship Id="rId63" Type="http://schemas.openxmlformats.org/officeDocument/2006/relationships/ctrlProp" Target="../ctrlProps/ctrlProp789.xml"/><Relationship Id="rId68" Type="http://schemas.openxmlformats.org/officeDocument/2006/relationships/ctrlProp" Target="../ctrlProps/ctrlProp794.xml"/><Relationship Id="rId84" Type="http://schemas.openxmlformats.org/officeDocument/2006/relationships/ctrlProp" Target="../ctrlProps/ctrlProp810.xml"/><Relationship Id="rId89" Type="http://schemas.openxmlformats.org/officeDocument/2006/relationships/ctrlProp" Target="../ctrlProps/ctrlProp815.xml"/><Relationship Id="rId112" Type="http://schemas.openxmlformats.org/officeDocument/2006/relationships/ctrlProp" Target="../ctrlProps/ctrlProp838.xml"/><Relationship Id="rId2" Type="http://schemas.openxmlformats.org/officeDocument/2006/relationships/drawing" Target="../drawings/drawing11.xml"/><Relationship Id="rId16" Type="http://schemas.openxmlformats.org/officeDocument/2006/relationships/ctrlProp" Target="../ctrlProps/ctrlProp742.xml"/><Relationship Id="rId29" Type="http://schemas.openxmlformats.org/officeDocument/2006/relationships/ctrlProp" Target="../ctrlProps/ctrlProp755.xml"/><Relationship Id="rId107" Type="http://schemas.openxmlformats.org/officeDocument/2006/relationships/ctrlProp" Target="../ctrlProps/ctrlProp833.xml"/><Relationship Id="rId11" Type="http://schemas.openxmlformats.org/officeDocument/2006/relationships/ctrlProp" Target="../ctrlProps/ctrlProp737.xml"/><Relationship Id="rId24" Type="http://schemas.openxmlformats.org/officeDocument/2006/relationships/ctrlProp" Target="../ctrlProps/ctrlProp750.xml"/><Relationship Id="rId32" Type="http://schemas.openxmlformats.org/officeDocument/2006/relationships/ctrlProp" Target="../ctrlProps/ctrlProp758.xml"/><Relationship Id="rId37" Type="http://schemas.openxmlformats.org/officeDocument/2006/relationships/ctrlProp" Target="../ctrlProps/ctrlProp763.xml"/><Relationship Id="rId40" Type="http://schemas.openxmlformats.org/officeDocument/2006/relationships/ctrlProp" Target="../ctrlProps/ctrlProp766.xml"/><Relationship Id="rId45" Type="http://schemas.openxmlformats.org/officeDocument/2006/relationships/ctrlProp" Target="../ctrlProps/ctrlProp771.xml"/><Relationship Id="rId53" Type="http://schemas.openxmlformats.org/officeDocument/2006/relationships/ctrlProp" Target="../ctrlProps/ctrlProp779.xml"/><Relationship Id="rId58" Type="http://schemas.openxmlformats.org/officeDocument/2006/relationships/ctrlProp" Target="../ctrlProps/ctrlProp784.xml"/><Relationship Id="rId66" Type="http://schemas.openxmlformats.org/officeDocument/2006/relationships/ctrlProp" Target="../ctrlProps/ctrlProp792.xml"/><Relationship Id="rId74" Type="http://schemas.openxmlformats.org/officeDocument/2006/relationships/ctrlProp" Target="../ctrlProps/ctrlProp800.xml"/><Relationship Id="rId79" Type="http://schemas.openxmlformats.org/officeDocument/2006/relationships/ctrlProp" Target="../ctrlProps/ctrlProp805.xml"/><Relationship Id="rId87" Type="http://schemas.openxmlformats.org/officeDocument/2006/relationships/ctrlProp" Target="../ctrlProps/ctrlProp813.xml"/><Relationship Id="rId102" Type="http://schemas.openxmlformats.org/officeDocument/2006/relationships/ctrlProp" Target="../ctrlProps/ctrlProp828.xml"/><Relationship Id="rId110" Type="http://schemas.openxmlformats.org/officeDocument/2006/relationships/ctrlProp" Target="../ctrlProps/ctrlProp836.xml"/><Relationship Id="rId5" Type="http://schemas.openxmlformats.org/officeDocument/2006/relationships/ctrlProp" Target="../ctrlProps/ctrlProp731.xml"/><Relationship Id="rId61" Type="http://schemas.openxmlformats.org/officeDocument/2006/relationships/ctrlProp" Target="../ctrlProps/ctrlProp787.xml"/><Relationship Id="rId82" Type="http://schemas.openxmlformats.org/officeDocument/2006/relationships/ctrlProp" Target="../ctrlProps/ctrlProp808.xml"/><Relationship Id="rId90" Type="http://schemas.openxmlformats.org/officeDocument/2006/relationships/ctrlProp" Target="../ctrlProps/ctrlProp816.xml"/><Relationship Id="rId95" Type="http://schemas.openxmlformats.org/officeDocument/2006/relationships/ctrlProp" Target="../ctrlProps/ctrlProp821.xml"/><Relationship Id="rId19" Type="http://schemas.openxmlformats.org/officeDocument/2006/relationships/ctrlProp" Target="../ctrlProps/ctrlProp745.xml"/><Relationship Id="rId14" Type="http://schemas.openxmlformats.org/officeDocument/2006/relationships/ctrlProp" Target="../ctrlProps/ctrlProp740.xml"/><Relationship Id="rId22" Type="http://schemas.openxmlformats.org/officeDocument/2006/relationships/ctrlProp" Target="../ctrlProps/ctrlProp748.xml"/><Relationship Id="rId27" Type="http://schemas.openxmlformats.org/officeDocument/2006/relationships/ctrlProp" Target="../ctrlProps/ctrlProp753.xml"/><Relationship Id="rId30" Type="http://schemas.openxmlformats.org/officeDocument/2006/relationships/ctrlProp" Target="../ctrlProps/ctrlProp756.xml"/><Relationship Id="rId35" Type="http://schemas.openxmlformats.org/officeDocument/2006/relationships/ctrlProp" Target="../ctrlProps/ctrlProp761.xml"/><Relationship Id="rId43" Type="http://schemas.openxmlformats.org/officeDocument/2006/relationships/ctrlProp" Target="../ctrlProps/ctrlProp769.xml"/><Relationship Id="rId48" Type="http://schemas.openxmlformats.org/officeDocument/2006/relationships/ctrlProp" Target="../ctrlProps/ctrlProp774.xml"/><Relationship Id="rId56" Type="http://schemas.openxmlformats.org/officeDocument/2006/relationships/ctrlProp" Target="../ctrlProps/ctrlProp782.xml"/><Relationship Id="rId64" Type="http://schemas.openxmlformats.org/officeDocument/2006/relationships/ctrlProp" Target="../ctrlProps/ctrlProp790.xml"/><Relationship Id="rId69" Type="http://schemas.openxmlformats.org/officeDocument/2006/relationships/ctrlProp" Target="../ctrlProps/ctrlProp795.xml"/><Relationship Id="rId77" Type="http://schemas.openxmlformats.org/officeDocument/2006/relationships/ctrlProp" Target="../ctrlProps/ctrlProp803.xml"/><Relationship Id="rId100" Type="http://schemas.openxmlformats.org/officeDocument/2006/relationships/ctrlProp" Target="../ctrlProps/ctrlProp826.xml"/><Relationship Id="rId105" Type="http://schemas.openxmlformats.org/officeDocument/2006/relationships/ctrlProp" Target="../ctrlProps/ctrlProp831.xml"/><Relationship Id="rId113" Type="http://schemas.openxmlformats.org/officeDocument/2006/relationships/ctrlProp" Target="../ctrlProps/ctrlProp839.xml"/><Relationship Id="rId8" Type="http://schemas.openxmlformats.org/officeDocument/2006/relationships/ctrlProp" Target="../ctrlProps/ctrlProp734.xml"/><Relationship Id="rId51" Type="http://schemas.openxmlformats.org/officeDocument/2006/relationships/ctrlProp" Target="../ctrlProps/ctrlProp777.xml"/><Relationship Id="rId72" Type="http://schemas.openxmlformats.org/officeDocument/2006/relationships/ctrlProp" Target="../ctrlProps/ctrlProp798.xml"/><Relationship Id="rId80" Type="http://schemas.openxmlformats.org/officeDocument/2006/relationships/ctrlProp" Target="../ctrlProps/ctrlProp806.xml"/><Relationship Id="rId85" Type="http://schemas.openxmlformats.org/officeDocument/2006/relationships/ctrlProp" Target="../ctrlProps/ctrlProp811.xml"/><Relationship Id="rId93" Type="http://schemas.openxmlformats.org/officeDocument/2006/relationships/ctrlProp" Target="../ctrlProps/ctrlProp819.xml"/><Relationship Id="rId98" Type="http://schemas.openxmlformats.org/officeDocument/2006/relationships/ctrlProp" Target="../ctrlProps/ctrlProp824.xml"/><Relationship Id="rId3" Type="http://schemas.openxmlformats.org/officeDocument/2006/relationships/vmlDrawing" Target="../drawings/vmlDrawing10.vml"/><Relationship Id="rId12" Type="http://schemas.openxmlformats.org/officeDocument/2006/relationships/ctrlProp" Target="../ctrlProps/ctrlProp738.xml"/><Relationship Id="rId17" Type="http://schemas.openxmlformats.org/officeDocument/2006/relationships/ctrlProp" Target="../ctrlProps/ctrlProp743.xml"/><Relationship Id="rId25" Type="http://schemas.openxmlformats.org/officeDocument/2006/relationships/ctrlProp" Target="../ctrlProps/ctrlProp751.xml"/><Relationship Id="rId33" Type="http://schemas.openxmlformats.org/officeDocument/2006/relationships/ctrlProp" Target="../ctrlProps/ctrlProp759.xml"/><Relationship Id="rId38" Type="http://schemas.openxmlformats.org/officeDocument/2006/relationships/ctrlProp" Target="../ctrlProps/ctrlProp764.xml"/><Relationship Id="rId46" Type="http://schemas.openxmlformats.org/officeDocument/2006/relationships/ctrlProp" Target="../ctrlProps/ctrlProp772.xml"/><Relationship Id="rId59" Type="http://schemas.openxmlformats.org/officeDocument/2006/relationships/ctrlProp" Target="../ctrlProps/ctrlProp785.xml"/><Relationship Id="rId67" Type="http://schemas.openxmlformats.org/officeDocument/2006/relationships/ctrlProp" Target="../ctrlProps/ctrlProp793.xml"/><Relationship Id="rId103" Type="http://schemas.openxmlformats.org/officeDocument/2006/relationships/ctrlProp" Target="../ctrlProps/ctrlProp829.xml"/><Relationship Id="rId108" Type="http://schemas.openxmlformats.org/officeDocument/2006/relationships/ctrlProp" Target="../ctrlProps/ctrlProp834.xml"/><Relationship Id="rId20" Type="http://schemas.openxmlformats.org/officeDocument/2006/relationships/ctrlProp" Target="../ctrlProps/ctrlProp746.xml"/><Relationship Id="rId41" Type="http://schemas.openxmlformats.org/officeDocument/2006/relationships/ctrlProp" Target="../ctrlProps/ctrlProp767.xml"/><Relationship Id="rId54" Type="http://schemas.openxmlformats.org/officeDocument/2006/relationships/ctrlProp" Target="../ctrlProps/ctrlProp780.xml"/><Relationship Id="rId62" Type="http://schemas.openxmlformats.org/officeDocument/2006/relationships/ctrlProp" Target="../ctrlProps/ctrlProp788.xml"/><Relationship Id="rId70" Type="http://schemas.openxmlformats.org/officeDocument/2006/relationships/ctrlProp" Target="../ctrlProps/ctrlProp796.xml"/><Relationship Id="rId75" Type="http://schemas.openxmlformats.org/officeDocument/2006/relationships/ctrlProp" Target="../ctrlProps/ctrlProp801.xml"/><Relationship Id="rId83" Type="http://schemas.openxmlformats.org/officeDocument/2006/relationships/ctrlProp" Target="../ctrlProps/ctrlProp809.xml"/><Relationship Id="rId88" Type="http://schemas.openxmlformats.org/officeDocument/2006/relationships/ctrlProp" Target="../ctrlProps/ctrlProp814.xml"/><Relationship Id="rId91" Type="http://schemas.openxmlformats.org/officeDocument/2006/relationships/ctrlProp" Target="../ctrlProps/ctrlProp817.xml"/><Relationship Id="rId96" Type="http://schemas.openxmlformats.org/officeDocument/2006/relationships/ctrlProp" Target="../ctrlProps/ctrlProp822.xml"/><Relationship Id="rId111" Type="http://schemas.openxmlformats.org/officeDocument/2006/relationships/ctrlProp" Target="../ctrlProps/ctrlProp837.xml"/><Relationship Id="rId1" Type="http://schemas.openxmlformats.org/officeDocument/2006/relationships/printerSettings" Target="../printerSettings/printerSettings8.bin"/><Relationship Id="rId6" Type="http://schemas.openxmlformats.org/officeDocument/2006/relationships/ctrlProp" Target="../ctrlProps/ctrlProp732.xml"/><Relationship Id="rId15" Type="http://schemas.openxmlformats.org/officeDocument/2006/relationships/ctrlProp" Target="../ctrlProps/ctrlProp741.xml"/><Relationship Id="rId23" Type="http://schemas.openxmlformats.org/officeDocument/2006/relationships/ctrlProp" Target="../ctrlProps/ctrlProp749.xml"/><Relationship Id="rId28" Type="http://schemas.openxmlformats.org/officeDocument/2006/relationships/ctrlProp" Target="../ctrlProps/ctrlProp754.xml"/><Relationship Id="rId36" Type="http://schemas.openxmlformats.org/officeDocument/2006/relationships/ctrlProp" Target="../ctrlProps/ctrlProp762.xml"/><Relationship Id="rId49" Type="http://schemas.openxmlformats.org/officeDocument/2006/relationships/ctrlProp" Target="../ctrlProps/ctrlProp775.xml"/><Relationship Id="rId57" Type="http://schemas.openxmlformats.org/officeDocument/2006/relationships/ctrlProp" Target="../ctrlProps/ctrlProp783.xml"/><Relationship Id="rId106" Type="http://schemas.openxmlformats.org/officeDocument/2006/relationships/ctrlProp" Target="../ctrlProps/ctrlProp832.xml"/><Relationship Id="rId114" Type="http://schemas.openxmlformats.org/officeDocument/2006/relationships/comments" Target="../comments7.xml"/><Relationship Id="rId10" Type="http://schemas.openxmlformats.org/officeDocument/2006/relationships/ctrlProp" Target="../ctrlProps/ctrlProp736.xml"/><Relationship Id="rId31" Type="http://schemas.openxmlformats.org/officeDocument/2006/relationships/ctrlProp" Target="../ctrlProps/ctrlProp757.xml"/><Relationship Id="rId44" Type="http://schemas.openxmlformats.org/officeDocument/2006/relationships/ctrlProp" Target="../ctrlProps/ctrlProp770.xml"/><Relationship Id="rId52" Type="http://schemas.openxmlformats.org/officeDocument/2006/relationships/ctrlProp" Target="../ctrlProps/ctrlProp778.xml"/><Relationship Id="rId60" Type="http://schemas.openxmlformats.org/officeDocument/2006/relationships/ctrlProp" Target="../ctrlProps/ctrlProp786.xml"/><Relationship Id="rId65" Type="http://schemas.openxmlformats.org/officeDocument/2006/relationships/ctrlProp" Target="../ctrlProps/ctrlProp791.xml"/><Relationship Id="rId73" Type="http://schemas.openxmlformats.org/officeDocument/2006/relationships/ctrlProp" Target="../ctrlProps/ctrlProp799.xml"/><Relationship Id="rId78" Type="http://schemas.openxmlformats.org/officeDocument/2006/relationships/ctrlProp" Target="../ctrlProps/ctrlProp804.xml"/><Relationship Id="rId81" Type="http://schemas.openxmlformats.org/officeDocument/2006/relationships/ctrlProp" Target="../ctrlProps/ctrlProp807.xml"/><Relationship Id="rId86" Type="http://schemas.openxmlformats.org/officeDocument/2006/relationships/ctrlProp" Target="../ctrlProps/ctrlProp812.xml"/><Relationship Id="rId94" Type="http://schemas.openxmlformats.org/officeDocument/2006/relationships/ctrlProp" Target="../ctrlProps/ctrlProp820.xml"/><Relationship Id="rId99" Type="http://schemas.openxmlformats.org/officeDocument/2006/relationships/ctrlProp" Target="../ctrlProps/ctrlProp825.xml"/><Relationship Id="rId101" Type="http://schemas.openxmlformats.org/officeDocument/2006/relationships/ctrlProp" Target="../ctrlProps/ctrlProp827.xml"/><Relationship Id="rId4" Type="http://schemas.openxmlformats.org/officeDocument/2006/relationships/ctrlProp" Target="../ctrlProps/ctrlProp730.xml"/><Relationship Id="rId9" Type="http://schemas.openxmlformats.org/officeDocument/2006/relationships/ctrlProp" Target="../ctrlProps/ctrlProp735.xml"/><Relationship Id="rId13" Type="http://schemas.openxmlformats.org/officeDocument/2006/relationships/ctrlProp" Target="../ctrlProps/ctrlProp739.xml"/><Relationship Id="rId18" Type="http://schemas.openxmlformats.org/officeDocument/2006/relationships/ctrlProp" Target="../ctrlProps/ctrlProp744.xml"/><Relationship Id="rId39" Type="http://schemas.openxmlformats.org/officeDocument/2006/relationships/ctrlProp" Target="../ctrlProps/ctrlProp765.xml"/><Relationship Id="rId109" Type="http://schemas.openxmlformats.org/officeDocument/2006/relationships/ctrlProp" Target="../ctrlProps/ctrlProp835.xml"/><Relationship Id="rId34" Type="http://schemas.openxmlformats.org/officeDocument/2006/relationships/ctrlProp" Target="../ctrlProps/ctrlProp760.xml"/><Relationship Id="rId50" Type="http://schemas.openxmlformats.org/officeDocument/2006/relationships/ctrlProp" Target="../ctrlProps/ctrlProp776.xml"/><Relationship Id="rId55" Type="http://schemas.openxmlformats.org/officeDocument/2006/relationships/ctrlProp" Target="../ctrlProps/ctrlProp781.xml"/><Relationship Id="rId76" Type="http://schemas.openxmlformats.org/officeDocument/2006/relationships/ctrlProp" Target="../ctrlProps/ctrlProp802.xml"/><Relationship Id="rId97" Type="http://schemas.openxmlformats.org/officeDocument/2006/relationships/ctrlProp" Target="../ctrlProps/ctrlProp823.xml"/><Relationship Id="rId104" Type="http://schemas.openxmlformats.org/officeDocument/2006/relationships/ctrlProp" Target="../ctrlProps/ctrlProp830.xml"/><Relationship Id="rId7" Type="http://schemas.openxmlformats.org/officeDocument/2006/relationships/ctrlProp" Target="../ctrlProps/ctrlProp733.xml"/><Relationship Id="rId71" Type="http://schemas.openxmlformats.org/officeDocument/2006/relationships/ctrlProp" Target="../ctrlProps/ctrlProp797.xml"/><Relationship Id="rId92" Type="http://schemas.openxmlformats.org/officeDocument/2006/relationships/ctrlProp" Target="../ctrlProps/ctrlProp818.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1.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6" Type="http://schemas.openxmlformats.org/officeDocument/2006/relationships/ctrlProp" Target="../ctrlProps/ctrlProp863.xml"/><Relationship Id="rId117" Type="http://schemas.openxmlformats.org/officeDocument/2006/relationships/ctrlProp" Target="../ctrlProps/ctrlProp954.xml"/><Relationship Id="rId21" Type="http://schemas.openxmlformats.org/officeDocument/2006/relationships/ctrlProp" Target="../ctrlProps/ctrlProp858.xml"/><Relationship Id="rId42" Type="http://schemas.openxmlformats.org/officeDocument/2006/relationships/ctrlProp" Target="../ctrlProps/ctrlProp879.xml"/><Relationship Id="rId47" Type="http://schemas.openxmlformats.org/officeDocument/2006/relationships/ctrlProp" Target="../ctrlProps/ctrlProp884.xml"/><Relationship Id="rId63" Type="http://schemas.openxmlformats.org/officeDocument/2006/relationships/ctrlProp" Target="../ctrlProps/ctrlProp900.xml"/><Relationship Id="rId68" Type="http://schemas.openxmlformats.org/officeDocument/2006/relationships/ctrlProp" Target="../ctrlProps/ctrlProp905.xml"/><Relationship Id="rId84" Type="http://schemas.openxmlformats.org/officeDocument/2006/relationships/ctrlProp" Target="../ctrlProps/ctrlProp921.xml"/><Relationship Id="rId89" Type="http://schemas.openxmlformats.org/officeDocument/2006/relationships/ctrlProp" Target="../ctrlProps/ctrlProp926.xml"/><Relationship Id="rId112" Type="http://schemas.openxmlformats.org/officeDocument/2006/relationships/ctrlProp" Target="../ctrlProps/ctrlProp949.xml"/><Relationship Id="rId133" Type="http://schemas.openxmlformats.org/officeDocument/2006/relationships/ctrlProp" Target="../ctrlProps/ctrlProp970.xml"/><Relationship Id="rId138" Type="http://schemas.openxmlformats.org/officeDocument/2006/relationships/ctrlProp" Target="../ctrlProps/ctrlProp975.xml"/><Relationship Id="rId16" Type="http://schemas.openxmlformats.org/officeDocument/2006/relationships/ctrlProp" Target="../ctrlProps/ctrlProp853.xml"/><Relationship Id="rId107" Type="http://schemas.openxmlformats.org/officeDocument/2006/relationships/ctrlProp" Target="../ctrlProps/ctrlProp944.xml"/><Relationship Id="rId11" Type="http://schemas.openxmlformats.org/officeDocument/2006/relationships/ctrlProp" Target="../ctrlProps/ctrlProp848.xml"/><Relationship Id="rId32" Type="http://schemas.openxmlformats.org/officeDocument/2006/relationships/ctrlProp" Target="../ctrlProps/ctrlProp869.xml"/><Relationship Id="rId37" Type="http://schemas.openxmlformats.org/officeDocument/2006/relationships/ctrlProp" Target="../ctrlProps/ctrlProp874.xml"/><Relationship Id="rId53" Type="http://schemas.openxmlformats.org/officeDocument/2006/relationships/ctrlProp" Target="../ctrlProps/ctrlProp890.xml"/><Relationship Id="rId58" Type="http://schemas.openxmlformats.org/officeDocument/2006/relationships/ctrlProp" Target="../ctrlProps/ctrlProp895.xml"/><Relationship Id="rId74" Type="http://schemas.openxmlformats.org/officeDocument/2006/relationships/ctrlProp" Target="../ctrlProps/ctrlProp911.xml"/><Relationship Id="rId79" Type="http://schemas.openxmlformats.org/officeDocument/2006/relationships/ctrlProp" Target="../ctrlProps/ctrlProp916.xml"/><Relationship Id="rId102" Type="http://schemas.openxmlformats.org/officeDocument/2006/relationships/ctrlProp" Target="../ctrlProps/ctrlProp939.xml"/><Relationship Id="rId123" Type="http://schemas.openxmlformats.org/officeDocument/2006/relationships/ctrlProp" Target="../ctrlProps/ctrlProp960.xml"/><Relationship Id="rId128" Type="http://schemas.openxmlformats.org/officeDocument/2006/relationships/ctrlProp" Target="../ctrlProps/ctrlProp965.xml"/><Relationship Id="rId5" Type="http://schemas.openxmlformats.org/officeDocument/2006/relationships/ctrlProp" Target="../ctrlProps/ctrlProp842.xml"/><Relationship Id="rId90" Type="http://schemas.openxmlformats.org/officeDocument/2006/relationships/ctrlProp" Target="../ctrlProps/ctrlProp927.xml"/><Relationship Id="rId95" Type="http://schemas.openxmlformats.org/officeDocument/2006/relationships/ctrlProp" Target="../ctrlProps/ctrlProp932.xml"/><Relationship Id="rId22" Type="http://schemas.openxmlformats.org/officeDocument/2006/relationships/ctrlProp" Target="../ctrlProps/ctrlProp859.xml"/><Relationship Id="rId27" Type="http://schemas.openxmlformats.org/officeDocument/2006/relationships/ctrlProp" Target="../ctrlProps/ctrlProp864.xml"/><Relationship Id="rId43" Type="http://schemas.openxmlformats.org/officeDocument/2006/relationships/ctrlProp" Target="../ctrlProps/ctrlProp880.xml"/><Relationship Id="rId48" Type="http://schemas.openxmlformats.org/officeDocument/2006/relationships/ctrlProp" Target="../ctrlProps/ctrlProp885.xml"/><Relationship Id="rId64" Type="http://schemas.openxmlformats.org/officeDocument/2006/relationships/ctrlProp" Target="../ctrlProps/ctrlProp901.xml"/><Relationship Id="rId69" Type="http://schemas.openxmlformats.org/officeDocument/2006/relationships/ctrlProp" Target="../ctrlProps/ctrlProp906.xml"/><Relationship Id="rId113" Type="http://schemas.openxmlformats.org/officeDocument/2006/relationships/ctrlProp" Target="../ctrlProps/ctrlProp950.xml"/><Relationship Id="rId118" Type="http://schemas.openxmlformats.org/officeDocument/2006/relationships/ctrlProp" Target="../ctrlProps/ctrlProp955.xml"/><Relationship Id="rId134" Type="http://schemas.openxmlformats.org/officeDocument/2006/relationships/ctrlProp" Target="../ctrlProps/ctrlProp971.xml"/><Relationship Id="rId139" Type="http://schemas.openxmlformats.org/officeDocument/2006/relationships/ctrlProp" Target="../ctrlProps/ctrlProp976.xml"/><Relationship Id="rId8" Type="http://schemas.openxmlformats.org/officeDocument/2006/relationships/ctrlProp" Target="../ctrlProps/ctrlProp845.xml"/><Relationship Id="rId51" Type="http://schemas.openxmlformats.org/officeDocument/2006/relationships/ctrlProp" Target="../ctrlProps/ctrlProp888.xml"/><Relationship Id="rId72" Type="http://schemas.openxmlformats.org/officeDocument/2006/relationships/ctrlProp" Target="../ctrlProps/ctrlProp909.xml"/><Relationship Id="rId80" Type="http://schemas.openxmlformats.org/officeDocument/2006/relationships/ctrlProp" Target="../ctrlProps/ctrlProp917.xml"/><Relationship Id="rId85" Type="http://schemas.openxmlformats.org/officeDocument/2006/relationships/ctrlProp" Target="../ctrlProps/ctrlProp922.xml"/><Relationship Id="rId93" Type="http://schemas.openxmlformats.org/officeDocument/2006/relationships/ctrlProp" Target="../ctrlProps/ctrlProp930.xml"/><Relationship Id="rId98" Type="http://schemas.openxmlformats.org/officeDocument/2006/relationships/ctrlProp" Target="../ctrlProps/ctrlProp935.xml"/><Relationship Id="rId121" Type="http://schemas.openxmlformats.org/officeDocument/2006/relationships/ctrlProp" Target="../ctrlProps/ctrlProp958.xml"/><Relationship Id="rId3" Type="http://schemas.openxmlformats.org/officeDocument/2006/relationships/ctrlProp" Target="../ctrlProps/ctrlProp840.xml"/><Relationship Id="rId12" Type="http://schemas.openxmlformats.org/officeDocument/2006/relationships/ctrlProp" Target="../ctrlProps/ctrlProp849.xml"/><Relationship Id="rId17" Type="http://schemas.openxmlformats.org/officeDocument/2006/relationships/ctrlProp" Target="../ctrlProps/ctrlProp854.xml"/><Relationship Id="rId25" Type="http://schemas.openxmlformats.org/officeDocument/2006/relationships/ctrlProp" Target="../ctrlProps/ctrlProp862.xml"/><Relationship Id="rId33" Type="http://schemas.openxmlformats.org/officeDocument/2006/relationships/ctrlProp" Target="../ctrlProps/ctrlProp870.xml"/><Relationship Id="rId38" Type="http://schemas.openxmlformats.org/officeDocument/2006/relationships/ctrlProp" Target="../ctrlProps/ctrlProp875.xml"/><Relationship Id="rId46" Type="http://schemas.openxmlformats.org/officeDocument/2006/relationships/ctrlProp" Target="../ctrlProps/ctrlProp883.xml"/><Relationship Id="rId59" Type="http://schemas.openxmlformats.org/officeDocument/2006/relationships/ctrlProp" Target="../ctrlProps/ctrlProp896.xml"/><Relationship Id="rId67" Type="http://schemas.openxmlformats.org/officeDocument/2006/relationships/ctrlProp" Target="../ctrlProps/ctrlProp904.xml"/><Relationship Id="rId103" Type="http://schemas.openxmlformats.org/officeDocument/2006/relationships/ctrlProp" Target="../ctrlProps/ctrlProp940.xml"/><Relationship Id="rId108" Type="http://schemas.openxmlformats.org/officeDocument/2006/relationships/ctrlProp" Target="../ctrlProps/ctrlProp945.xml"/><Relationship Id="rId116" Type="http://schemas.openxmlformats.org/officeDocument/2006/relationships/ctrlProp" Target="../ctrlProps/ctrlProp953.xml"/><Relationship Id="rId124" Type="http://schemas.openxmlformats.org/officeDocument/2006/relationships/ctrlProp" Target="../ctrlProps/ctrlProp961.xml"/><Relationship Id="rId129" Type="http://schemas.openxmlformats.org/officeDocument/2006/relationships/ctrlProp" Target="../ctrlProps/ctrlProp966.xml"/><Relationship Id="rId137" Type="http://schemas.openxmlformats.org/officeDocument/2006/relationships/ctrlProp" Target="../ctrlProps/ctrlProp974.xml"/><Relationship Id="rId20" Type="http://schemas.openxmlformats.org/officeDocument/2006/relationships/ctrlProp" Target="../ctrlProps/ctrlProp857.xml"/><Relationship Id="rId41" Type="http://schemas.openxmlformats.org/officeDocument/2006/relationships/ctrlProp" Target="../ctrlProps/ctrlProp878.xml"/><Relationship Id="rId54" Type="http://schemas.openxmlformats.org/officeDocument/2006/relationships/ctrlProp" Target="../ctrlProps/ctrlProp891.xml"/><Relationship Id="rId62" Type="http://schemas.openxmlformats.org/officeDocument/2006/relationships/ctrlProp" Target="../ctrlProps/ctrlProp899.xml"/><Relationship Id="rId70" Type="http://schemas.openxmlformats.org/officeDocument/2006/relationships/ctrlProp" Target="../ctrlProps/ctrlProp907.xml"/><Relationship Id="rId75" Type="http://schemas.openxmlformats.org/officeDocument/2006/relationships/ctrlProp" Target="../ctrlProps/ctrlProp912.xml"/><Relationship Id="rId83" Type="http://schemas.openxmlformats.org/officeDocument/2006/relationships/ctrlProp" Target="../ctrlProps/ctrlProp920.xml"/><Relationship Id="rId88" Type="http://schemas.openxmlformats.org/officeDocument/2006/relationships/ctrlProp" Target="../ctrlProps/ctrlProp925.xml"/><Relationship Id="rId91" Type="http://schemas.openxmlformats.org/officeDocument/2006/relationships/ctrlProp" Target="../ctrlProps/ctrlProp928.xml"/><Relationship Id="rId96" Type="http://schemas.openxmlformats.org/officeDocument/2006/relationships/ctrlProp" Target="../ctrlProps/ctrlProp933.xml"/><Relationship Id="rId111" Type="http://schemas.openxmlformats.org/officeDocument/2006/relationships/ctrlProp" Target="../ctrlProps/ctrlProp948.xml"/><Relationship Id="rId132" Type="http://schemas.openxmlformats.org/officeDocument/2006/relationships/ctrlProp" Target="../ctrlProps/ctrlProp969.xml"/><Relationship Id="rId140" Type="http://schemas.openxmlformats.org/officeDocument/2006/relationships/ctrlProp" Target="../ctrlProps/ctrlProp977.xml"/><Relationship Id="rId1" Type="http://schemas.openxmlformats.org/officeDocument/2006/relationships/drawing" Target="../drawings/drawing12.xml"/><Relationship Id="rId6" Type="http://schemas.openxmlformats.org/officeDocument/2006/relationships/ctrlProp" Target="../ctrlProps/ctrlProp843.xml"/><Relationship Id="rId15" Type="http://schemas.openxmlformats.org/officeDocument/2006/relationships/ctrlProp" Target="../ctrlProps/ctrlProp852.xml"/><Relationship Id="rId23" Type="http://schemas.openxmlformats.org/officeDocument/2006/relationships/ctrlProp" Target="../ctrlProps/ctrlProp860.xml"/><Relationship Id="rId28" Type="http://schemas.openxmlformats.org/officeDocument/2006/relationships/ctrlProp" Target="../ctrlProps/ctrlProp865.xml"/><Relationship Id="rId36" Type="http://schemas.openxmlformats.org/officeDocument/2006/relationships/ctrlProp" Target="../ctrlProps/ctrlProp873.xml"/><Relationship Id="rId49" Type="http://schemas.openxmlformats.org/officeDocument/2006/relationships/ctrlProp" Target="../ctrlProps/ctrlProp886.xml"/><Relationship Id="rId57" Type="http://schemas.openxmlformats.org/officeDocument/2006/relationships/ctrlProp" Target="../ctrlProps/ctrlProp894.xml"/><Relationship Id="rId106" Type="http://schemas.openxmlformats.org/officeDocument/2006/relationships/ctrlProp" Target="../ctrlProps/ctrlProp943.xml"/><Relationship Id="rId114" Type="http://schemas.openxmlformats.org/officeDocument/2006/relationships/ctrlProp" Target="../ctrlProps/ctrlProp951.xml"/><Relationship Id="rId119" Type="http://schemas.openxmlformats.org/officeDocument/2006/relationships/ctrlProp" Target="../ctrlProps/ctrlProp956.xml"/><Relationship Id="rId127" Type="http://schemas.openxmlformats.org/officeDocument/2006/relationships/ctrlProp" Target="../ctrlProps/ctrlProp964.xml"/><Relationship Id="rId10" Type="http://schemas.openxmlformats.org/officeDocument/2006/relationships/ctrlProp" Target="../ctrlProps/ctrlProp847.xml"/><Relationship Id="rId31" Type="http://schemas.openxmlformats.org/officeDocument/2006/relationships/ctrlProp" Target="../ctrlProps/ctrlProp868.xml"/><Relationship Id="rId44" Type="http://schemas.openxmlformats.org/officeDocument/2006/relationships/ctrlProp" Target="../ctrlProps/ctrlProp881.xml"/><Relationship Id="rId52" Type="http://schemas.openxmlformats.org/officeDocument/2006/relationships/ctrlProp" Target="../ctrlProps/ctrlProp889.xml"/><Relationship Id="rId60" Type="http://schemas.openxmlformats.org/officeDocument/2006/relationships/ctrlProp" Target="../ctrlProps/ctrlProp897.xml"/><Relationship Id="rId65" Type="http://schemas.openxmlformats.org/officeDocument/2006/relationships/ctrlProp" Target="../ctrlProps/ctrlProp902.xml"/><Relationship Id="rId73" Type="http://schemas.openxmlformats.org/officeDocument/2006/relationships/ctrlProp" Target="../ctrlProps/ctrlProp910.xml"/><Relationship Id="rId78" Type="http://schemas.openxmlformats.org/officeDocument/2006/relationships/ctrlProp" Target="../ctrlProps/ctrlProp915.xml"/><Relationship Id="rId81" Type="http://schemas.openxmlformats.org/officeDocument/2006/relationships/ctrlProp" Target="../ctrlProps/ctrlProp918.xml"/><Relationship Id="rId86" Type="http://schemas.openxmlformats.org/officeDocument/2006/relationships/ctrlProp" Target="../ctrlProps/ctrlProp923.xml"/><Relationship Id="rId94" Type="http://schemas.openxmlformats.org/officeDocument/2006/relationships/ctrlProp" Target="../ctrlProps/ctrlProp931.xml"/><Relationship Id="rId99" Type="http://schemas.openxmlformats.org/officeDocument/2006/relationships/ctrlProp" Target="../ctrlProps/ctrlProp936.xml"/><Relationship Id="rId101" Type="http://schemas.openxmlformats.org/officeDocument/2006/relationships/ctrlProp" Target="../ctrlProps/ctrlProp938.xml"/><Relationship Id="rId122" Type="http://schemas.openxmlformats.org/officeDocument/2006/relationships/ctrlProp" Target="../ctrlProps/ctrlProp959.xml"/><Relationship Id="rId130" Type="http://schemas.openxmlformats.org/officeDocument/2006/relationships/ctrlProp" Target="../ctrlProps/ctrlProp967.xml"/><Relationship Id="rId135" Type="http://schemas.openxmlformats.org/officeDocument/2006/relationships/ctrlProp" Target="../ctrlProps/ctrlProp972.xml"/><Relationship Id="rId4" Type="http://schemas.openxmlformats.org/officeDocument/2006/relationships/ctrlProp" Target="../ctrlProps/ctrlProp841.xml"/><Relationship Id="rId9" Type="http://schemas.openxmlformats.org/officeDocument/2006/relationships/ctrlProp" Target="../ctrlProps/ctrlProp846.xml"/><Relationship Id="rId13" Type="http://schemas.openxmlformats.org/officeDocument/2006/relationships/ctrlProp" Target="../ctrlProps/ctrlProp850.xml"/><Relationship Id="rId18" Type="http://schemas.openxmlformats.org/officeDocument/2006/relationships/ctrlProp" Target="../ctrlProps/ctrlProp855.xml"/><Relationship Id="rId39" Type="http://schemas.openxmlformats.org/officeDocument/2006/relationships/ctrlProp" Target="../ctrlProps/ctrlProp876.xml"/><Relationship Id="rId109" Type="http://schemas.openxmlformats.org/officeDocument/2006/relationships/ctrlProp" Target="../ctrlProps/ctrlProp946.xml"/><Relationship Id="rId34" Type="http://schemas.openxmlformats.org/officeDocument/2006/relationships/ctrlProp" Target="../ctrlProps/ctrlProp871.xml"/><Relationship Id="rId50" Type="http://schemas.openxmlformats.org/officeDocument/2006/relationships/ctrlProp" Target="../ctrlProps/ctrlProp887.xml"/><Relationship Id="rId55" Type="http://schemas.openxmlformats.org/officeDocument/2006/relationships/ctrlProp" Target="../ctrlProps/ctrlProp892.xml"/><Relationship Id="rId76" Type="http://schemas.openxmlformats.org/officeDocument/2006/relationships/ctrlProp" Target="../ctrlProps/ctrlProp913.xml"/><Relationship Id="rId97" Type="http://schemas.openxmlformats.org/officeDocument/2006/relationships/ctrlProp" Target="../ctrlProps/ctrlProp934.xml"/><Relationship Id="rId104" Type="http://schemas.openxmlformats.org/officeDocument/2006/relationships/ctrlProp" Target="../ctrlProps/ctrlProp941.xml"/><Relationship Id="rId120" Type="http://schemas.openxmlformats.org/officeDocument/2006/relationships/ctrlProp" Target="../ctrlProps/ctrlProp957.xml"/><Relationship Id="rId125" Type="http://schemas.openxmlformats.org/officeDocument/2006/relationships/ctrlProp" Target="../ctrlProps/ctrlProp962.xml"/><Relationship Id="rId7" Type="http://schemas.openxmlformats.org/officeDocument/2006/relationships/ctrlProp" Target="../ctrlProps/ctrlProp844.xml"/><Relationship Id="rId71" Type="http://schemas.openxmlformats.org/officeDocument/2006/relationships/ctrlProp" Target="../ctrlProps/ctrlProp908.xml"/><Relationship Id="rId92" Type="http://schemas.openxmlformats.org/officeDocument/2006/relationships/ctrlProp" Target="../ctrlProps/ctrlProp929.xml"/><Relationship Id="rId2" Type="http://schemas.openxmlformats.org/officeDocument/2006/relationships/vmlDrawing" Target="../drawings/vmlDrawing12.vml"/><Relationship Id="rId29" Type="http://schemas.openxmlformats.org/officeDocument/2006/relationships/ctrlProp" Target="../ctrlProps/ctrlProp866.xml"/><Relationship Id="rId24" Type="http://schemas.openxmlformats.org/officeDocument/2006/relationships/ctrlProp" Target="../ctrlProps/ctrlProp861.xml"/><Relationship Id="rId40" Type="http://schemas.openxmlformats.org/officeDocument/2006/relationships/ctrlProp" Target="../ctrlProps/ctrlProp877.xml"/><Relationship Id="rId45" Type="http://schemas.openxmlformats.org/officeDocument/2006/relationships/ctrlProp" Target="../ctrlProps/ctrlProp882.xml"/><Relationship Id="rId66" Type="http://schemas.openxmlformats.org/officeDocument/2006/relationships/ctrlProp" Target="../ctrlProps/ctrlProp903.xml"/><Relationship Id="rId87" Type="http://schemas.openxmlformats.org/officeDocument/2006/relationships/ctrlProp" Target="../ctrlProps/ctrlProp924.xml"/><Relationship Id="rId110" Type="http://schemas.openxmlformats.org/officeDocument/2006/relationships/ctrlProp" Target="../ctrlProps/ctrlProp947.xml"/><Relationship Id="rId115" Type="http://schemas.openxmlformats.org/officeDocument/2006/relationships/ctrlProp" Target="../ctrlProps/ctrlProp952.xml"/><Relationship Id="rId131" Type="http://schemas.openxmlformats.org/officeDocument/2006/relationships/ctrlProp" Target="../ctrlProps/ctrlProp968.xml"/><Relationship Id="rId136" Type="http://schemas.openxmlformats.org/officeDocument/2006/relationships/ctrlProp" Target="../ctrlProps/ctrlProp973.xml"/><Relationship Id="rId61" Type="http://schemas.openxmlformats.org/officeDocument/2006/relationships/ctrlProp" Target="../ctrlProps/ctrlProp898.xml"/><Relationship Id="rId82" Type="http://schemas.openxmlformats.org/officeDocument/2006/relationships/ctrlProp" Target="../ctrlProps/ctrlProp919.xml"/><Relationship Id="rId19" Type="http://schemas.openxmlformats.org/officeDocument/2006/relationships/ctrlProp" Target="../ctrlProps/ctrlProp856.xml"/><Relationship Id="rId14" Type="http://schemas.openxmlformats.org/officeDocument/2006/relationships/ctrlProp" Target="../ctrlProps/ctrlProp851.xml"/><Relationship Id="rId30" Type="http://schemas.openxmlformats.org/officeDocument/2006/relationships/ctrlProp" Target="../ctrlProps/ctrlProp867.xml"/><Relationship Id="rId35" Type="http://schemas.openxmlformats.org/officeDocument/2006/relationships/ctrlProp" Target="../ctrlProps/ctrlProp872.xml"/><Relationship Id="rId56" Type="http://schemas.openxmlformats.org/officeDocument/2006/relationships/ctrlProp" Target="../ctrlProps/ctrlProp893.xml"/><Relationship Id="rId77" Type="http://schemas.openxmlformats.org/officeDocument/2006/relationships/ctrlProp" Target="../ctrlProps/ctrlProp914.xml"/><Relationship Id="rId100" Type="http://schemas.openxmlformats.org/officeDocument/2006/relationships/ctrlProp" Target="../ctrlProps/ctrlProp937.xml"/><Relationship Id="rId105" Type="http://schemas.openxmlformats.org/officeDocument/2006/relationships/ctrlProp" Target="../ctrlProps/ctrlProp942.xml"/><Relationship Id="rId126" Type="http://schemas.openxmlformats.org/officeDocument/2006/relationships/ctrlProp" Target="../ctrlProps/ctrlProp963.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982.xml"/><Relationship Id="rId13" Type="http://schemas.openxmlformats.org/officeDocument/2006/relationships/ctrlProp" Target="../ctrlProps/ctrlProp987.xml"/><Relationship Id="rId3" Type="http://schemas.openxmlformats.org/officeDocument/2006/relationships/vmlDrawing" Target="../drawings/vmlDrawing13.vml"/><Relationship Id="rId7" Type="http://schemas.openxmlformats.org/officeDocument/2006/relationships/ctrlProp" Target="../ctrlProps/ctrlProp981.xml"/><Relationship Id="rId12" Type="http://schemas.openxmlformats.org/officeDocument/2006/relationships/ctrlProp" Target="../ctrlProps/ctrlProp986.xml"/><Relationship Id="rId2" Type="http://schemas.openxmlformats.org/officeDocument/2006/relationships/drawing" Target="../drawings/drawing13.xml"/><Relationship Id="rId16" Type="http://schemas.openxmlformats.org/officeDocument/2006/relationships/ctrlProp" Target="../ctrlProps/ctrlProp990.xml"/><Relationship Id="rId1" Type="http://schemas.openxmlformats.org/officeDocument/2006/relationships/printerSettings" Target="../printerSettings/printerSettings10.bin"/><Relationship Id="rId6" Type="http://schemas.openxmlformats.org/officeDocument/2006/relationships/ctrlProp" Target="../ctrlProps/ctrlProp980.xml"/><Relationship Id="rId11" Type="http://schemas.openxmlformats.org/officeDocument/2006/relationships/ctrlProp" Target="../ctrlProps/ctrlProp985.xml"/><Relationship Id="rId5" Type="http://schemas.openxmlformats.org/officeDocument/2006/relationships/ctrlProp" Target="../ctrlProps/ctrlProp979.xml"/><Relationship Id="rId15" Type="http://schemas.openxmlformats.org/officeDocument/2006/relationships/ctrlProp" Target="../ctrlProps/ctrlProp989.xml"/><Relationship Id="rId10" Type="http://schemas.openxmlformats.org/officeDocument/2006/relationships/ctrlProp" Target="../ctrlProps/ctrlProp984.xml"/><Relationship Id="rId4" Type="http://schemas.openxmlformats.org/officeDocument/2006/relationships/ctrlProp" Target="../ctrlProps/ctrlProp978.xml"/><Relationship Id="rId9" Type="http://schemas.openxmlformats.org/officeDocument/2006/relationships/ctrlProp" Target="../ctrlProps/ctrlProp983.xml"/><Relationship Id="rId14" Type="http://schemas.openxmlformats.org/officeDocument/2006/relationships/ctrlProp" Target="../ctrlProps/ctrlProp988.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88.xml"/><Relationship Id="rId21" Type="http://schemas.openxmlformats.org/officeDocument/2006/relationships/ctrlProp" Target="../ctrlProps/ctrlProp83.xml"/><Relationship Id="rId34" Type="http://schemas.openxmlformats.org/officeDocument/2006/relationships/ctrlProp" Target="../ctrlProps/ctrlProp96.xml"/><Relationship Id="rId42" Type="http://schemas.openxmlformats.org/officeDocument/2006/relationships/ctrlProp" Target="../ctrlProps/ctrlProp104.xml"/><Relationship Id="rId47" Type="http://schemas.openxmlformats.org/officeDocument/2006/relationships/ctrlProp" Target="../ctrlProps/ctrlProp109.xml"/><Relationship Id="rId50" Type="http://schemas.openxmlformats.org/officeDocument/2006/relationships/ctrlProp" Target="../ctrlProps/ctrlProp112.xml"/><Relationship Id="rId55" Type="http://schemas.openxmlformats.org/officeDocument/2006/relationships/ctrlProp" Target="../ctrlProps/ctrlProp117.xml"/><Relationship Id="rId63" Type="http://schemas.openxmlformats.org/officeDocument/2006/relationships/ctrlProp" Target="../ctrlProps/ctrlProp125.xml"/><Relationship Id="rId68" Type="http://schemas.openxmlformats.org/officeDocument/2006/relationships/ctrlProp" Target="../ctrlProps/ctrlProp130.xml"/><Relationship Id="rId76" Type="http://schemas.openxmlformats.org/officeDocument/2006/relationships/ctrlProp" Target="../ctrlProps/ctrlProp138.xml"/><Relationship Id="rId84" Type="http://schemas.openxmlformats.org/officeDocument/2006/relationships/ctrlProp" Target="../ctrlProps/ctrlProp146.xml"/><Relationship Id="rId89" Type="http://schemas.openxmlformats.org/officeDocument/2006/relationships/ctrlProp" Target="../ctrlProps/ctrlProp151.xml"/><Relationship Id="rId97" Type="http://schemas.openxmlformats.org/officeDocument/2006/relationships/ctrlProp" Target="../ctrlProps/ctrlProp159.xml"/><Relationship Id="rId7" Type="http://schemas.openxmlformats.org/officeDocument/2006/relationships/ctrlProp" Target="../ctrlProps/ctrlProp69.xml"/><Relationship Id="rId71" Type="http://schemas.openxmlformats.org/officeDocument/2006/relationships/ctrlProp" Target="../ctrlProps/ctrlProp133.xml"/><Relationship Id="rId92" Type="http://schemas.openxmlformats.org/officeDocument/2006/relationships/ctrlProp" Target="../ctrlProps/ctrlProp154.xml"/><Relationship Id="rId2" Type="http://schemas.openxmlformats.org/officeDocument/2006/relationships/drawing" Target="../drawings/drawing2.xml"/><Relationship Id="rId16" Type="http://schemas.openxmlformats.org/officeDocument/2006/relationships/ctrlProp" Target="../ctrlProps/ctrlProp78.xml"/><Relationship Id="rId29" Type="http://schemas.openxmlformats.org/officeDocument/2006/relationships/ctrlProp" Target="../ctrlProps/ctrlProp91.xml"/><Relationship Id="rId11" Type="http://schemas.openxmlformats.org/officeDocument/2006/relationships/ctrlProp" Target="../ctrlProps/ctrlProp73.xml"/><Relationship Id="rId24" Type="http://schemas.openxmlformats.org/officeDocument/2006/relationships/ctrlProp" Target="../ctrlProps/ctrlProp86.xml"/><Relationship Id="rId32" Type="http://schemas.openxmlformats.org/officeDocument/2006/relationships/ctrlProp" Target="../ctrlProps/ctrlProp94.xml"/><Relationship Id="rId37" Type="http://schemas.openxmlformats.org/officeDocument/2006/relationships/ctrlProp" Target="../ctrlProps/ctrlProp99.xml"/><Relationship Id="rId40" Type="http://schemas.openxmlformats.org/officeDocument/2006/relationships/ctrlProp" Target="../ctrlProps/ctrlProp102.xml"/><Relationship Id="rId45" Type="http://schemas.openxmlformats.org/officeDocument/2006/relationships/ctrlProp" Target="../ctrlProps/ctrlProp107.xml"/><Relationship Id="rId53" Type="http://schemas.openxmlformats.org/officeDocument/2006/relationships/ctrlProp" Target="../ctrlProps/ctrlProp115.xml"/><Relationship Id="rId58" Type="http://schemas.openxmlformats.org/officeDocument/2006/relationships/ctrlProp" Target="../ctrlProps/ctrlProp120.xml"/><Relationship Id="rId66" Type="http://schemas.openxmlformats.org/officeDocument/2006/relationships/ctrlProp" Target="../ctrlProps/ctrlProp128.xml"/><Relationship Id="rId74" Type="http://schemas.openxmlformats.org/officeDocument/2006/relationships/ctrlProp" Target="../ctrlProps/ctrlProp136.xml"/><Relationship Id="rId79" Type="http://schemas.openxmlformats.org/officeDocument/2006/relationships/ctrlProp" Target="../ctrlProps/ctrlProp141.xml"/><Relationship Id="rId87" Type="http://schemas.openxmlformats.org/officeDocument/2006/relationships/ctrlProp" Target="../ctrlProps/ctrlProp149.xml"/><Relationship Id="rId5" Type="http://schemas.openxmlformats.org/officeDocument/2006/relationships/ctrlProp" Target="../ctrlProps/ctrlProp67.xml"/><Relationship Id="rId61" Type="http://schemas.openxmlformats.org/officeDocument/2006/relationships/ctrlProp" Target="../ctrlProps/ctrlProp123.xml"/><Relationship Id="rId82" Type="http://schemas.openxmlformats.org/officeDocument/2006/relationships/ctrlProp" Target="../ctrlProps/ctrlProp144.xml"/><Relationship Id="rId90" Type="http://schemas.openxmlformats.org/officeDocument/2006/relationships/ctrlProp" Target="../ctrlProps/ctrlProp152.xml"/><Relationship Id="rId95" Type="http://schemas.openxmlformats.org/officeDocument/2006/relationships/ctrlProp" Target="../ctrlProps/ctrlProp157.xml"/><Relationship Id="rId19" Type="http://schemas.openxmlformats.org/officeDocument/2006/relationships/ctrlProp" Target="../ctrlProps/ctrlProp81.xml"/><Relationship Id="rId14" Type="http://schemas.openxmlformats.org/officeDocument/2006/relationships/ctrlProp" Target="../ctrlProps/ctrlProp76.xml"/><Relationship Id="rId22" Type="http://schemas.openxmlformats.org/officeDocument/2006/relationships/ctrlProp" Target="../ctrlProps/ctrlProp84.xml"/><Relationship Id="rId27" Type="http://schemas.openxmlformats.org/officeDocument/2006/relationships/ctrlProp" Target="../ctrlProps/ctrlProp89.xml"/><Relationship Id="rId30" Type="http://schemas.openxmlformats.org/officeDocument/2006/relationships/ctrlProp" Target="../ctrlProps/ctrlProp92.xml"/><Relationship Id="rId35" Type="http://schemas.openxmlformats.org/officeDocument/2006/relationships/ctrlProp" Target="../ctrlProps/ctrlProp97.xml"/><Relationship Id="rId43" Type="http://schemas.openxmlformats.org/officeDocument/2006/relationships/ctrlProp" Target="../ctrlProps/ctrlProp105.xml"/><Relationship Id="rId48" Type="http://schemas.openxmlformats.org/officeDocument/2006/relationships/ctrlProp" Target="../ctrlProps/ctrlProp110.xml"/><Relationship Id="rId56" Type="http://schemas.openxmlformats.org/officeDocument/2006/relationships/ctrlProp" Target="../ctrlProps/ctrlProp118.xml"/><Relationship Id="rId64" Type="http://schemas.openxmlformats.org/officeDocument/2006/relationships/ctrlProp" Target="../ctrlProps/ctrlProp126.xml"/><Relationship Id="rId69" Type="http://schemas.openxmlformats.org/officeDocument/2006/relationships/ctrlProp" Target="../ctrlProps/ctrlProp131.xml"/><Relationship Id="rId77" Type="http://schemas.openxmlformats.org/officeDocument/2006/relationships/ctrlProp" Target="../ctrlProps/ctrlProp139.xml"/><Relationship Id="rId100" Type="http://schemas.openxmlformats.org/officeDocument/2006/relationships/comments" Target="../comments2.xml"/><Relationship Id="rId8" Type="http://schemas.openxmlformats.org/officeDocument/2006/relationships/ctrlProp" Target="../ctrlProps/ctrlProp70.xml"/><Relationship Id="rId51" Type="http://schemas.openxmlformats.org/officeDocument/2006/relationships/ctrlProp" Target="../ctrlProps/ctrlProp113.xml"/><Relationship Id="rId72" Type="http://schemas.openxmlformats.org/officeDocument/2006/relationships/ctrlProp" Target="../ctrlProps/ctrlProp134.xml"/><Relationship Id="rId80" Type="http://schemas.openxmlformats.org/officeDocument/2006/relationships/ctrlProp" Target="../ctrlProps/ctrlProp142.xml"/><Relationship Id="rId85" Type="http://schemas.openxmlformats.org/officeDocument/2006/relationships/ctrlProp" Target="../ctrlProps/ctrlProp147.xml"/><Relationship Id="rId93" Type="http://schemas.openxmlformats.org/officeDocument/2006/relationships/ctrlProp" Target="../ctrlProps/ctrlProp155.xml"/><Relationship Id="rId98" Type="http://schemas.openxmlformats.org/officeDocument/2006/relationships/ctrlProp" Target="../ctrlProps/ctrlProp160.xml"/><Relationship Id="rId3" Type="http://schemas.openxmlformats.org/officeDocument/2006/relationships/vmlDrawing" Target="../drawings/vmlDrawing2.vml"/><Relationship Id="rId12" Type="http://schemas.openxmlformats.org/officeDocument/2006/relationships/ctrlProp" Target="../ctrlProps/ctrlProp74.xml"/><Relationship Id="rId17" Type="http://schemas.openxmlformats.org/officeDocument/2006/relationships/ctrlProp" Target="../ctrlProps/ctrlProp79.xml"/><Relationship Id="rId25" Type="http://schemas.openxmlformats.org/officeDocument/2006/relationships/ctrlProp" Target="../ctrlProps/ctrlProp87.xml"/><Relationship Id="rId33" Type="http://schemas.openxmlformats.org/officeDocument/2006/relationships/ctrlProp" Target="../ctrlProps/ctrlProp95.xml"/><Relationship Id="rId38" Type="http://schemas.openxmlformats.org/officeDocument/2006/relationships/ctrlProp" Target="../ctrlProps/ctrlProp100.xml"/><Relationship Id="rId46" Type="http://schemas.openxmlformats.org/officeDocument/2006/relationships/ctrlProp" Target="../ctrlProps/ctrlProp108.xml"/><Relationship Id="rId59" Type="http://schemas.openxmlformats.org/officeDocument/2006/relationships/ctrlProp" Target="../ctrlProps/ctrlProp121.xml"/><Relationship Id="rId67" Type="http://schemas.openxmlformats.org/officeDocument/2006/relationships/ctrlProp" Target="../ctrlProps/ctrlProp129.xml"/><Relationship Id="rId20" Type="http://schemas.openxmlformats.org/officeDocument/2006/relationships/ctrlProp" Target="../ctrlProps/ctrlProp82.xml"/><Relationship Id="rId41" Type="http://schemas.openxmlformats.org/officeDocument/2006/relationships/ctrlProp" Target="../ctrlProps/ctrlProp103.xml"/><Relationship Id="rId54" Type="http://schemas.openxmlformats.org/officeDocument/2006/relationships/ctrlProp" Target="../ctrlProps/ctrlProp116.xml"/><Relationship Id="rId62" Type="http://schemas.openxmlformats.org/officeDocument/2006/relationships/ctrlProp" Target="../ctrlProps/ctrlProp124.xml"/><Relationship Id="rId70" Type="http://schemas.openxmlformats.org/officeDocument/2006/relationships/ctrlProp" Target="../ctrlProps/ctrlProp132.xml"/><Relationship Id="rId75" Type="http://schemas.openxmlformats.org/officeDocument/2006/relationships/ctrlProp" Target="../ctrlProps/ctrlProp137.xml"/><Relationship Id="rId83" Type="http://schemas.openxmlformats.org/officeDocument/2006/relationships/ctrlProp" Target="../ctrlProps/ctrlProp145.xml"/><Relationship Id="rId88" Type="http://schemas.openxmlformats.org/officeDocument/2006/relationships/ctrlProp" Target="../ctrlProps/ctrlProp150.xml"/><Relationship Id="rId91" Type="http://schemas.openxmlformats.org/officeDocument/2006/relationships/ctrlProp" Target="../ctrlProps/ctrlProp153.xml"/><Relationship Id="rId96" Type="http://schemas.openxmlformats.org/officeDocument/2006/relationships/ctrlProp" Target="../ctrlProps/ctrlProp158.xml"/><Relationship Id="rId1" Type="http://schemas.openxmlformats.org/officeDocument/2006/relationships/printerSettings" Target="../printerSettings/printerSettings2.bin"/><Relationship Id="rId6" Type="http://schemas.openxmlformats.org/officeDocument/2006/relationships/ctrlProp" Target="../ctrlProps/ctrlProp68.xml"/><Relationship Id="rId15" Type="http://schemas.openxmlformats.org/officeDocument/2006/relationships/ctrlProp" Target="../ctrlProps/ctrlProp77.xml"/><Relationship Id="rId23" Type="http://schemas.openxmlformats.org/officeDocument/2006/relationships/ctrlProp" Target="../ctrlProps/ctrlProp85.xml"/><Relationship Id="rId28" Type="http://schemas.openxmlformats.org/officeDocument/2006/relationships/ctrlProp" Target="../ctrlProps/ctrlProp90.xml"/><Relationship Id="rId36" Type="http://schemas.openxmlformats.org/officeDocument/2006/relationships/ctrlProp" Target="../ctrlProps/ctrlProp98.xml"/><Relationship Id="rId49" Type="http://schemas.openxmlformats.org/officeDocument/2006/relationships/ctrlProp" Target="../ctrlProps/ctrlProp111.xml"/><Relationship Id="rId57" Type="http://schemas.openxmlformats.org/officeDocument/2006/relationships/ctrlProp" Target="../ctrlProps/ctrlProp119.xml"/><Relationship Id="rId10" Type="http://schemas.openxmlformats.org/officeDocument/2006/relationships/ctrlProp" Target="../ctrlProps/ctrlProp72.xml"/><Relationship Id="rId31" Type="http://schemas.openxmlformats.org/officeDocument/2006/relationships/ctrlProp" Target="../ctrlProps/ctrlProp93.xml"/><Relationship Id="rId44" Type="http://schemas.openxmlformats.org/officeDocument/2006/relationships/ctrlProp" Target="../ctrlProps/ctrlProp106.xml"/><Relationship Id="rId52" Type="http://schemas.openxmlformats.org/officeDocument/2006/relationships/ctrlProp" Target="../ctrlProps/ctrlProp114.xml"/><Relationship Id="rId60" Type="http://schemas.openxmlformats.org/officeDocument/2006/relationships/ctrlProp" Target="../ctrlProps/ctrlProp122.xml"/><Relationship Id="rId65" Type="http://schemas.openxmlformats.org/officeDocument/2006/relationships/ctrlProp" Target="../ctrlProps/ctrlProp127.xml"/><Relationship Id="rId73" Type="http://schemas.openxmlformats.org/officeDocument/2006/relationships/ctrlProp" Target="../ctrlProps/ctrlProp135.xml"/><Relationship Id="rId78" Type="http://schemas.openxmlformats.org/officeDocument/2006/relationships/ctrlProp" Target="../ctrlProps/ctrlProp140.xml"/><Relationship Id="rId81" Type="http://schemas.openxmlformats.org/officeDocument/2006/relationships/ctrlProp" Target="../ctrlProps/ctrlProp143.xml"/><Relationship Id="rId86" Type="http://schemas.openxmlformats.org/officeDocument/2006/relationships/ctrlProp" Target="../ctrlProps/ctrlProp148.xml"/><Relationship Id="rId94" Type="http://schemas.openxmlformats.org/officeDocument/2006/relationships/ctrlProp" Target="../ctrlProps/ctrlProp156.xml"/><Relationship Id="rId99" Type="http://schemas.openxmlformats.org/officeDocument/2006/relationships/ctrlProp" Target="../ctrlProps/ctrlProp161.xml"/><Relationship Id="rId4" Type="http://schemas.openxmlformats.org/officeDocument/2006/relationships/ctrlProp" Target="../ctrlProps/ctrlProp66.xml"/><Relationship Id="rId9" Type="http://schemas.openxmlformats.org/officeDocument/2006/relationships/ctrlProp" Target="../ctrlProps/ctrlProp71.xml"/><Relationship Id="rId13" Type="http://schemas.openxmlformats.org/officeDocument/2006/relationships/ctrlProp" Target="../ctrlProps/ctrlProp75.xml"/><Relationship Id="rId18" Type="http://schemas.openxmlformats.org/officeDocument/2006/relationships/ctrlProp" Target="../ctrlProps/ctrlProp80.xml"/><Relationship Id="rId39" Type="http://schemas.openxmlformats.org/officeDocument/2006/relationships/ctrlProp" Target="../ctrlProps/ctrlProp101.xml"/></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172.xml"/><Relationship Id="rId18" Type="http://schemas.openxmlformats.org/officeDocument/2006/relationships/ctrlProp" Target="../ctrlProps/ctrlProp177.xml"/><Relationship Id="rId26" Type="http://schemas.openxmlformats.org/officeDocument/2006/relationships/ctrlProp" Target="../ctrlProps/ctrlProp185.xml"/><Relationship Id="rId39" Type="http://schemas.openxmlformats.org/officeDocument/2006/relationships/ctrlProp" Target="../ctrlProps/ctrlProp198.xml"/><Relationship Id="rId21" Type="http://schemas.openxmlformats.org/officeDocument/2006/relationships/ctrlProp" Target="../ctrlProps/ctrlProp180.xml"/><Relationship Id="rId34" Type="http://schemas.openxmlformats.org/officeDocument/2006/relationships/ctrlProp" Target="../ctrlProps/ctrlProp193.xml"/><Relationship Id="rId42" Type="http://schemas.openxmlformats.org/officeDocument/2006/relationships/ctrlProp" Target="../ctrlProps/ctrlProp201.xml"/><Relationship Id="rId47" Type="http://schemas.openxmlformats.org/officeDocument/2006/relationships/ctrlProp" Target="../ctrlProps/ctrlProp206.xml"/><Relationship Id="rId50" Type="http://schemas.openxmlformats.org/officeDocument/2006/relationships/ctrlProp" Target="../ctrlProps/ctrlProp209.xml"/><Relationship Id="rId55" Type="http://schemas.openxmlformats.org/officeDocument/2006/relationships/ctrlProp" Target="../ctrlProps/ctrlProp214.xml"/><Relationship Id="rId63" Type="http://schemas.openxmlformats.org/officeDocument/2006/relationships/ctrlProp" Target="../ctrlProps/ctrlProp222.xml"/><Relationship Id="rId68" Type="http://schemas.openxmlformats.org/officeDocument/2006/relationships/ctrlProp" Target="../ctrlProps/ctrlProp227.xml"/><Relationship Id="rId76" Type="http://schemas.openxmlformats.org/officeDocument/2006/relationships/ctrlProp" Target="../ctrlProps/ctrlProp235.xml"/><Relationship Id="rId84" Type="http://schemas.openxmlformats.org/officeDocument/2006/relationships/ctrlProp" Target="../ctrlProps/ctrlProp243.xml"/><Relationship Id="rId89" Type="http://schemas.openxmlformats.org/officeDocument/2006/relationships/ctrlProp" Target="../ctrlProps/ctrlProp248.xml"/><Relationship Id="rId7" Type="http://schemas.openxmlformats.org/officeDocument/2006/relationships/ctrlProp" Target="../ctrlProps/ctrlProp166.xml"/><Relationship Id="rId71" Type="http://schemas.openxmlformats.org/officeDocument/2006/relationships/ctrlProp" Target="../ctrlProps/ctrlProp230.xml"/><Relationship Id="rId92" Type="http://schemas.openxmlformats.org/officeDocument/2006/relationships/ctrlProp" Target="../ctrlProps/ctrlProp251.xml"/><Relationship Id="rId2" Type="http://schemas.openxmlformats.org/officeDocument/2006/relationships/vmlDrawing" Target="../drawings/vmlDrawing3.vml"/><Relationship Id="rId16" Type="http://schemas.openxmlformats.org/officeDocument/2006/relationships/ctrlProp" Target="../ctrlProps/ctrlProp175.xml"/><Relationship Id="rId29" Type="http://schemas.openxmlformats.org/officeDocument/2006/relationships/ctrlProp" Target="../ctrlProps/ctrlProp188.xml"/><Relationship Id="rId11" Type="http://schemas.openxmlformats.org/officeDocument/2006/relationships/ctrlProp" Target="../ctrlProps/ctrlProp170.xml"/><Relationship Id="rId24" Type="http://schemas.openxmlformats.org/officeDocument/2006/relationships/ctrlProp" Target="../ctrlProps/ctrlProp183.xml"/><Relationship Id="rId32" Type="http://schemas.openxmlformats.org/officeDocument/2006/relationships/ctrlProp" Target="../ctrlProps/ctrlProp191.xml"/><Relationship Id="rId37" Type="http://schemas.openxmlformats.org/officeDocument/2006/relationships/ctrlProp" Target="../ctrlProps/ctrlProp196.xml"/><Relationship Id="rId40" Type="http://schemas.openxmlformats.org/officeDocument/2006/relationships/ctrlProp" Target="../ctrlProps/ctrlProp199.xml"/><Relationship Id="rId45" Type="http://schemas.openxmlformats.org/officeDocument/2006/relationships/ctrlProp" Target="../ctrlProps/ctrlProp204.xml"/><Relationship Id="rId53" Type="http://schemas.openxmlformats.org/officeDocument/2006/relationships/ctrlProp" Target="../ctrlProps/ctrlProp212.xml"/><Relationship Id="rId58" Type="http://schemas.openxmlformats.org/officeDocument/2006/relationships/ctrlProp" Target="../ctrlProps/ctrlProp217.xml"/><Relationship Id="rId66" Type="http://schemas.openxmlformats.org/officeDocument/2006/relationships/ctrlProp" Target="../ctrlProps/ctrlProp225.xml"/><Relationship Id="rId74" Type="http://schemas.openxmlformats.org/officeDocument/2006/relationships/ctrlProp" Target="../ctrlProps/ctrlProp233.xml"/><Relationship Id="rId79" Type="http://schemas.openxmlformats.org/officeDocument/2006/relationships/ctrlProp" Target="../ctrlProps/ctrlProp238.xml"/><Relationship Id="rId87" Type="http://schemas.openxmlformats.org/officeDocument/2006/relationships/ctrlProp" Target="../ctrlProps/ctrlProp246.xml"/><Relationship Id="rId5" Type="http://schemas.openxmlformats.org/officeDocument/2006/relationships/ctrlProp" Target="../ctrlProps/ctrlProp164.xml"/><Relationship Id="rId61" Type="http://schemas.openxmlformats.org/officeDocument/2006/relationships/ctrlProp" Target="../ctrlProps/ctrlProp220.xml"/><Relationship Id="rId82" Type="http://schemas.openxmlformats.org/officeDocument/2006/relationships/ctrlProp" Target="../ctrlProps/ctrlProp241.xml"/><Relationship Id="rId90" Type="http://schemas.openxmlformats.org/officeDocument/2006/relationships/ctrlProp" Target="../ctrlProps/ctrlProp249.xml"/><Relationship Id="rId19" Type="http://schemas.openxmlformats.org/officeDocument/2006/relationships/ctrlProp" Target="../ctrlProps/ctrlProp178.xml"/><Relationship Id="rId14" Type="http://schemas.openxmlformats.org/officeDocument/2006/relationships/ctrlProp" Target="../ctrlProps/ctrlProp173.xml"/><Relationship Id="rId22" Type="http://schemas.openxmlformats.org/officeDocument/2006/relationships/ctrlProp" Target="../ctrlProps/ctrlProp181.xml"/><Relationship Id="rId27" Type="http://schemas.openxmlformats.org/officeDocument/2006/relationships/ctrlProp" Target="../ctrlProps/ctrlProp186.xml"/><Relationship Id="rId30" Type="http://schemas.openxmlformats.org/officeDocument/2006/relationships/ctrlProp" Target="../ctrlProps/ctrlProp189.xml"/><Relationship Id="rId35" Type="http://schemas.openxmlformats.org/officeDocument/2006/relationships/ctrlProp" Target="../ctrlProps/ctrlProp194.xml"/><Relationship Id="rId43" Type="http://schemas.openxmlformats.org/officeDocument/2006/relationships/ctrlProp" Target="../ctrlProps/ctrlProp202.xml"/><Relationship Id="rId48" Type="http://schemas.openxmlformats.org/officeDocument/2006/relationships/ctrlProp" Target="../ctrlProps/ctrlProp207.xml"/><Relationship Id="rId56" Type="http://schemas.openxmlformats.org/officeDocument/2006/relationships/ctrlProp" Target="../ctrlProps/ctrlProp215.xml"/><Relationship Id="rId64" Type="http://schemas.openxmlformats.org/officeDocument/2006/relationships/ctrlProp" Target="../ctrlProps/ctrlProp223.xml"/><Relationship Id="rId69" Type="http://schemas.openxmlformats.org/officeDocument/2006/relationships/ctrlProp" Target="../ctrlProps/ctrlProp228.xml"/><Relationship Id="rId77" Type="http://schemas.openxmlformats.org/officeDocument/2006/relationships/ctrlProp" Target="../ctrlProps/ctrlProp236.xml"/><Relationship Id="rId8" Type="http://schemas.openxmlformats.org/officeDocument/2006/relationships/ctrlProp" Target="../ctrlProps/ctrlProp167.xml"/><Relationship Id="rId51" Type="http://schemas.openxmlformats.org/officeDocument/2006/relationships/ctrlProp" Target="../ctrlProps/ctrlProp210.xml"/><Relationship Id="rId72" Type="http://schemas.openxmlformats.org/officeDocument/2006/relationships/ctrlProp" Target="../ctrlProps/ctrlProp231.xml"/><Relationship Id="rId80" Type="http://schemas.openxmlformats.org/officeDocument/2006/relationships/ctrlProp" Target="../ctrlProps/ctrlProp239.xml"/><Relationship Id="rId85" Type="http://schemas.openxmlformats.org/officeDocument/2006/relationships/ctrlProp" Target="../ctrlProps/ctrlProp244.xml"/><Relationship Id="rId3" Type="http://schemas.openxmlformats.org/officeDocument/2006/relationships/ctrlProp" Target="../ctrlProps/ctrlProp162.xml"/><Relationship Id="rId12" Type="http://schemas.openxmlformats.org/officeDocument/2006/relationships/ctrlProp" Target="../ctrlProps/ctrlProp171.xml"/><Relationship Id="rId17" Type="http://schemas.openxmlformats.org/officeDocument/2006/relationships/ctrlProp" Target="../ctrlProps/ctrlProp176.xml"/><Relationship Id="rId25" Type="http://schemas.openxmlformats.org/officeDocument/2006/relationships/ctrlProp" Target="../ctrlProps/ctrlProp184.xml"/><Relationship Id="rId33" Type="http://schemas.openxmlformats.org/officeDocument/2006/relationships/ctrlProp" Target="../ctrlProps/ctrlProp192.xml"/><Relationship Id="rId38" Type="http://schemas.openxmlformats.org/officeDocument/2006/relationships/ctrlProp" Target="../ctrlProps/ctrlProp197.xml"/><Relationship Id="rId46" Type="http://schemas.openxmlformats.org/officeDocument/2006/relationships/ctrlProp" Target="../ctrlProps/ctrlProp205.xml"/><Relationship Id="rId59" Type="http://schemas.openxmlformats.org/officeDocument/2006/relationships/ctrlProp" Target="../ctrlProps/ctrlProp218.xml"/><Relationship Id="rId67" Type="http://schemas.openxmlformats.org/officeDocument/2006/relationships/ctrlProp" Target="../ctrlProps/ctrlProp226.xml"/><Relationship Id="rId20" Type="http://schemas.openxmlformats.org/officeDocument/2006/relationships/ctrlProp" Target="../ctrlProps/ctrlProp179.xml"/><Relationship Id="rId41" Type="http://schemas.openxmlformats.org/officeDocument/2006/relationships/ctrlProp" Target="../ctrlProps/ctrlProp200.xml"/><Relationship Id="rId54" Type="http://schemas.openxmlformats.org/officeDocument/2006/relationships/ctrlProp" Target="../ctrlProps/ctrlProp213.xml"/><Relationship Id="rId62" Type="http://schemas.openxmlformats.org/officeDocument/2006/relationships/ctrlProp" Target="../ctrlProps/ctrlProp221.xml"/><Relationship Id="rId70" Type="http://schemas.openxmlformats.org/officeDocument/2006/relationships/ctrlProp" Target="../ctrlProps/ctrlProp229.xml"/><Relationship Id="rId75" Type="http://schemas.openxmlformats.org/officeDocument/2006/relationships/ctrlProp" Target="../ctrlProps/ctrlProp234.xml"/><Relationship Id="rId83" Type="http://schemas.openxmlformats.org/officeDocument/2006/relationships/ctrlProp" Target="../ctrlProps/ctrlProp242.xml"/><Relationship Id="rId88" Type="http://schemas.openxmlformats.org/officeDocument/2006/relationships/ctrlProp" Target="../ctrlProps/ctrlProp247.xml"/><Relationship Id="rId91" Type="http://schemas.openxmlformats.org/officeDocument/2006/relationships/ctrlProp" Target="../ctrlProps/ctrlProp250.xml"/><Relationship Id="rId1" Type="http://schemas.openxmlformats.org/officeDocument/2006/relationships/drawing" Target="../drawings/drawing3.xml"/><Relationship Id="rId6" Type="http://schemas.openxmlformats.org/officeDocument/2006/relationships/ctrlProp" Target="../ctrlProps/ctrlProp165.xml"/><Relationship Id="rId15" Type="http://schemas.openxmlformats.org/officeDocument/2006/relationships/ctrlProp" Target="../ctrlProps/ctrlProp174.xml"/><Relationship Id="rId23" Type="http://schemas.openxmlformats.org/officeDocument/2006/relationships/ctrlProp" Target="../ctrlProps/ctrlProp182.xml"/><Relationship Id="rId28" Type="http://schemas.openxmlformats.org/officeDocument/2006/relationships/ctrlProp" Target="../ctrlProps/ctrlProp187.xml"/><Relationship Id="rId36" Type="http://schemas.openxmlformats.org/officeDocument/2006/relationships/ctrlProp" Target="../ctrlProps/ctrlProp195.xml"/><Relationship Id="rId49" Type="http://schemas.openxmlformats.org/officeDocument/2006/relationships/ctrlProp" Target="../ctrlProps/ctrlProp208.xml"/><Relationship Id="rId57" Type="http://schemas.openxmlformats.org/officeDocument/2006/relationships/ctrlProp" Target="../ctrlProps/ctrlProp216.xml"/><Relationship Id="rId10" Type="http://schemas.openxmlformats.org/officeDocument/2006/relationships/ctrlProp" Target="../ctrlProps/ctrlProp169.xml"/><Relationship Id="rId31" Type="http://schemas.openxmlformats.org/officeDocument/2006/relationships/ctrlProp" Target="../ctrlProps/ctrlProp190.xml"/><Relationship Id="rId44" Type="http://schemas.openxmlformats.org/officeDocument/2006/relationships/ctrlProp" Target="../ctrlProps/ctrlProp203.xml"/><Relationship Id="rId52" Type="http://schemas.openxmlformats.org/officeDocument/2006/relationships/ctrlProp" Target="../ctrlProps/ctrlProp211.xml"/><Relationship Id="rId60" Type="http://schemas.openxmlformats.org/officeDocument/2006/relationships/ctrlProp" Target="../ctrlProps/ctrlProp219.xml"/><Relationship Id="rId65" Type="http://schemas.openxmlformats.org/officeDocument/2006/relationships/ctrlProp" Target="../ctrlProps/ctrlProp224.xml"/><Relationship Id="rId73" Type="http://schemas.openxmlformats.org/officeDocument/2006/relationships/ctrlProp" Target="../ctrlProps/ctrlProp232.xml"/><Relationship Id="rId78" Type="http://schemas.openxmlformats.org/officeDocument/2006/relationships/ctrlProp" Target="../ctrlProps/ctrlProp237.xml"/><Relationship Id="rId81" Type="http://schemas.openxmlformats.org/officeDocument/2006/relationships/ctrlProp" Target="../ctrlProps/ctrlProp240.xml"/><Relationship Id="rId86" Type="http://schemas.openxmlformats.org/officeDocument/2006/relationships/ctrlProp" Target="../ctrlProps/ctrlProp245.xml"/><Relationship Id="rId4" Type="http://schemas.openxmlformats.org/officeDocument/2006/relationships/ctrlProp" Target="../ctrlProps/ctrlProp163.xml"/><Relationship Id="rId9" Type="http://schemas.openxmlformats.org/officeDocument/2006/relationships/ctrlProp" Target="../ctrlProps/ctrlProp168.xml"/></Relationships>
</file>

<file path=xl/worksheets/_rels/sheet4.xml.rels><?xml version="1.0" encoding="UTF-8" standalone="yes"?>
<Relationships xmlns="http://schemas.openxmlformats.org/package/2006/relationships"><Relationship Id="rId26" Type="http://schemas.openxmlformats.org/officeDocument/2006/relationships/ctrlProp" Target="../ctrlProps/ctrlProp274.xml"/><Relationship Id="rId21" Type="http://schemas.openxmlformats.org/officeDocument/2006/relationships/ctrlProp" Target="../ctrlProps/ctrlProp269.xml"/><Relationship Id="rId42" Type="http://schemas.openxmlformats.org/officeDocument/2006/relationships/ctrlProp" Target="../ctrlProps/ctrlProp290.xml"/><Relationship Id="rId47" Type="http://schemas.openxmlformats.org/officeDocument/2006/relationships/ctrlProp" Target="../ctrlProps/ctrlProp295.xml"/><Relationship Id="rId63" Type="http://schemas.openxmlformats.org/officeDocument/2006/relationships/ctrlProp" Target="../ctrlProps/ctrlProp311.xml"/><Relationship Id="rId68" Type="http://schemas.openxmlformats.org/officeDocument/2006/relationships/ctrlProp" Target="../ctrlProps/ctrlProp316.xml"/><Relationship Id="rId84" Type="http://schemas.openxmlformats.org/officeDocument/2006/relationships/ctrlProp" Target="../ctrlProps/ctrlProp332.xml"/><Relationship Id="rId89" Type="http://schemas.openxmlformats.org/officeDocument/2006/relationships/ctrlProp" Target="../ctrlProps/ctrlProp337.xml"/><Relationship Id="rId112" Type="http://schemas.openxmlformats.org/officeDocument/2006/relationships/ctrlProp" Target="../ctrlProps/ctrlProp360.xml"/><Relationship Id="rId2" Type="http://schemas.openxmlformats.org/officeDocument/2006/relationships/drawing" Target="../drawings/drawing4.xml"/><Relationship Id="rId16" Type="http://schemas.openxmlformats.org/officeDocument/2006/relationships/ctrlProp" Target="../ctrlProps/ctrlProp264.xml"/><Relationship Id="rId29" Type="http://schemas.openxmlformats.org/officeDocument/2006/relationships/ctrlProp" Target="../ctrlProps/ctrlProp277.xml"/><Relationship Id="rId107" Type="http://schemas.openxmlformats.org/officeDocument/2006/relationships/ctrlProp" Target="../ctrlProps/ctrlProp355.xml"/><Relationship Id="rId11" Type="http://schemas.openxmlformats.org/officeDocument/2006/relationships/ctrlProp" Target="../ctrlProps/ctrlProp259.xml"/><Relationship Id="rId24" Type="http://schemas.openxmlformats.org/officeDocument/2006/relationships/ctrlProp" Target="../ctrlProps/ctrlProp272.xml"/><Relationship Id="rId32" Type="http://schemas.openxmlformats.org/officeDocument/2006/relationships/ctrlProp" Target="../ctrlProps/ctrlProp280.xml"/><Relationship Id="rId37" Type="http://schemas.openxmlformats.org/officeDocument/2006/relationships/ctrlProp" Target="../ctrlProps/ctrlProp285.xml"/><Relationship Id="rId40" Type="http://schemas.openxmlformats.org/officeDocument/2006/relationships/ctrlProp" Target="../ctrlProps/ctrlProp288.xml"/><Relationship Id="rId45" Type="http://schemas.openxmlformats.org/officeDocument/2006/relationships/ctrlProp" Target="../ctrlProps/ctrlProp293.xml"/><Relationship Id="rId53" Type="http://schemas.openxmlformats.org/officeDocument/2006/relationships/ctrlProp" Target="../ctrlProps/ctrlProp301.xml"/><Relationship Id="rId58" Type="http://schemas.openxmlformats.org/officeDocument/2006/relationships/ctrlProp" Target="../ctrlProps/ctrlProp306.xml"/><Relationship Id="rId66" Type="http://schemas.openxmlformats.org/officeDocument/2006/relationships/ctrlProp" Target="../ctrlProps/ctrlProp314.xml"/><Relationship Id="rId74" Type="http://schemas.openxmlformats.org/officeDocument/2006/relationships/ctrlProp" Target="../ctrlProps/ctrlProp322.xml"/><Relationship Id="rId79" Type="http://schemas.openxmlformats.org/officeDocument/2006/relationships/ctrlProp" Target="../ctrlProps/ctrlProp327.xml"/><Relationship Id="rId87" Type="http://schemas.openxmlformats.org/officeDocument/2006/relationships/ctrlProp" Target="../ctrlProps/ctrlProp335.xml"/><Relationship Id="rId102" Type="http://schemas.openxmlformats.org/officeDocument/2006/relationships/ctrlProp" Target="../ctrlProps/ctrlProp350.xml"/><Relationship Id="rId110" Type="http://schemas.openxmlformats.org/officeDocument/2006/relationships/ctrlProp" Target="../ctrlProps/ctrlProp358.xml"/><Relationship Id="rId5" Type="http://schemas.openxmlformats.org/officeDocument/2006/relationships/ctrlProp" Target="../ctrlProps/ctrlProp253.xml"/><Relationship Id="rId61" Type="http://schemas.openxmlformats.org/officeDocument/2006/relationships/ctrlProp" Target="../ctrlProps/ctrlProp309.xml"/><Relationship Id="rId82" Type="http://schemas.openxmlformats.org/officeDocument/2006/relationships/ctrlProp" Target="../ctrlProps/ctrlProp330.xml"/><Relationship Id="rId90" Type="http://schemas.openxmlformats.org/officeDocument/2006/relationships/ctrlProp" Target="../ctrlProps/ctrlProp338.xml"/><Relationship Id="rId95" Type="http://schemas.openxmlformats.org/officeDocument/2006/relationships/ctrlProp" Target="../ctrlProps/ctrlProp343.xml"/><Relationship Id="rId19" Type="http://schemas.openxmlformats.org/officeDocument/2006/relationships/ctrlProp" Target="../ctrlProps/ctrlProp267.xml"/><Relationship Id="rId14" Type="http://schemas.openxmlformats.org/officeDocument/2006/relationships/ctrlProp" Target="../ctrlProps/ctrlProp262.xml"/><Relationship Id="rId22" Type="http://schemas.openxmlformats.org/officeDocument/2006/relationships/ctrlProp" Target="../ctrlProps/ctrlProp270.xml"/><Relationship Id="rId27" Type="http://schemas.openxmlformats.org/officeDocument/2006/relationships/ctrlProp" Target="../ctrlProps/ctrlProp275.xml"/><Relationship Id="rId30" Type="http://schemas.openxmlformats.org/officeDocument/2006/relationships/ctrlProp" Target="../ctrlProps/ctrlProp278.xml"/><Relationship Id="rId35" Type="http://schemas.openxmlformats.org/officeDocument/2006/relationships/ctrlProp" Target="../ctrlProps/ctrlProp283.xml"/><Relationship Id="rId43" Type="http://schemas.openxmlformats.org/officeDocument/2006/relationships/ctrlProp" Target="../ctrlProps/ctrlProp291.xml"/><Relationship Id="rId48" Type="http://schemas.openxmlformats.org/officeDocument/2006/relationships/ctrlProp" Target="../ctrlProps/ctrlProp296.xml"/><Relationship Id="rId56" Type="http://schemas.openxmlformats.org/officeDocument/2006/relationships/ctrlProp" Target="../ctrlProps/ctrlProp304.xml"/><Relationship Id="rId64" Type="http://schemas.openxmlformats.org/officeDocument/2006/relationships/ctrlProp" Target="../ctrlProps/ctrlProp312.xml"/><Relationship Id="rId69" Type="http://schemas.openxmlformats.org/officeDocument/2006/relationships/ctrlProp" Target="../ctrlProps/ctrlProp317.xml"/><Relationship Id="rId77" Type="http://schemas.openxmlformats.org/officeDocument/2006/relationships/ctrlProp" Target="../ctrlProps/ctrlProp325.xml"/><Relationship Id="rId100" Type="http://schemas.openxmlformats.org/officeDocument/2006/relationships/ctrlProp" Target="../ctrlProps/ctrlProp348.xml"/><Relationship Id="rId105" Type="http://schemas.openxmlformats.org/officeDocument/2006/relationships/ctrlProp" Target="../ctrlProps/ctrlProp353.xml"/><Relationship Id="rId113" Type="http://schemas.openxmlformats.org/officeDocument/2006/relationships/ctrlProp" Target="../ctrlProps/ctrlProp361.xml"/><Relationship Id="rId8" Type="http://schemas.openxmlformats.org/officeDocument/2006/relationships/ctrlProp" Target="../ctrlProps/ctrlProp256.xml"/><Relationship Id="rId51" Type="http://schemas.openxmlformats.org/officeDocument/2006/relationships/ctrlProp" Target="../ctrlProps/ctrlProp299.xml"/><Relationship Id="rId72" Type="http://schemas.openxmlformats.org/officeDocument/2006/relationships/ctrlProp" Target="../ctrlProps/ctrlProp320.xml"/><Relationship Id="rId80" Type="http://schemas.openxmlformats.org/officeDocument/2006/relationships/ctrlProp" Target="../ctrlProps/ctrlProp328.xml"/><Relationship Id="rId85" Type="http://schemas.openxmlformats.org/officeDocument/2006/relationships/ctrlProp" Target="../ctrlProps/ctrlProp333.xml"/><Relationship Id="rId93" Type="http://schemas.openxmlformats.org/officeDocument/2006/relationships/ctrlProp" Target="../ctrlProps/ctrlProp341.xml"/><Relationship Id="rId98" Type="http://schemas.openxmlformats.org/officeDocument/2006/relationships/ctrlProp" Target="../ctrlProps/ctrlProp346.xml"/><Relationship Id="rId3" Type="http://schemas.openxmlformats.org/officeDocument/2006/relationships/vmlDrawing" Target="../drawings/vmlDrawing4.vml"/><Relationship Id="rId12" Type="http://schemas.openxmlformats.org/officeDocument/2006/relationships/ctrlProp" Target="../ctrlProps/ctrlProp260.xml"/><Relationship Id="rId17" Type="http://schemas.openxmlformats.org/officeDocument/2006/relationships/ctrlProp" Target="../ctrlProps/ctrlProp265.xml"/><Relationship Id="rId25" Type="http://schemas.openxmlformats.org/officeDocument/2006/relationships/ctrlProp" Target="../ctrlProps/ctrlProp273.xml"/><Relationship Id="rId33" Type="http://schemas.openxmlformats.org/officeDocument/2006/relationships/ctrlProp" Target="../ctrlProps/ctrlProp281.xml"/><Relationship Id="rId38" Type="http://schemas.openxmlformats.org/officeDocument/2006/relationships/ctrlProp" Target="../ctrlProps/ctrlProp286.xml"/><Relationship Id="rId46" Type="http://schemas.openxmlformats.org/officeDocument/2006/relationships/ctrlProp" Target="../ctrlProps/ctrlProp294.xml"/><Relationship Id="rId59" Type="http://schemas.openxmlformats.org/officeDocument/2006/relationships/ctrlProp" Target="../ctrlProps/ctrlProp307.xml"/><Relationship Id="rId67" Type="http://schemas.openxmlformats.org/officeDocument/2006/relationships/ctrlProp" Target="../ctrlProps/ctrlProp315.xml"/><Relationship Id="rId103" Type="http://schemas.openxmlformats.org/officeDocument/2006/relationships/ctrlProp" Target="../ctrlProps/ctrlProp351.xml"/><Relationship Id="rId108" Type="http://schemas.openxmlformats.org/officeDocument/2006/relationships/ctrlProp" Target="../ctrlProps/ctrlProp356.xml"/><Relationship Id="rId20" Type="http://schemas.openxmlformats.org/officeDocument/2006/relationships/ctrlProp" Target="../ctrlProps/ctrlProp268.xml"/><Relationship Id="rId41" Type="http://schemas.openxmlformats.org/officeDocument/2006/relationships/ctrlProp" Target="../ctrlProps/ctrlProp289.xml"/><Relationship Id="rId54" Type="http://schemas.openxmlformats.org/officeDocument/2006/relationships/ctrlProp" Target="../ctrlProps/ctrlProp302.xml"/><Relationship Id="rId62" Type="http://schemas.openxmlformats.org/officeDocument/2006/relationships/ctrlProp" Target="../ctrlProps/ctrlProp310.xml"/><Relationship Id="rId70" Type="http://schemas.openxmlformats.org/officeDocument/2006/relationships/ctrlProp" Target="../ctrlProps/ctrlProp318.xml"/><Relationship Id="rId75" Type="http://schemas.openxmlformats.org/officeDocument/2006/relationships/ctrlProp" Target="../ctrlProps/ctrlProp323.xml"/><Relationship Id="rId83" Type="http://schemas.openxmlformats.org/officeDocument/2006/relationships/ctrlProp" Target="../ctrlProps/ctrlProp331.xml"/><Relationship Id="rId88" Type="http://schemas.openxmlformats.org/officeDocument/2006/relationships/ctrlProp" Target="../ctrlProps/ctrlProp336.xml"/><Relationship Id="rId91" Type="http://schemas.openxmlformats.org/officeDocument/2006/relationships/ctrlProp" Target="../ctrlProps/ctrlProp339.xml"/><Relationship Id="rId96" Type="http://schemas.openxmlformats.org/officeDocument/2006/relationships/ctrlProp" Target="../ctrlProps/ctrlProp344.xml"/><Relationship Id="rId111" Type="http://schemas.openxmlformats.org/officeDocument/2006/relationships/ctrlProp" Target="../ctrlProps/ctrlProp359.xml"/><Relationship Id="rId1" Type="http://schemas.openxmlformats.org/officeDocument/2006/relationships/printerSettings" Target="../printerSettings/printerSettings3.bin"/><Relationship Id="rId6" Type="http://schemas.openxmlformats.org/officeDocument/2006/relationships/ctrlProp" Target="../ctrlProps/ctrlProp254.xml"/><Relationship Id="rId15" Type="http://schemas.openxmlformats.org/officeDocument/2006/relationships/ctrlProp" Target="../ctrlProps/ctrlProp263.xml"/><Relationship Id="rId23" Type="http://schemas.openxmlformats.org/officeDocument/2006/relationships/ctrlProp" Target="../ctrlProps/ctrlProp271.xml"/><Relationship Id="rId28" Type="http://schemas.openxmlformats.org/officeDocument/2006/relationships/ctrlProp" Target="../ctrlProps/ctrlProp276.xml"/><Relationship Id="rId36" Type="http://schemas.openxmlformats.org/officeDocument/2006/relationships/ctrlProp" Target="../ctrlProps/ctrlProp284.xml"/><Relationship Id="rId49" Type="http://schemas.openxmlformats.org/officeDocument/2006/relationships/ctrlProp" Target="../ctrlProps/ctrlProp297.xml"/><Relationship Id="rId57" Type="http://schemas.openxmlformats.org/officeDocument/2006/relationships/ctrlProp" Target="../ctrlProps/ctrlProp305.xml"/><Relationship Id="rId106" Type="http://schemas.openxmlformats.org/officeDocument/2006/relationships/ctrlProp" Target="../ctrlProps/ctrlProp354.xml"/><Relationship Id="rId114" Type="http://schemas.openxmlformats.org/officeDocument/2006/relationships/comments" Target="../comments3.xml"/><Relationship Id="rId10" Type="http://schemas.openxmlformats.org/officeDocument/2006/relationships/ctrlProp" Target="../ctrlProps/ctrlProp258.xml"/><Relationship Id="rId31" Type="http://schemas.openxmlformats.org/officeDocument/2006/relationships/ctrlProp" Target="../ctrlProps/ctrlProp279.xml"/><Relationship Id="rId44" Type="http://schemas.openxmlformats.org/officeDocument/2006/relationships/ctrlProp" Target="../ctrlProps/ctrlProp292.xml"/><Relationship Id="rId52" Type="http://schemas.openxmlformats.org/officeDocument/2006/relationships/ctrlProp" Target="../ctrlProps/ctrlProp300.xml"/><Relationship Id="rId60" Type="http://schemas.openxmlformats.org/officeDocument/2006/relationships/ctrlProp" Target="../ctrlProps/ctrlProp308.xml"/><Relationship Id="rId65" Type="http://schemas.openxmlformats.org/officeDocument/2006/relationships/ctrlProp" Target="../ctrlProps/ctrlProp313.xml"/><Relationship Id="rId73" Type="http://schemas.openxmlformats.org/officeDocument/2006/relationships/ctrlProp" Target="../ctrlProps/ctrlProp321.xml"/><Relationship Id="rId78" Type="http://schemas.openxmlformats.org/officeDocument/2006/relationships/ctrlProp" Target="../ctrlProps/ctrlProp326.xml"/><Relationship Id="rId81" Type="http://schemas.openxmlformats.org/officeDocument/2006/relationships/ctrlProp" Target="../ctrlProps/ctrlProp329.xml"/><Relationship Id="rId86" Type="http://schemas.openxmlformats.org/officeDocument/2006/relationships/ctrlProp" Target="../ctrlProps/ctrlProp334.xml"/><Relationship Id="rId94" Type="http://schemas.openxmlformats.org/officeDocument/2006/relationships/ctrlProp" Target="../ctrlProps/ctrlProp342.xml"/><Relationship Id="rId99" Type="http://schemas.openxmlformats.org/officeDocument/2006/relationships/ctrlProp" Target="../ctrlProps/ctrlProp347.xml"/><Relationship Id="rId101" Type="http://schemas.openxmlformats.org/officeDocument/2006/relationships/ctrlProp" Target="../ctrlProps/ctrlProp349.xml"/><Relationship Id="rId4" Type="http://schemas.openxmlformats.org/officeDocument/2006/relationships/ctrlProp" Target="../ctrlProps/ctrlProp252.xml"/><Relationship Id="rId9" Type="http://schemas.openxmlformats.org/officeDocument/2006/relationships/ctrlProp" Target="../ctrlProps/ctrlProp257.xml"/><Relationship Id="rId13" Type="http://schemas.openxmlformats.org/officeDocument/2006/relationships/ctrlProp" Target="../ctrlProps/ctrlProp261.xml"/><Relationship Id="rId18" Type="http://schemas.openxmlformats.org/officeDocument/2006/relationships/ctrlProp" Target="../ctrlProps/ctrlProp266.xml"/><Relationship Id="rId39" Type="http://schemas.openxmlformats.org/officeDocument/2006/relationships/ctrlProp" Target="../ctrlProps/ctrlProp287.xml"/><Relationship Id="rId109" Type="http://schemas.openxmlformats.org/officeDocument/2006/relationships/ctrlProp" Target="../ctrlProps/ctrlProp357.xml"/><Relationship Id="rId34" Type="http://schemas.openxmlformats.org/officeDocument/2006/relationships/ctrlProp" Target="../ctrlProps/ctrlProp282.xml"/><Relationship Id="rId50" Type="http://schemas.openxmlformats.org/officeDocument/2006/relationships/ctrlProp" Target="../ctrlProps/ctrlProp298.xml"/><Relationship Id="rId55" Type="http://schemas.openxmlformats.org/officeDocument/2006/relationships/ctrlProp" Target="../ctrlProps/ctrlProp303.xml"/><Relationship Id="rId76" Type="http://schemas.openxmlformats.org/officeDocument/2006/relationships/ctrlProp" Target="../ctrlProps/ctrlProp324.xml"/><Relationship Id="rId97" Type="http://schemas.openxmlformats.org/officeDocument/2006/relationships/ctrlProp" Target="../ctrlProps/ctrlProp345.xml"/><Relationship Id="rId104" Type="http://schemas.openxmlformats.org/officeDocument/2006/relationships/ctrlProp" Target="../ctrlProps/ctrlProp352.xml"/><Relationship Id="rId7" Type="http://schemas.openxmlformats.org/officeDocument/2006/relationships/ctrlProp" Target="../ctrlProps/ctrlProp255.xml"/><Relationship Id="rId71" Type="http://schemas.openxmlformats.org/officeDocument/2006/relationships/ctrlProp" Target="../ctrlProps/ctrlProp319.xml"/><Relationship Id="rId92" Type="http://schemas.openxmlformats.org/officeDocument/2006/relationships/ctrlProp" Target="../ctrlProps/ctrlProp340.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385.xml"/><Relationship Id="rId117" Type="http://schemas.openxmlformats.org/officeDocument/2006/relationships/ctrlProp" Target="../ctrlProps/ctrlProp476.xml"/><Relationship Id="rId21" Type="http://schemas.openxmlformats.org/officeDocument/2006/relationships/ctrlProp" Target="../ctrlProps/ctrlProp380.xml"/><Relationship Id="rId42" Type="http://schemas.openxmlformats.org/officeDocument/2006/relationships/ctrlProp" Target="../ctrlProps/ctrlProp401.xml"/><Relationship Id="rId47" Type="http://schemas.openxmlformats.org/officeDocument/2006/relationships/ctrlProp" Target="../ctrlProps/ctrlProp406.xml"/><Relationship Id="rId63" Type="http://schemas.openxmlformats.org/officeDocument/2006/relationships/ctrlProp" Target="../ctrlProps/ctrlProp422.xml"/><Relationship Id="rId68" Type="http://schemas.openxmlformats.org/officeDocument/2006/relationships/ctrlProp" Target="../ctrlProps/ctrlProp427.xml"/><Relationship Id="rId84" Type="http://schemas.openxmlformats.org/officeDocument/2006/relationships/ctrlProp" Target="../ctrlProps/ctrlProp443.xml"/><Relationship Id="rId89" Type="http://schemas.openxmlformats.org/officeDocument/2006/relationships/ctrlProp" Target="../ctrlProps/ctrlProp448.xml"/><Relationship Id="rId112" Type="http://schemas.openxmlformats.org/officeDocument/2006/relationships/ctrlProp" Target="../ctrlProps/ctrlProp471.xml"/><Relationship Id="rId133" Type="http://schemas.openxmlformats.org/officeDocument/2006/relationships/ctrlProp" Target="../ctrlProps/ctrlProp492.xml"/><Relationship Id="rId138" Type="http://schemas.openxmlformats.org/officeDocument/2006/relationships/ctrlProp" Target="../ctrlProps/ctrlProp497.xml"/><Relationship Id="rId16" Type="http://schemas.openxmlformats.org/officeDocument/2006/relationships/ctrlProp" Target="../ctrlProps/ctrlProp375.xml"/><Relationship Id="rId107" Type="http://schemas.openxmlformats.org/officeDocument/2006/relationships/ctrlProp" Target="../ctrlProps/ctrlProp466.xml"/><Relationship Id="rId11" Type="http://schemas.openxmlformats.org/officeDocument/2006/relationships/ctrlProp" Target="../ctrlProps/ctrlProp370.xml"/><Relationship Id="rId32" Type="http://schemas.openxmlformats.org/officeDocument/2006/relationships/ctrlProp" Target="../ctrlProps/ctrlProp391.xml"/><Relationship Id="rId37" Type="http://schemas.openxmlformats.org/officeDocument/2006/relationships/ctrlProp" Target="../ctrlProps/ctrlProp396.xml"/><Relationship Id="rId53" Type="http://schemas.openxmlformats.org/officeDocument/2006/relationships/ctrlProp" Target="../ctrlProps/ctrlProp412.xml"/><Relationship Id="rId58" Type="http://schemas.openxmlformats.org/officeDocument/2006/relationships/ctrlProp" Target="../ctrlProps/ctrlProp417.xml"/><Relationship Id="rId74" Type="http://schemas.openxmlformats.org/officeDocument/2006/relationships/ctrlProp" Target="../ctrlProps/ctrlProp433.xml"/><Relationship Id="rId79" Type="http://schemas.openxmlformats.org/officeDocument/2006/relationships/ctrlProp" Target="../ctrlProps/ctrlProp438.xml"/><Relationship Id="rId102" Type="http://schemas.openxmlformats.org/officeDocument/2006/relationships/ctrlProp" Target="../ctrlProps/ctrlProp461.xml"/><Relationship Id="rId123" Type="http://schemas.openxmlformats.org/officeDocument/2006/relationships/ctrlProp" Target="../ctrlProps/ctrlProp482.xml"/><Relationship Id="rId128" Type="http://schemas.openxmlformats.org/officeDocument/2006/relationships/ctrlProp" Target="../ctrlProps/ctrlProp487.xml"/><Relationship Id="rId5" Type="http://schemas.openxmlformats.org/officeDocument/2006/relationships/ctrlProp" Target="../ctrlProps/ctrlProp364.xml"/><Relationship Id="rId90" Type="http://schemas.openxmlformats.org/officeDocument/2006/relationships/ctrlProp" Target="../ctrlProps/ctrlProp449.xml"/><Relationship Id="rId95" Type="http://schemas.openxmlformats.org/officeDocument/2006/relationships/ctrlProp" Target="../ctrlProps/ctrlProp454.xml"/><Relationship Id="rId22" Type="http://schemas.openxmlformats.org/officeDocument/2006/relationships/ctrlProp" Target="../ctrlProps/ctrlProp381.xml"/><Relationship Id="rId27" Type="http://schemas.openxmlformats.org/officeDocument/2006/relationships/ctrlProp" Target="../ctrlProps/ctrlProp386.xml"/><Relationship Id="rId43" Type="http://schemas.openxmlformats.org/officeDocument/2006/relationships/ctrlProp" Target="../ctrlProps/ctrlProp402.xml"/><Relationship Id="rId48" Type="http://schemas.openxmlformats.org/officeDocument/2006/relationships/ctrlProp" Target="../ctrlProps/ctrlProp407.xml"/><Relationship Id="rId64" Type="http://schemas.openxmlformats.org/officeDocument/2006/relationships/ctrlProp" Target="../ctrlProps/ctrlProp423.xml"/><Relationship Id="rId69" Type="http://schemas.openxmlformats.org/officeDocument/2006/relationships/ctrlProp" Target="../ctrlProps/ctrlProp428.xml"/><Relationship Id="rId113" Type="http://schemas.openxmlformats.org/officeDocument/2006/relationships/ctrlProp" Target="../ctrlProps/ctrlProp472.xml"/><Relationship Id="rId118" Type="http://schemas.openxmlformats.org/officeDocument/2006/relationships/ctrlProp" Target="../ctrlProps/ctrlProp477.xml"/><Relationship Id="rId134" Type="http://schemas.openxmlformats.org/officeDocument/2006/relationships/ctrlProp" Target="../ctrlProps/ctrlProp493.xml"/><Relationship Id="rId139" Type="http://schemas.openxmlformats.org/officeDocument/2006/relationships/ctrlProp" Target="../ctrlProps/ctrlProp498.xml"/><Relationship Id="rId8" Type="http://schemas.openxmlformats.org/officeDocument/2006/relationships/ctrlProp" Target="../ctrlProps/ctrlProp367.xml"/><Relationship Id="rId51" Type="http://schemas.openxmlformats.org/officeDocument/2006/relationships/ctrlProp" Target="../ctrlProps/ctrlProp410.xml"/><Relationship Id="rId72" Type="http://schemas.openxmlformats.org/officeDocument/2006/relationships/ctrlProp" Target="../ctrlProps/ctrlProp431.xml"/><Relationship Id="rId80" Type="http://schemas.openxmlformats.org/officeDocument/2006/relationships/ctrlProp" Target="../ctrlProps/ctrlProp439.xml"/><Relationship Id="rId85" Type="http://schemas.openxmlformats.org/officeDocument/2006/relationships/ctrlProp" Target="../ctrlProps/ctrlProp444.xml"/><Relationship Id="rId93" Type="http://schemas.openxmlformats.org/officeDocument/2006/relationships/ctrlProp" Target="../ctrlProps/ctrlProp452.xml"/><Relationship Id="rId98" Type="http://schemas.openxmlformats.org/officeDocument/2006/relationships/ctrlProp" Target="../ctrlProps/ctrlProp457.xml"/><Relationship Id="rId121" Type="http://schemas.openxmlformats.org/officeDocument/2006/relationships/ctrlProp" Target="../ctrlProps/ctrlProp480.xml"/><Relationship Id="rId3" Type="http://schemas.openxmlformats.org/officeDocument/2006/relationships/ctrlProp" Target="../ctrlProps/ctrlProp362.xml"/><Relationship Id="rId12" Type="http://schemas.openxmlformats.org/officeDocument/2006/relationships/ctrlProp" Target="../ctrlProps/ctrlProp371.xml"/><Relationship Id="rId17" Type="http://schemas.openxmlformats.org/officeDocument/2006/relationships/ctrlProp" Target="../ctrlProps/ctrlProp376.xml"/><Relationship Id="rId25" Type="http://schemas.openxmlformats.org/officeDocument/2006/relationships/ctrlProp" Target="../ctrlProps/ctrlProp384.xml"/><Relationship Id="rId33" Type="http://schemas.openxmlformats.org/officeDocument/2006/relationships/ctrlProp" Target="../ctrlProps/ctrlProp392.xml"/><Relationship Id="rId38" Type="http://schemas.openxmlformats.org/officeDocument/2006/relationships/ctrlProp" Target="../ctrlProps/ctrlProp397.xml"/><Relationship Id="rId46" Type="http://schemas.openxmlformats.org/officeDocument/2006/relationships/ctrlProp" Target="../ctrlProps/ctrlProp405.xml"/><Relationship Id="rId59" Type="http://schemas.openxmlformats.org/officeDocument/2006/relationships/ctrlProp" Target="../ctrlProps/ctrlProp418.xml"/><Relationship Id="rId67" Type="http://schemas.openxmlformats.org/officeDocument/2006/relationships/ctrlProp" Target="../ctrlProps/ctrlProp426.xml"/><Relationship Id="rId103" Type="http://schemas.openxmlformats.org/officeDocument/2006/relationships/ctrlProp" Target="../ctrlProps/ctrlProp462.xml"/><Relationship Id="rId108" Type="http://schemas.openxmlformats.org/officeDocument/2006/relationships/ctrlProp" Target="../ctrlProps/ctrlProp467.xml"/><Relationship Id="rId116" Type="http://schemas.openxmlformats.org/officeDocument/2006/relationships/ctrlProp" Target="../ctrlProps/ctrlProp475.xml"/><Relationship Id="rId124" Type="http://schemas.openxmlformats.org/officeDocument/2006/relationships/ctrlProp" Target="../ctrlProps/ctrlProp483.xml"/><Relationship Id="rId129" Type="http://schemas.openxmlformats.org/officeDocument/2006/relationships/ctrlProp" Target="../ctrlProps/ctrlProp488.xml"/><Relationship Id="rId137" Type="http://schemas.openxmlformats.org/officeDocument/2006/relationships/ctrlProp" Target="../ctrlProps/ctrlProp496.xml"/><Relationship Id="rId20" Type="http://schemas.openxmlformats.org/officeDocument/2006/relationships/ctrlProp" Target="../ctrlProps/ctrlProp379.xml"/><Relationship Id="rId41" Type="http://schemas.openxmlformats.org/officeDocument/2006/relationships/ctrlProp" Target="../ctrlProps/ctrlProp400.xml"/><Relationship Id="rId54" Type="http://schemas.openxmlformats.org/officeDocument/2006/relationships/ctrlProp" Target="../ctrlProps/ctrlProp413.xml"/><Relationship Id="rId62" Type="http://schemas.openxmlformats.org/officeDocument/2006/relationships/ctrlProp" Target="../ctrlProps/ctrlProp421.xml"/><Relationship Id="rId70" Type="http://schemas.openxmlformats.org/officeDocument/2006/relationships/ctrlProp" Target="../ctrlProps/ctrlProp429.xml"/><Relationship Id="rId75" Type="http://schemas.openxmlformats.org/officeDocument/2006/relationships/ctrlProp" Target="../ctrlProps/ctrlProp434.xml"/><Relationship Id="rId83" Type="http://schemas.openxmlformats.org/officeDocument/2006/relationships/ctrlProp" Target="../ctrlProps/ctrlProp442.xml"/><Relationship Id="rId88" Type="http://schemas.openxmlformats.org/officeDocument/2006/relationships/ctrlProp" Target="../ctrlProps/ctrlProp447.xml"/><Relationship Id="rId91" Type="http://schemas.openxmlformats.org/officeDocument/2006/relationships/ctrlProp" Target="../ctrlProps/ctrlProp450.xml"/><Relationship Id="rId96" Type="http://schemas.openxmlformats.org/officeDocument/2006/relationships/ctrlProp" Target="../ctrlProps/ctrlProp455.xml"/><Relationship Id="rId111" Type="http://schemas.openxmlformats.org/officeDocument/2006/relationships/ctrlProp" Target="../ctrlProps/ctrlProp470.xml"/><Relationship Id="rId132" Type="http://schemas.openxmlformats.org/officeDocument/2006/relationships/ctrlProp" Target="../ctrlProps/ctrlProp491.xml"/><Relationship Id="rId140" Type="http://schemas.openxmlformats.org/officeDocument/2006/relationships/ctrlProp" Target="../ctrlProps/ctrlProp499.xml"/><Relationship Id="rId1" Type="http://schemas.openxmlformats.org/officeDocument/2006/relationships/drawing" Target="../drawings/drawing6.xml"/><Relationship Id="rId6" Type="http://schemas.openxmlformats.org/officeDocument/2006/relationships/ctrlProp" Target="../ctrlProps/ctrlProp365.xml"/><Relationship Id="rId15" Type="http://schemas.openxmlformats.org/officeDocument/2006/relationships/ctrlProp" Target="../ctrlProps/ctrlProp374.xml"/><Relationship Id="rId23" Type="http://schemas.openxmlformats.org/officeDocument/2006/relationships/ctrlProp" Target="../ctrlProps/ctrlProp382.xml"/><Relationship Id="rId28" Type="http://schemas.openxmlformats.org/officeDocument/2006/relationships/ctrlProp" Target="../ctrlProps/ctrlProp387.xml"/><Relationship Id="rId36" Type="http://schemas.openxmlformats.org/officeDocument/2006/relationships/ctrlProp" Target="../ctrlProps/ctrlProp395.xml"/><Relationship Id="rId49" Type="http://schemas.openxmlformats.org/officeDocument/2006/relationships/ctrlProp" Target="../ctrlProps/ctrlProp408.xml"/><Relationship Id="rId57" Type="http://schemas.openxmlformats.org/officeDocument/2006/relationships/ctrlProp" Target="../ctrlProps/ctrlProp416.xml"/><Relationship Id="rId106" Type="http://schemas.openxmlformats.org/officeDocument/2006/relationships/ctrlProp" Target="../ctrlProps/ctrlProp465.xml"/><Relationship Id="rId114" Type="http://schemas.openxmlformats.org/officeDocument/2006/relationships/ctrlProp" Target="../ctrlProps/ctrlProp473.xml"/><Relationship Id="rId119" Type="http://schemas.openxmlformats.org/officeDocument/2006/relationships/ctrlProp" Target="../ctrlProps/ctrlProp478.xml"/><Relationship Id="rId127" Type="http://schemas.openxmlformats.org/officeDocument/2006/relationships/ctrlProp" Target="../ctrlProps/ctrlProp486.xml"/><Relationship Id="rId10" Type="http://schemas.openxmlformats.org/officeDocument/2006/relationships/ctrlProp" Target="../ctrlProps/ctrlProp369.xml"/><Relationship Id="rId31" Type="http://schemas.openxmlformats.org/officeDocument/2006/relationships/ctrlProp" Target="../ctrlProps/ctrlProp390.xml"/><Relationship Id="rId44" Type="http://schemas.openxmlformats.org/officeDocument/2006/relationships/ctrlProp" Target="../ctrlProps/ctrlProp403.xml"/><Relationship Id="rId52" Type="http://schemas.openxmlformats.org/officeDocument/2006/relationships/ctrlProp" Target="../ctrlProps/ctrlProp411.xml"/><Relationship Id="rId60" Type="http://schemas.openxmlformats.org/officeDocument/2006/relationships/ctrlProp" Target="../ctrlProps/ctrlProp419.xml"/><Relationship Id="rId65" Type="http://schemas.openxmlformats.org/officeDocument/2006/relationships/ctrlProp" Target="../ctrlProps/ctrlProp424.xml"/><Relationship Id="rId73" Type="http://schemas.openxmlformats.org/officeDocument/2006/relationships/ctrlProp" Target="../ctrlProps/ctrlProp432.xml"/><Relationship Id="rId78" Type="http://schemas.openxmlformats.org/officeDocument/2006/relationships/ctrlProp" Target="../ctrlProps/ctrlProp437.xml"/><Relationship Id="rId81" Type="http://schemas.openxmlformats.org/officeDocument/2006/relationships/ctrlProp" Target="../ctrlProps/ctrlProp440.xml"/><Relationship Id="rId86" Type="http://schemas.openxmlformats.org/officeDocument/2006/relationships/ctrlProp" Target="../ctrlProps/ctrlProp445.xml"/><Relationship Id="rId94" Type="http://schemas.openxmlformats.org/officeDocument/2006/relationships/ctrlProp" Target="../ctrlProps/ctrlProp453.xml"/><Relationship Id="rId99" Type="http://schemas.openxmlformats.org/officeDocument/2006/relationships/ctrlProp" Target="../ctrlProps/ctrlProp458.xml"/><Relationship Id="rId101" Type="http://schemas.openxmlformats.org/officeDocument/2006/relationships/ctrlProp" Target="../ctrlProps/ctrlProp460.xml"/><Relationship Id="rId122" Type="http://schemas.openxmlformats.org/officeDocument/2006/relationships/ctrlProp" Target="../ctrlProps/ctrlProp481.xml"/><Relationship Id="rId130" Type="http://schemas.openxmlformats.org/officeDocument/2006/relationships/ctrlProp" Target="../ctrlProps/ctrlProp489.xml"/><Relationship Id="rId135" Type="http://schemas.openxmlformats.org/officeDocument/2006/relationships/ctrlProp" Target="../ctrlProps/ctrlProp494.xml"/><Relationship Id="rId4" Type="http://schemas.openxmlformats.org/officeDocument/2006/relationships/ctrlProp" Target="../ctrlProps/ctrlProp363.xml"/><Relationship Id="rId9" Type="http://schemas.openxmlformats.org/officeDocument/2006/relationships/ctrlProp" Target="../ctrlProps/ctrlProp368.xml"/><Relationship Id="rId13" Type="http://schemas.openxmlformats.org/officeDocument/2006/relationships/ctrlProp" Target="../ctrlProps/ctrlProp372.xml"/><Relationship Id="rId18" Type="http://schemas.openxmlformats.org/officeDocument/2006/relationships/ctrlProp" Target="../ctrlProps/ctrlProp377.xml"/><Relationship Id="rId39" Type="http://schemas.openxmlformats.org/officeDocument/2006/relationships/ctrlProp" Target="../ctrlProps/ctrlProp398.xml"/><Relationship Id="rId109" Type="http://schemas.openxmlformats.org/officeDocument/2006/relationships/ctrlProp" Target="../ctrlProps/ctrlProp468.xml"/><Relationship Id="rId34" Type="http://schemas.openxmlformats.org/officeDocument/2006/relationships/ctrlProp" Target="../ctrlProps/ctrlProp393.xml"/><Relationship Id="rId50" Type="http://schemas.openxmlformats.org/officeDocument/2006/relationships/ctrlProp" Target="../ctrlProps/ctrlProp409.xml"/><Relationship Id="rId55" Type="http://schemas.openxmlformats.org/officeDocument/2006/relationships/ctrlProp" Target="../ctrlProps/ctrlProp414.xml"/><Relationship Id="rId76" Type="http://schemas.openxmlformats.org/officeDocument/2006/relationships/ctrlProp" Target="../ctrlProps/ctrlProp435.xml"/><Relationship Id="rId97" Type="http://schemas.openxmlformats.org/officeDocument/2006/relationships/ctrlProp" Target="../ctrlProps/ctrlProp456.xml"/><Relationship Id="rId104" Type="http://schemas.openxmlformats.org/officeDocument/2006/relationships/ctrlProp" Target="../ctrlProps/ctrlProp463.xml"/><Relationship Id="rId120" Type="http://schemas.openxmlformats.org/officeDocument/2006/relationships/ctrlProp" Target="../ctrlProps/ctrlProp479.xml"/><Relationship Id="rId125" Type="http://schemas.openxmlformats.org/officeDocument/2006/relationships/ctrlProp" Target="../ctrlProps/ctrlProp484.xml"/><Relationship Id="rId7" Type="http://schemas.openxmlformats.org/officeDocument/2006/relationships/ctrlProp" Target="../ctrlProps/ctrlProp366.xml"/><Relationship Id="rId71" Type="http://schemas.openxmlformats.org/officeDocument/2006/relationships/ctrlProp" Target="../ctrlProps/ctrlProp430.xml"/><Relationship Id="rId92" Type="http://schemas.openxmlformats.org/officeDocument/2006/relationships/ctrlProp" Target="../ctrlProps/ctrlProp451.xml"/><Relationship Id="rId2" Type="http://schemas.openxmlformats.org/officeDocument/2006/relationships/vmlDrawing" Target="../drawings/vmlDrawing6.vml"/><Relationship Id="rId29" Type="http://schemas.openxmlformats.org/officeDocument/2006/relationships/ctrlProp" Target="../ctrlProps/ctrlProp388.xml"/><Relationship Id="rId24" Type="http://schemas.openxmlformats.org/officeDocument/2006/relationships/ctrlProp" Target="../ctrlProps/ctrlProp383.xml"/><Relationship Id="rId40" Type="http://schemas.openxmlformats.org/officeDocument/2006/relationships/ctrlProp" Target="../ctrlProps/ctrlProp399.xml"/><Relationship Id="rId45" Type="http://schemas.openxmlformats.org/officeDocument/2006/relationships/ctrlProp" Target="../ctrlProps/ctrlProp404.xml"/><Relationship Id="rId66" Type="http://schemas.openxmlformats.org/officeDocument/2006/relationships/ctrlProp" Target="../ctrlProps/ctrlProp425.xml"/><Relationship Id="rId87" Type="http://schemas.openxmlformats.org/officeDocument/2006/relationships/ctrlProp" Target="../ctrlProps/ctrlProp446.xml"/><Relationship Id="rId110" Type="http://schemas.openxmlformats.org/officeDocument/2006/relationships/ctrlProp" Target="../ctrlProps/ctrlProp469.xml"/><Relationship Id="rId115" Type="http://schemas.openxmlformats.org/officeDocument/2006/relationships/ctrlProp" Target="../ctrlProps/ctrlProp474.xml"/><Relationship Id="rId131" Type="http://schemas.openxmlformats.org/officeDocument/2006/relationships/ctrlProp" Target="../ctrlProps/ctrlProp490.xml"/><Relationship Id="rId136" Type="http://schemas.openxmlformats.org/officeDocument/2006/relationships/ctrlProp" Target="../ctrlProps/ctrlProp495.xml"/><Relationship Id="rId61" Type="http://schemas.openxmlformats.org/officeDocument/2006/relationships/ctrlProp" Target="../ctrlProps/ctrlProp420.xml"/><Relationship Id="rId82" Type="http://schemas.openxmlformats.org/officeDocument/2006/relationships/ctrlProp" Target="../ctrlProps/ctrlProp441.xml"/><Relationship Id="rId19" Type="http://schemas.openxmlformats.org/officeDocument/2006/relationships/ctrlProp" Target="../ctrlProps/ctrlProp378.xml"/><Relationship Id="rId14" Type="http://schemas.openxmlformats.org/officeDocument/2006/relationships/ctrlProp" Target="../ctrlProps/ctrlProp373.xml"/><Relationship Id="rId30" Type="http://schemas.openxmlformats.org/officeDocument/2006/relationships/ctrlProp" Target="../ctrlProps/ctrlProp389.xml"/><Relationship Id="rId35" Type="http://schemas.openxmlformats.org/officeDocument/2006/relationships/ctrlProp" Target="../ctrlProps/ctrlProp394.xml"/><Relationship Id="rId56" Type="http://schemas.openxmlformats.org/officeDocument/2006/relationships/ctrlProp" Target="../ctrlProps/ctrlProp415.xml"/><Relationship Id="rId77" Type="http://schemas.openxmlformats.org/officeDocument/2006/relationships/ctrlProp" Target="../ctrlProps/ctrlProp436.xml"/><Relationship Id="rId100" Type="http://schemas.openxmlformats.org/officeDocument/2006/relationships/ctrlProp" Target="../ctrlProps/ctrlProp459.xml"/><Relationship Id="rId105" Type="http://schemas.openxmlformats.org/officeDocument/2006/relationships/ctrlProp" Target="../ctrlProps/ctrlProp464.xml"/><Relationship Id="rId126" Type="http://schemas.openxmlformats.org/officeDocument/2006/relationships/ctrlProp" Target="../ctrlProps/ctrlProp48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3" Type="http://schemas.openxmlformats.org/officeDocument/2006/relationships/ctrlProp" Target="../ctrlProps/ctrlProp509.xml"/><Relationship Id="rId18" Type="http://schemas.openxmlformats.org/officeDocument/2006/relationships/ctrlProp" Target="../ctrlProps/ctrlProp514.xml"/><Relationship Id="rId26" Type="http://schemas.openxmlformats.org/officeDocument/2006/relationships/ctrlProp" Target="../ctrlProps/ctrlProp522.xml"/><Relationship Id="rId39" Type="http://schemas.openxmlformats.org/officeDocument/2006/relationships/ctrlProp" Target="../ctrlProps/ctrlProp535.xml"/><Relationship Id="rId21" Type="http://schemas.openxmlformats.org/officeDocument/2006/relationships/ctrlProp" Target="../ctrlProps/ctrlProp517.xml"/><Relationship Id="rId34" Type="http://schemas.openxmlformats.org/officeDocument/2006/relationships/ctrlProp" Target="../ctrlProps/ctrlProp530.xml"/><Relationship Id="rId42" Type="http://schemas.openxmlformats.org/officeDocument/2006/relationships/ctrlProp" Target="../ctrlProps/ctrlProp538.xml"/><Relationship Id="rId47" Type="http://schemas.openxmlformats.org/officeDocument/2006/relationships/ctrlProp" Target="../ctrlProps/ctrlProp543.xml"/><Relationship Id="rId50" Type="http://schemas.openxmlformats.org/officeDocument/2006/relationships/ctrlProp" Target="../ctrlProps/ctrlProp546.xml"/><Relationship Id="rId55" Type="http://schemas.openxmlformats.org/officeDocument/2006/relationships/ctrlProp" Target="../ctrlProps/ctrlProp551.xml"/><Relationship Id="rId63" Type="http://schemas.openxmlformats.org/officeDocument/2006/relationships/ctrlProp" Target="../ctrlProps/ctrlProp559.xml"/><Relationship Id="rId68" Type="http://schemas.openxmlformats.org/officeDocument/2006/relationships/ctrlProp" Target="../ctrlProps/ctrlProp564.xml"/><Relationship Id="rId7" Type="http://schemas.openxmlformats.org/officeDocument/2006/relationships/ctrlProp" Target="../ctrlProps/ctrlProp503.xml"/><Relationship Id="rId2" Type="http://schemas.openxmlformats.org/officeDocument/2006/relationships/drawing" Target="../drawings/drawing8.xml"/><Relationship Id="rId16" Type="http://schemas.openxmlformats.org/officeDocument/2006/relationships/ctrlProp" Target="../ctrlProps/ctrlProp512.xml"/><Relationship Id="rId29" Type="http://schemas.openxmlformats.org/officeDocument/2006/relationships/ctrlProp" Target="../ctrlProps/ctrlProp525.xml"/><Relationship Id="rId1" Type="http://schemas.openxmlformats.org/officeDocument/2006/relationships/printerSettings" Target="../printerSettings/printerSettings6.bin"/><Relationship Id="rId6" Type="http://schemas.openxmlformats.org/officeDocument/2006/relationships/ctrlProp" Target="../ctrlProps/ctrlProp502.xml"/><Relationship Id="rId11" Type="http://schemas.openxmlformats.org/officeDocument/2006/relationships/ctrlProp" Target="../ctrlProps/ctrlProp507.xml"/><Relationship Id="rId24" Type="http://schemas.openxmlformats.org/officeDocument/2006/relationships/ctrlProp" Target="../ctrlProps/ctrlProp520.xml"/><Relationship Id="rId32" Type="http://schemas.openxmlformats.org/officeDocument/2006/relationships/ctrlProp" Target="../ctrlProps/ctrlProp528.xml"/><Relationship Id="rId37" Type="http://schemas.openxmlformats.org/officeDocument/2006/relationships/ctrlProp" Target="../ctrlProps/ctrlProp533.xml"/><Relationship Id="rId40" Type="http://schemas.openxmlformats.org/officeDocument/2006/relationships/ctrlProp" Target="../ctrlProps/ctrlProp536.xml"/><Relationship Id="rId45" Type="http://schemas.openxmlformats.org/officeDocument/2006/relationships/ctrlProp" Target="../ctrlProps/ctrlProp541.xml"/><Relationship Id="rId53" Type="http://schemas.openxmlformats.org/officeDocument/2006/relationships/ctrlProp" Target="../ctrlProps/ctrlProp549.xml"/><Relationship Id="rId58" Type="http://schemas.openxmlformats.org/officeDocument/2006/relationships/ctrlProp" Target="../ctrlProps/ctrlProp554.xml"/><Relationship Id="rId66" Type="http://schemas.openxmlformats.org/officeDocument/2006/relationships/ctrlProp" Target="../ctrlProps/ctrlProp562.xml"/><Relationship Id="rId5" Type="http://schemas.openxmlformats.org/officeDocument/2006/relationships/ctrlProp" Target="../ctrlProps/ctrlProp501.xml"/><Relationship Id="rId15" Type="http://schemas.openxmlformats.org/officeDocument/2006/relationships/ctrlProp" Target="../ctrlProps/ctrlProp511.xml"/><Relationship Id="rId23" Type="http://schemas.openxmlformats.org/officeDocument/2006/relationships/ctrlProp" Target="../ctrlProps/ctrlProp519.xml"/><Relationship Id="rId28" Type="http://schemas.openxmlformats.org/officeDocument/2006/relationships/ctrlProp" Target="../ctrlProps/ctrlProp524.xml"/><Relationship Id="rId36" Type="http://schemas.openxmlformats.org/officeDocument/2006/relationships/ctrlProp" Target="../ctrlProps/ctrlProp532.xml"/><Relationship Id="rId49" Type="http://schemas.openxmlformats.org/officeDocument/2006/relationships/ctrlProp" Target="../ctrlProps/ctrlProp545.xml"/><Relationship Id="rId57" Type="http://schemas.openxmlformats.org/officeDocument/2006/relationships/ctrlProp" Target="../ctrlProps/ctrlProp553.xml"/><Relationship Id="rId61" Type="http://schemas.openxmlformats.org/officeDocument/2006/relationships/ctrlProp" Target="../ctrlProps/ctrlProp557.xml"/><Relationship Id="rId10" Type="http://schemas.openxmlformats.org/officeDocument/2006/relationships/ctrlProp" Target="../ctrlProps/ctrlProp506.xml"/><Relationship Id="rId19" Type="http://schemas.openxmlformats.org/officeDocument/2006/relationships/ctrlProp" Target="../ctrlProps/ctrlProp515.xml"/><Relationship Id="rId31" Type="http://schemas.openxmlformats.org/officeDocument/2006/relationships/ctrlProp" Target="../ctrlProps/ctrlProp527.xml"/><Relationship Id="rId44" Type="http://schemas.openxmlformats.org/officeDocument/2006/relationships/ctrlProp" Target="../ctrlProps/ctrlProp540.xml"/><Relationship Id="rId52" Type="http://schemas.openxmlformats.org/officeDocument/2006/relationships/ctrlProp" Target="../ctrlProps/ctrlProp548.xml"/><Relationship Id="rId60" Type="http://schemas.openxmlformats.org/officeDocument/2006/relationships/ctrlProp" Target="../ctrlProps/ctrlProp556.xml"/><Relationship Id="rId65" Type="http://schemas.openxmlformats.org/officeDocument/2006/relationships/ctrlProp" Target="../ctrlProps/ctrlProp561.xml"/><Relationship Id="rId4" Type="http://schemas.openxmlformats.org/officeDocument/2006/relationships/ctrlProp" Target="../ctrlProps/ctrlProp500.xml"/><Relationship Id="rId9" Type="http://schemas.openxmlformats.org/officeDocument/2006/relationships/ctrlProp" Target="../ctrlProps/ctrlProp505.xml"/><Relationship Id="rId14" Type="http://schemas.openxmlformats.org/officeDocument/2006/relationships/ctrlProp" Target="../ctrlProps/ctrlProp510.xml"/><Relationship Id="rId22" Type="http://schemas.openxmlformats.org/officeDocument/2006/relationships/ctrlProp" Target="../ctrlProps/ctrlProp518.xml"/><Relationship Id="rId27" Type="http://schemas.openxmlformats.org/officeDocument/2006/relationships/ctrlProp" Target="../ctrlProps/ctrlProp523.xml"/><Relationship Id="rId30" Type="http://schemas.openxmlformats.org/officeDocument/2006/relationships/ctrlProp" Target="../ctrlProps/ctrlProp526.xml"/><Relationship Id="rId35" Type="http://schemas.openxmlformats.org/officeDocument/2006/relationships/ctrlProp" Target="../ctrlProps/ctrlProp531.xml"/><Relationship Id="rId43" Type="http://schemas.openxmlformats.org/officeDocument/2006/relationships/ctrlProp" Target="../ctrlProps/ctrlProp539.xml"/><Relationship Id="rId48" Type="http://schemas.openxmlformats.org/officeDocument/2006/relationships/ctrlProp" Target="../ctrlProps/ctrlProp544.xml"/><Relationship Id="rId56" Type="http://schemas.openxmlformats.org/officeDocument/2006/relationships/ctrlProp" Target="../ctrlProps/ctrlProp552.xml"/><Relationship Id="rId64" Type="http://schemas.openxmlformats.org/officeDocument/2006/relationships/ctrlProp" Target="../ctrlProps/ctrlProp560.xml"/><Relationship Id="rId69" Type="http://schemas.openxmlformats.org/officeDocument/2006/relationships/comments" Target="../comments5.xml"/><Relationship Id="rId8" Type="http://schemas.openxmlformats.org/officeDocument/2006/relationships/ctrlProp" Target="../ctrlProps/ctrlProp504.xml"/><Relationship Id="rId51" Type="http://schemas.openxmlformats.org/officeDocument/2006/relationships/ctrlProp" Target="../ctrlProps/ctrlProp547.xml"/><Relationship Id="rId3" Type="http://schemas.openxmlformats.org/officeDocument/2006/relationships/vmlDrawing" Target="../drawings/vmlDrawing7.vml"/><Relationship Id="rId12" Type="http://schemas.openxmlformats.org/officeDocument/2006/relationships/ctrlProp" Target="../ctrlProps/ctrlProp508.xml"/><Relationship Id="rId17" Type="http://schemas.openxmlformats.org/officeDocument/2006/relationships/ctrlProp" Target="../ctrlProps/ctrlProp513.xml"/><Relationship Id="rId25" Type="http://schemas.openxmlformats.org/officeDocument/2006/relationships/ctrlProp" Target="../ctrlProps/ctrlProp521.xml"/><Relationship Id="rId33" Type="http://schemas.openxmlformats.org/officeDocument/2006/relationships/ctrlProp" Target="../ctrlProps/ctrlProp529.xml"/><Relationship Id="rId38" Type="http://schemas.openxmlformats.org/officeDocument/2006/relationships/ctrlProp" Target="../ctrlProps/ctrlProp534.xml"/><Relationship Id="rId46" Type="http://schemas.openxmlformats.org/officeDocument/2006/relationships/ctrlProp" Target="../ctrlProps/ctrlProp542.xml"/><Relationship Id="rId59" Type="http://schemas.openxmlformats.org/officeDocument/2006/relationships/ctrlProp" Target="../ctrlProps/ctrlProp555.xml"/><Relationship Id="rId67" Type="http://schemas.openxmlformats.org/officeDocument/2006/relationships/ctrlProp" Target="../ctrlProps/ctrlProp563.xml"/><Relationship Id="rId20" Type="http://schemas.openxmlformats.org/officeDocument/2006/relationships/ctrlProp" Target="../ctrlProps/ctrlProp516.xml"/><Relationship Id="rId41" Type="http://schemas.openxmlformats.org/officeDocument/2006/relationships/ctrlProp" Target="../ctrlProps/ctrlProp537.xml"/><Relationship Id="rId54" Type="http://schemas.openxmlformats.org/officeDocument/2006/relationships/ctrlProp" Target="../ctrlProps/ctrlProp550.xml"/><Relationship Id="rId62" Type="http://schemas.openxmlformats.org/officeDocument/2006/relationships/ctrlProp" Target="../ctrlProps/ctrlProp558.xml"/></Relationships>
</file>

<file path=xl/worksheets/_rels/sheet9.xml.rels><?xml version="1.0" encoding="UTF-8" standalone="yes"?>
<Relationships xmlns="http://schemas.openxmlformats.org/package/2006/relationships"><Relationship Id="rId13" Type="http://schemas.openxmlformats.org/officeDocument/2006/relationships/ctrlProp" Target="../ctrlProps/ctrlProp574.xml"/><Relationship Id="rId18" Type="http://schemas.openxmlformats.org/officeDocument/2006/relationships/ctrlProp" Target="../ctrlProps/ctrlProp579.xml"/><Relationship Id="rId26" Type="http://schemas.openxmlformats.org/officeDocument/2006/relationships/ctrlProp" Target="../ctrlProps/ctrlProp587.xml"/><Relationship Id="rId39" Type="http://schemas.openxmlformats.org/officeDocument/2006/relationships/ctrlProp" Target="../ctrlProps/ctrlProp600.xml"/><Relationship Id="rId21" Type="http://schemas.openxmlformats.org/officeDocument/2006/relationships/ctrlProp" Target="../ctrlProps/ctrlProp582.xml"/><Relationship Id="rId34" Type="http://schemas.openxmlformats.org/officeDocument/2006/relationships/ctrlProp" Target="../ctrlProps/ctrlProp595.xml"/><Relationship Id="rId42" Type="http://schemas.openxmlformats.org/officeDocument/2006/relationships/ctrlProp" Target="../ctrlProps/ctrlProp603.xml"/><Relationship Id="rId47" Type="http://schemas.openxmlformats.org/officeDocument/2006/relationships/ctrlProp" Target="../ctrlProps/ctrlProp608.xml"/><Relationship Id="rId50" Type="http://schemas.openxmlformats.org/officeDocument/2006/relationships/ctrlProp" Target="../ctrlProps/ctrlProp611.xml"/><Relationship Id="rId55" Type="http://schemas.openxmlformats.org/officeDocument/2006/relationships/ctrlProp" Target="../ctrlProps/ctrlProp616.xml"/><Relationship Id="rId63" Type="http://schemas.openxmlformats.org/officeDocument/2006/relationships/ctrlProp" Target="../ctrlProps/ctrlProp624.xml"/><Relationship Id="rId68" Type="http://schemas.openxmlformats.org/officeDocument/2006/relationships/ctrlProp" Target="../ctrlProps/ctrlProp629.xml"/><Relationship Id="rId76" Type="http://schemas.openxmlformats.org/officeDocument/2006/relationships/ctrlProp" Target="../ctrlProps/ctrlProp637.xml"/><Relationship Id="rId7" Type="http://schemas.openxmlformats.org/officeDocument/2006/relationships/ctrlProp" Target="../ctrlProps/ctrlProp568.xml"/><Relationship Id="rId71" Type="http://schemas.openxmlformats.org/officeDocument/2006/relationships/ctrlProp" Target="../ctrlProps/ctrlProp632.xml"/><Relationship Id="rId2" Type="http://schemas.openxmlformats.org/officeDocument/2006/relationships/drawing" Target="../drawings/drawing9.xml"/><Relationship Id="rId16" Type="http://schemas.openxmlformats.org/officeDocument/2006/relationships/ctrlProp" Target="../ctrlProps/ctrlProp577.xml"/><Relationship Id="rId29" Type="http://schemas.openxmlformats.org/officeDocument/2006/relationships/ctrlProp" Target="../ctrlProps/ctrlProp590.xml"/><Relationship Id="rId11" Type="http://schemas.openxmlformats.org/officeDocument/2006/relationships/ctrlProp" Target="../ctrlProps/ctrlProp572.xml"/><Relationship Id="rId24" Type="http://schemas.openxmlformats.org/officeDocument/2006/relationships/ctrlProp" Target="../ctrlProps/ctrlProp585.xml"/><Relationship Id="rId32" Type="http://schemas.openxmlformats.org/officeDocument/2006/relationships/ctrlProp" Target="../ctrlProps/ctrlProp593.xml"/><Relationship Id="rId37" Type="http://schemas.openxmlformats.org/officeDocument/2006/relationships/ctrlProp" Target="../ctrlProps/ctrlProp598.xml"/><Relationship Id="rId40" Type="http://schemas.openxmlformats.org/officeDocument/2006/relationships/ctrlProp" Target="../ctrlProps/ctrlProp601.xml"/><Relationship Id="rId45" Type="http://schemas.openxmlformats.org/officeDocument/2006/relationships/ctrlProp" Target="../ctrlProps/ctrlProp606.xml"/><Relationship Id="rId53" Type="http://schemas.openxmlformats.org/officeDocument/2006/relationships/ctrlProp" Target="../ctrlProps/ctrlProp614.xml"/><Relationship Id="rId58" Type="http://schemas.openxmlformats.org/officeDocument/2006/relationships/ctrlProp" Target="../ctrlProps/ctrlProp619.xml"/><Relationship Id="rId66" Type="http://schemas.openxmlformats.org/officeDocument/2006/relationships/ctrlProp" Target="../ctrlProps/ctrlProp627.xml"/><Relationship Id="rId74" Type="http://schemas.openxmlformats.org/officeDocument/2006/relationships/ctrlProp" Target="../ctrlProps/ctrlProp635.xml"/><Relationship Id="rId79" Type="http://schemas.openxmlformats.org/officeDocument/2006/relationships/comments" Target="../comments6.xml"/><Relationship Id="rId5" Type="http://schemas.openxmlformats.org/officeDocument/2006/relationships/ctrlProp" Target="../ctrlProps/ctrlProp566.xml"/><Relationship Id="rId61" Type="http://schemas.openxmlformats.org/officeDocument/2006/relationships/ctrlProp" Target="../ctrlProps/ctrlProp622.xml"/><Relationship Id="rId10" Type="http://schemas.openxmlformats.org/officeDocument/2006/relationships/ctrlProp" Target="../ctrlProps/ctrlProp571.xml"/><Relationship Id="rId19" Type="http://schemas.openxmlformats.org/officeDocument/2006/relationships/ctrlProp" Target="../ctrlProps/ctrlProp580.xml"/><Relationship Id="rId31" Type="http://schemas.openxmlformats.org/officeDocument/2006/relationships/ctrlProp" Target="../ctrlProps/ctrlProp592.xml"/><Relationship Id="rId44" Type="http://schemas.openxmlformats.org/officeDocument/2006/relationships/ctrlProp" Target="../ctrlProps/ctrlProp605.xml"/><Relationship Id="rId52" Type="http://schemas.openxmlformats.org/officeDocument/2006/relationships/ctrlProp" Target="../ctrlProps/ctrlProp613.xml"/><Relationship Id="rId60" Type="http://schemas.openxmlformats.org/officeDocument/2006/relationships/ctrlProp" Target="../ctrlProps/ctrlProp621.xml"/><Relationship Id="rId65" Type="http://schemas.openxmlformats.org/officeDocument/2006/relationships/ctrlProp" Target="../ctrlProps/ctrlProp626.xml"/><Relationship Id="rId73" Type="http://schemas.openxmlformats.org/officeDocument/2006/relationships/ctrlProp" Target="../ctrlProps/ctrlProp634.xml"/><Relationship Id="rId78" Type="http://schemas.openxmlformats.org/officeDocument/2006/relationships/ctrlProp" Target="../ctrlProps/ctrlProp639.xml"/><Relationship Id="rId4" Type="http://schemas.openxmlformats.org/officeDocument/2006/relationships/ctrlProp" Target="../ctrlProps/ctrlProp565.xml"/><Relationship Id="rId9" Type="http://schemas.openxmlformats.org/officeDocument/2006/relationships/ctrlProp" Target="../ctrlProps/ctrlProp570.xml"/><Relationship Id="rId14" Type="http://schemas.openxmlformats.org/officeDocument/2006/relationships/ctrlProp" Target="../ctrlProps/ctrlProp575.xml"/><Relationship Id="rId22" Type="http://schemas.openxmlformats.org/officeDocument/2006/relationships/ctrlProp" Target="../ctrlProps/ctrlProp583.xml"/><Relationship Id="rId27" Type="http://schemas.openxmlformats.org/officeDocument/2006/relationships/ctrlProp" Target="../ctrlProps/ctrlProp588.xml"/><Relationship Id="rId30" Type="http://schemas.openxmlformats.org/officeDocument/2006/relationships/ctrlProp" Target="../ctrlProps/ctrlProp591.xml"/><Relationship Id="rId35" Type="http://schemas.openxmlformats.org/officeDocument/2006/relationships/ctrlProp" Target="../ctrlProps/ctrlProp596.xml"/><Relationship Id="rId43" Type="http://schemas.openxmlformats.org/officeDocument/2006/relationships/ctrlProp" Target="../ctrlProps/ctrlProp604.xml"/><Relationship Id="rId48" Type="http://schemas.openxmlformats.org/officeDocument/2006/relationships/ctrlProp" Target="../ctrlProps/ctrlProp609.xml"/><Relationship Id="rId56" Type="http://schemas.openxmlformats.org/officeDocument/2006/relationships/ctrlProp" Target="../ctrlProps/ctrlProp617.xml"/><Relationship Id="rId64" Type="http://schemas.openxmlformats.org/officeDocument/2006/relationships/ctrlProp" Target="../ctrlProps/ctrlProp625.xml"/><Relationship Id="rId69" Type="http://schemas.openxmlformats.org/officeDocument/2006/relationships/ctrlProp" Target="../ctrlProps/ctrlProp630.xml"/><Relationship Id="rId77" Type="http://schemas.openxmlformats.org/officeDocument/2006/relationships/ctrlProp" Target="../ctrlProps/ctrlProp638.xml"/><Relationship Id="rId8" Type="http://schemas.openxmlformats.org/officeDocument/2006/relationships/ctrlProp" Target="../ctrlProps/ctrlProp569.xml"/><Relationship Id="rId51" Type="http://schemas.openxmlformats.org/officeDocument/2006/relationships/ctrlProp" Target="../ctrlProps/ctrlProp612.xml"/><Relationship Id="rId72" Type="http://schemas.openxmlformats.org/officeDocument/2006/relationships/ctrlProp" Target="../ctrlProps/ctrlProp633.xml"/><Relationship Id="rId3" Type="http://schemas.openxmlformats.org/officeDocument/2006/relationships/vmlDrawing" Target="../drawings/vmlDrawing8.vml"/><Relationship Id="rId12" Type="http://schemas.openxmlformats.org/officeDocument/2006/relationships/ctrlProp" Target="../ctrlProps/ctrlProp573.xml"/><Relationship Id="rId17" Type="http://schemas.openxmlformats.org/officeDocument/2006/relationships/ctrlProp" Target="../ctrlProps/ctrlProp578.xml"/><Relationship Id="rId25" Type="http://schemas.openxmlformats.org/officeDocument/2006/relationships/ctrlProp" Target="../ctrlProps/ctrlProp586.xml"/><Relationship Id="rId33" Type="http://schemas.openxmlformats.org/officeDocument/2006/relationships/ctrlProp" Target="../ctrlProps/ctrlProp594.xml"/><Relationship Id="rId38" Type="http://schemas.openxmlformats.org/officeDocument/2006/relationships/ctrlProp" Target="../ctrlProps/ctrlProp599.xml"/><Relationship Id="rId46" Type="http://schemas.openxmlformats.org/officeDocument/2006/relationships/ctrlProp" Target="../ctrlProps/ctrlProp607.xml"/><Relationship Id="rId59" Type="http://schemas.openxmlformats.org/officeDocument/2006/relationships/ctrlProp" Target="../ctrlProps/ctrlProp620.xml"/><Relationship Id="rId67" Type="http://schemas.openxmlformats.org/officeDocument/2006/relationships/ctrlProp" Target="../ctrlProps/ctrlProp628.xml"/><Relationship Id="rId20" Type="http://schemas.openxmlformats.org/officeDocument/2006/relationships/ctrlProp" Target="../ctrlProps/ctrlProp581.xml"/><Relationship Id="rId41" Type="http://schemas.openxmlformats.org/officeDocument/2006/relationships/ctrlProp" Target="../ctrlProps/ctrlProp602.xml"/><Relationship Id="rId54" Type="http://schemas.openxmlformats.org/officeDocument/2006/relationships/ctrlProp" Target="../ctrlProps/ctrlProp615.xml"/><Relationship Id="rId62" Type="http://schemas.openxmlformats.org/officeDocument/2006/relationships/ctrlProp" Target="../ctrlProps/ctrlProp623.xml"/><Relationship Id="rId70" Type="http://schemas.openxmlformats.org/officeDocument/2006/relationships/ctrlProp" Target="../ctrlProps/ctrlProp631.xml"/><Relationship Id="rId75" Type="http://schemas.openxmlformats.org/officeDocument/2006/relationships/ctrlProp" Target="../ctrlProps/ctrlProp636.xml"/><Relationship Id="rId1" Type="http://schemas.openxmlformats.org/officeDocument/2006/relationships/printerSettings" Target="../printerSettings/printerSettings7.bin"/><Relationship Id="rId6" Type="http://schemas.openxmlformats.org/officeDocument/2006/relationships/ctrlProp" Target="../ctrlProps/ctrlProp567.xml"/><Relationship Id="rId15" Type="http://schemas.openxmlformats.org/officeDocument/2006/relationships/ctrlProp" Target="../ctrlProps/ctrlProp576.xml"/><Relationship Id="rId23" Type="http://schemas.openxmlformats.org/officeDocument/2006/relationships/ctrlProp" Target="../ctrlProps/ctrlProp584.xml"/><Relationship Id="rId28" Type="http://schemas.openxmlformats.org/officeDocument/2006/relationships/ctrlProp" Target="../ctrlProps/ctrlProp589.xml"/><Relationship Id="rId36" Type="http://schemas.openxmlformats.org/officeDocument/2006/relationships/ctrlProp" Target="../ctrlProps/ctrlProp597.xml"/><Relationship Id="rId49" Type="http://schemas.openxmlformats.org/officeDocument/2006/relationships/ctrlProp" Target="../ctrlProps/ctrlProp610.xml"/><Relationship Id="rId57" Type="http://schemas.openxmlformats.org/officeDocument/2006/relationships/ctrlProp" Target="../ctrlProps/ctrlProp61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BZ263"/>
  <sheetViews>
    <sheetView showGridLines="0" zoomScale="85" zoomScaleNormal="85" zoomScaleSheetLayoutView="75" workbookViewId="0"/>
  </sheetViews>
  <sheetFormatPr defaultColWidth="3.36328125" defaultRowHeight="18.649999999999999" customHeight="1"/>
  <cols>
    <col min="1" max="1" width="3.36328125" style="186"/>
    <col min="2" max="2" width="3.36328125" style="251"/>
    <col min="3" max="3" width="3.36328125" style="190"/>
    <col min="4" max="28" width="3.36328125" style="187"/>
    <col min="29" max="37" width="3.36328125" style="188"/>
    <col min="38" max="46" width="3.36328125" style="187"/>
    <col min="47" max="47" width="3.26953125" style="179" customWidth="1"/>
    <col min="48" max="55" width="6.6328125" style="166" hidden="1" customWidth="1"/>
    <col min="56" max="57" width="3.36328125" style="166" hidden="1" customWidth="1"/>
    <col min="58" max="58" width="3.36328125" style="158" hidden="1" customWidth="1"/>
    <col min="59" max="60" width="3.08984375" style="158" hidden="1" customWidth="1"/>
    <col min="61" max="63" width="3.36328125" style="158" hidden="1" customWidth="1"/>
    <col min="64" max="64" width="15.453125" style="158" hidden="1" customWidth="1"/>
    <col min="65" max="65" width="18.6328125" style="158" hidden="1" customWidth="1"/>
    <col min="66" max="66" width="14.6328125" style="158" hidden="1" customWidth="1"/>
    <col min="67" max="67" width="11.6328125" style="158" hidden="1" customWidth="1"/>
    <col min="68" max="68" width="8.6328125" style="158" hidden="1" customWidth="1"/>
    <col min="69" max="69" width="3.36328125" style="297" hidden="1" customWidth="1"/>
    <col min="70" max="72" width="3.36328125" style="158" customWidth="1"/>
    <col min="73" max="75" width="3.36328125" style="153" customWidth="1"/>
    <col min="76" max="78" width="3.36328125" style="161" customWidth="1"/>
    <col min="79" max="16384" width="3.36328125" style="162"/>
  </cols>
  <sheetData>
    <row r="1" spans="1:78" s="154" customFormat="1" ht="18.649999999999999" customHeight="1" thickBot="1">
      <c r="A1" s="179"/>
      <c r="B1" s="247"/>
      <c r="C1" s="149"/>
      <c r="D1" s="149"/>
      <c r="E1" s="149"/>
      <c r="F1" s="149"/>
      <c r="G1" s="149"/>
      <c r="H1" s="149"/>
      <c r="I1" s="149"/>
      <c r="J1" s="149"/>
      <c r="K1" s="149"/>
      <c r="L1" s="149"/>
      <c r="M1" s="149"/>
      <c r="N1" s="149"/>
      <c r="O1" s="149"/>
      <c r="P1" s="149"/>
      <c r="Q1" s="149"/>
      <c r="R1" s="149"/>
      <c r="S1" s="149"/>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50"/>
      <c r="AV1" s="151"/>
      <c r="AW1" s="151"/>
      <c r="AX1" s="151"/>
      <c r="AY1" s="151"/>
      <c r="AZ1" s="152" t="s">
        <v>324</v>
      </c>
      <c r="BA1" s="151" t="s">
        <v>1950</v>
      </c>
      <c r="BB1" s="151"/>
      <c r="BC1" s="152"/>
      <c r="BD1" s="151"/>
      <c r="BE1" s="151"/>
      <c r="BF1" s="152"/>
      <c r="BG1" s="152" t="s">
        <v>786</v>
      </c>
      <c r="BH1" s="152"/>
      <c r="BI1" s="152"/>
      <c r="BJ1" s="152"/>
      <c r="BK1" s="152"/>
      <c r="BL1" s="152" t="s">
        <v>787</v>
      </c>
      <c r="BM1" s="151" t="s">
        <v>1099</v>
      </c>
      <c r="BN1" s="152" t="s">
        <v>1100</v>
      </c>
      <c r="BO1" s="152" t="s">
        <v>1183</v>
      </c>
      <c r="BP1" s="152" t="s">
        <v>1951</v>
      </c>
      <c r="BQ1" s="294"/>
      <c r="BR1" s="152"/>
      <c r="BS1" s="152"/>
      <c r="BT1" s="152"/>
      <c r="BU1" s="153"/>
      <c r="BV1" s="153"/>
      <c r="BW1" s="153"/>
      <c r="BX1" s="153"/>
      <c r="BY1" s="153"/>
      <c r="BZ1" s="153"/>
    </row>
    <row r="2" spans="1:78" s="154" customFormat="1" ht="18.649999999999999" customHeight="1" thickTop="1" thickBot="1">
      <c r="A2" s="179"/>
      <c r="B2" s="248"/>
      <c r="C2" s="155"/>
      <c r="D2" s="155"/>
      <c r="E2" s="155"/>
      <c r="F2" s="155"/>
      <c r="G2" s="155"/>
      <c r="H2" s="155"/>
      <c r="I2" s="155"/>
      <c r="J2" s="155"/>
      <c r="K2" s="155"/>
      <c r="L2" s="155"/>
      <c r="M2" s="155"/>
      <c r="N2" s="155"/>
      <c r="O2" s="155"/>
      <c r="P2" s="155"/>
      <c r="Q2" s="155"/>
      <c r="R2" s="155"/>
      <c r="S2" s="155"/>
      <c r="T2" s="155"/>
      <c r="U2" s="155"/>
      <c r="V2" s="155"/>
      <c r="W2" s="155"/>
      <c r="X2" s="155"/>
      <c r="Y2" s="155"/>
      <c r="Z2" s="155"/>
      <c r="AA2" s="155"/>
      <c r="AB2" s="155"/>
      <c r="AC2" s="155"/>
      <c r="AD2" s="155"/>
      <c r="AE2" s="155"/>
      <c r="AF2" s="155"/>
      <c r="AG2" s="155"/>
      <c r="AH2" s="155"/>
      <c r="AI2" s="155"/>
      <c r="AJ2" s="155"/>
      <c r="AK2" s="155"/>
      <c r="AL2" s="155"/>
      <c r="AM2" s="155"/>
      <c r="AN2" s="155"/>
      <c r="AO2" s="155"/>
      <c r="AP2" s="155"/>
      <c r="AQ2" s="155"/>
      <c r="AR2" s="155"/>
      <c r="AS2" s="155"/>
      <c r="AT2" s="156"/>
      <c r="AU2" s="157"/>
      <c r="AV2" s="621" t="b">
        <f>記入シート2!AV43</f>
        <v>0</v>
      </c>
      <c r="AW2" s="621" t="s">
        <v>2025</v>
      </c>
      <c r="AX2" s="151"/>
      <c r="AY2" s="151"/>
      <c r="AZ2" s="158" t="s">
        <v>325</v>
      </c>
      <c r="BA2" s="151" t="s">
        <v>1933</v>
      </c>
      <c r="BB2" s="151"/>
      <c r="BC2" s="151"/>
      <c r="BD2" s="151"/>
      <c r="BE2" s="151"/>
      <c r="BF2" s="152"/>
      <c r="BG2" s="152" t="s">
        <v>788</v>
      </c>
      <c r="BH2" s="152" t="s">
        <v>788</v>
      </c>
      <c r="BI2" s="152"/>
      <c r="BJ2" s="152"/>
      <c r="BK2" s="152"/>
      <c r="BL2" s="152" t="s">
        <v>777</v>
      </c>
      <c r="BM2" s="151" t="s">
        <v>1101</v>
      </c>
      <c r="BN2" s="152" t="s">
        <v>1105</v>
      </c>
      <c r="BO2" s="152" t="s">
        <v>1101</v>
      </c>
      <c r="BP2" s="152" t="s">
        <v>1457</v>
      </c>
      <c r="BQ2" s="294"/>
      <c r="BR2" s="152"/>
      <c r="BS2" s="152"/>
      <c r="BT2" s="152"/>
      <c r="BU2" s="153"/>
      <c r="BV2" s="153"/>
      <c r="BW2" s="153"/>
      <c r="BX2" s="153"/>
      <c r="BY2" s="153"/>
      <c r="BZ2" s="153"/>
    </row>
    <row r="3" spans="1:78" s="154" customFormat="1" ht="18.649999999999999" customHeight="1" thickTop="1">
      <c r="A3" s="159"/>
      <c r="B3" s="256"/>
      <c r="C3" s="1819" t="str">
        <f>記入シート1!C3</f>
        <v>端末決済サービス(A920SB) エントリーシート</v>
      </c>
      <c r="D3" s="1820"/>
      <c r="E3" s="1820"/>
      <c r="F3" s="1820"/>
      <c r="G3" s="1820"/>
      <c r="H3" s="1820"/>
      <c r="I3" s="1820"/>
      <c r="J3" s="1820"/>
      <c r="K3" s="1820"/>
      <c r="L3" s="1820"/>
      <c r="M3" s="1820"/>
      <c r="N3" s="1820"/>
      <c r="O3" s="1820"/>
      <c r="P3" s="1820"/>
      <c r="Q3" s="1820"/>
      <c r="R3" s="1820"/>
      <c r="S3" s="1820"/>
      <c r="T3" s="1820"/>
      <c r="U3" s="1820"/>
      <c r="V3" s="1820"/>
      <c r="W3" s="1820"/>
      <c r="X3" s="1820"/>
      <c r="Y3" s="1820"/>
      <c r="Z3" s="1820"/>
      <c r="AA3" s="1820"/>
      <c r="AB3" s="1820"/>
      <c r="AC3" s="1820"/>
      <c r="AD3" s="1820"/>
      <c r="AE3" s="1820"/>
      <c r="AF3" s="1820"/>
      <c r="AG3" s="1820"/>
      <c r="AH3" s="1820"/>
      <c r="AI3" s="1820"/>
      <c r="AJ3" s="1820"/>
      <c r="AK3" s="1820"/>
      <c r="AL3" s="1820"/>
      <c r="AM3" s="1820"/>
      <c r="AN3" s="1820"/>
      <c r="AO3" s="1820"/>
      <c r="AP3" s="1820"/>
      <c r="AQ3" s="1820"/>
      <c r="AR3" s="1820"/>
      <c r="AS3" s="1820"/>
      <c r="AT3" s="1821"/>
      <c r="AU3" s="160"/>
      <c r="AV3" s="151"/>
      <c r="AW3" s="151"/>
      <c r="AX3" s="151"/>
      <c r="AY3" s="151"/>
      <c r="AZ3" s="158" t="s">
        <v>331</v>
      </c>
      <c r="BA3" s="151" t="s">
        <v>1927</v>
      </c>
      <c r="BB3" s="151"/>
      <c r="BC3" s="151"/>
      <c r="BD3" s="151"/>
      <c r="BE3" s="151"/>
      <c r="BF3" s="152"/>
      <c r="BG3" s="152" t="s">
        <v>789</v>
      </c>
      <c r="BH3" s="152" t="s">
        <v>790</v>
      </c>
      <c r="BI3" s="152"/>
      <c r="BJ3" s="152"/>
      <c r="BK3" s="152"/>
      <c r="BL3" s="152" t="s">
        <v>1052</v>
      </c>
      <c r="BM3" s="151" t="s">
        <v>1102</v>
      </c>
      <c r="BN3" s="152" t="s">
        <v>1106</v>
      </c>
      <c r="BO3" s="152" t="s">
        <v>1184</v>
      </c>
      <c r="BP3" s="152" t="s">
        <v>1410</v>
      </c>
      <c r="BQ3" s="294"/>
      <c r="BR3" s="152"/>
      <c r="BS3" s="152"/>
      <c r="BT3" s="152"/>
      <c r="BU3" s="153"/>
      <c r="BV3" s="153"/>
      <c r="BW3" s="153"/>
      <c r="BX3" s="153"/>
      <c r="BY3" s="153"/>
      <c r="BZ3" s="153"/>
    </row>
    <row r="4" spans="1:78" ht="18.75" customHeight="1" thickBot="1">
      <c r="A4" s="159"/>
      <c r="B4" s="256">
        <f>SUM(B13:B138)</f>
        <v>3</v>
      </c>
      <c r="C4" s="1822"/>
      <c r="D4" s="1823"/>
      <c r="E4" s="1823"/>
      <c r="F4" s="1823"/>
      <c r="G4" s="1823"/>
      <c r="H4" s="1823"/>
      <c r="I4" s="1823"/>
      <c r="J4" s="1823"/>
      <c r="K4" s="1823"/>
      <c r="L4" s="1823"/>
      <c r="M4" s="1823"/>
      <c r="N4" s="1823"/>
      <c r="O4" s="1823"/>
      <c r="P4" s="1823"/>
      <c r="Q4" s="1823"/>
      <c r="R4" s="1823"/>
      <c r="S4" s="1823"/>
      <c r="T4" s="1823"/>
      <c r="U4" s="1823"/>
      <c r="V4" s="1823"/>
      <c r="W4" s="1823"/>
      <c r="X4" s="1823"/>
      <c r="Y4" s="1823"/>
      <c r="Z4" s="1823"/>
      <c r="AA4" s="1823"/>
      <c r="AB4" s="1823"/>
      <c r="AC4" s="1823"/>
      <c r="AD4" s="1823"/>
      <c r="AE4" s="1823"/>
      <c r="AF4" s="1823"/>
      <c r="AG4" s="1823"/>
      <c r="AH4" s="1823"/>
      <c r="AI4" s="1823"/>
      <c r="AJ4" s="1823"/>
      <c r="AK4" s="1823"/>
      <c r="AL4" s="1823"/>
      <c r="AM4" s="1823"/>
      <c r="AN4" s="1823"/>
      <c r="AO4" s="1823"/>
      <c r="AP4" s="1823"/>
      <c r="AQ4" s="1823"/>
      <c r="AR4" s="1823"/>
      <c r="AS4" s="1823"/>
      <c r="AT4" s="1824"/>
      <c r="AU4" s="160"/>
      <c r="AV4" s="151"/>
      <c r="AW4" s="151"/>
      <c r="AX4" s="151"/>
      <c r="AY4" s="151"/>
      <c r="AZ4" s="158" t="s">
        <v>337</v>
      </c>
      <c r="BA4" s="151" t="s">
        <v>1929</v>
      </c>
      <c r="BB4" s="151"/>
      <c r="BC4" s="151"/>
      <c r="BD4" s="151"/>
      <c r="BE4" s="151"/>
      <c r="BF4" s="152"/>
      <c r="BG4" s="152" t="s">
        <v>791</v>
      </c>
      <c r="BH4" s="152" t="s">
        <v>792</v>
      </c>
      <c r="BI4" s="152"/>
      <c r="BJ4" s="152"/>
      <c r="BK4" s="152"/>
      <c r="BL4" s="152" t="s">
        <v>2033</v>
      </c>
      <c r="BM4" s="151" t="s">
        <v>1103</v>
      </c>
      <c r="BN4" s="152" t="s">
        <v>1107</v>
      </c>
      <c r="BO4" s="152" t="s">
        <v>1185</v>
      </c>
      <c r="BP4" s="152" t="s">
        <v>1411</v>
      </c>
      <c r="BQ4" s="294"/>
      <c r="BR4" s="152"/>
      <c r="BS4" s="152"/>
      <c r="BT4" s="152"/>
    </row>
    <row r="5" spans="1:78" ht="42" customHeight="1" thickTop="1">
      <c r="A5" s="159"/>
      <c r="B5" s="256"/>
      <c r="C5" s="1833" t="s">
        <v>5635</v>
      </c>
      <c r="D5" s="1833"/>
      <c r="E5" s="1833"/>
      <c r="F5" s="1833"/>
      <c r="G5" s="1833"/>
      <c r="H5" s="1833"/>
      <c r="I5" s="1833"/>
      <c r="J5" s="1833"/>
      <c r="K5" s="1833"/>
      <c r="L5" s="1833"/>
      <c r="M5" s="1833"/>
      <c r="N5" s="1833"/>
      <c r="O5" s="1833"/>
      <c r="P5" s="1833"/>
      <c r="Q5" s="1833"/>
      <c r="R5" s="1833"/>
      <c r="S5" s="1833"/>
      <c r="T5" s="1833"/>
      <c r="U5" s="1833"/>
      <c r="V5" s="1833"/>
      <c r="W5" s="1833"/>
      <c r="X5" s="1833"/>
      <c r="Y5" s="1833"/>
      <c r="Z5" s="1833"/>
      <c r="AA5" s="1833"/>
      <c r="AB5" s="1833"/>
      <c r="AC5" s="1833"/>
      <c r="AD5" s="1833"/>
      <c r="AE5" s="1833"/>
      <c r="AF5" s="1833"/>
      <c r="AG5" s="1833"/>
      <c r="AH5" s="1833"/>
      <c r="AI5" s="1833"/>
      <c r="AJ5" s="1833"/>
      <c r="AK5" s="1833"/>
      <c r="AL5" s="1833"/>
      <c r="AM5" s="1833"/>
      <c r="AN5" s="1833"/>
      <c r="AO5" s="1833"/>
      <c r="AP5" s="1833"/>
      <c r="AQ5" s="1833"/>
      <c r="AR5" s="1833"/>
      <c r="AS5" s="1833"/>
      <c r="AT5" s="1833"/>
      <c r="AU5" s="160"/>
      <c r="AV5" s="151"/>
      <c r="AW5" s="151"/>
      <c r="AX5" s="151"/>
      <c r="AY5" s="151"/>
      <c r="AZ5" s="158" t="s">
        <v>345</v>
      </c>
      <c r="BA5" s="151" t="s">
        <v>1927</v>
      </c>
      <c r="BB5" s="151"/>
      <c r="BC5" s="151"/>
      <c r="BD5" s="151"/>
      <c r="BE5" s="151"/>
      <c r="BF5" s="152"/>
      <c r="BG5" s="152" t="s">
        <v>793</v>
      </c>
      <c r="BH5" s="152" t="s">
        <v>794</v>
      </c>
      <c r="BI5" s="152"/>
      <c r="BJ5" s="152"/>
      <c r="BK5" s="152"/>
      <c r="BL5" s="152" t="s">
        <v>2034</v>
      </c>
      <c r="BM5" s="151" t="s">
        <v>1104</v>
      </c>
      <c r="BN5" s="152" t="s">
        <v>1108</v>
      </c>
      <c r="BO5" s="152" t="s">
        <v>1186</v>
      </c>
      <c r="BP5" s="152" t="s">
        <v>1412</v>
      </c>
      <c r="BQ5" s="294"/>
      <c r="BR5" s="152"/>
      <c r="BS5" s="152"/>
      <c r="BT5" s="152"/>
    </row>
    <row r="6" spans="1:78" ht="42" customHeight="1">
      <c r="A6" s="159"/>
      <c r="B6" s="256"/>
      <c r="C6" s="1834"/>
      <c r="D6" s="1834"/>
      <c r="E6" s="1834"/>
      <c r="F6" s="1834"/>
      <c r="G6" s="1834"/>
      <c r="H6" s="1834"/>
      <c r="I6" s="1834"/>
      <c r="J6" s="1834"/>
      <c r="K6" s="1834"/>
      <c r="L6" s="1834"/>
      <c r="M6" s="1834"/>
      <c r="N6" s="1834"/>
      <c r="O6" s="1834"/>
      <c r="P6" s="1834"/>
      <c r="Q6" s="1834"/>
      <c r="R6" s="1834"/>
      <c r="S6" s="1834"/>
      <c r="T6" s="1834"/>
      <c r="U6" s="1834"/>
      <c r="V6" s="1834"/>
      <c r="W6" s="1834"/>
      <c r="X6" s="1834"/>
      <c r="Y6" s="1834"/>
      <c r="Z6" s="1834"/>
      <c r="AA6" s="1834"/>
      <c r="AB6" s="1834"/>
      <c r="AC6" s="1834"/>
      <c r="AD6" s="1834"/>
      <c r="AE6" s="1834"/>
      <c r="AF6" s="1834"/>
      <c r="AG6" s="1834"/>
      <c r="AH6" s="1834"/>
      <c r="AI6" s="1834"/>
      <c r="AJ6" s="1834"/>
      <c r="AK6" s="1834"/>
      <c r="AL6" s="1834"/>
      <c r="AM6" s="1834"/>
      <c r="AN6" s="1834"/>
      <c r="AO6" s="1834"/>
      <c r="AP6" s="1834"/>
      <c r="AQ6" s="1834"/>
      <c r="AR6" s="1834"/>
      <c r="AS6" s="1834"/>
      <c r="AT6" s="1834"/>
      <c r="AU6" s="160"/>
      <c r="AV6" s="151"/>
      <c r="AW6" s="151"/>
      <c r="AX6" s="151"/>
      <c r="AY6" s="151"/>
      <c r="AZ6" s="158" t="s">
        <v>350</v>
      </c>
      <c r="BA6" s="151" t="s">
        <v>1926</v>
      </c>
      <c r="BB6" s="151"/>
      <c r="BC6" s="151"/>
      <c r="BD6" s="151"/>
      <c r="BE6" s="151"/>
      <c r="BF6" s="152"/>
      <c r="BG6" s="152" t="s">
        <v>795</v>
      </c>
      <c r="BH6" s="152" t="s">
        <v>796</v>
      </c>
      <c r="BI6" s="152"/>
      <c r="BJ6" s="152"/>
      <c r="BK6" s="152"/>
      <c r="BL6" s="152" t="s">
        <v>2035</v>
      </c>
      <c r="BM6" s="152"/>
      <c r="BN6" s="152"/>
      <c r="BO6" s="152" t="s">
        <v>1187</v>
      </c>
      <c r="BP6" s="152" t="s">
        <v>1413</v>
      </c>
      <c r="BQ6" s="294"/>
      <c r="BR6" s="152"/>
      <c r="BS6" s="152"/>
      <c r="BT6" s="152"/>
    </row>
    <row r="7" spans="1:78" ht="42" customHeight="1">
      <c r="A7" s="159"/>
      <c r="B7" s="256"/>
      <c r="C7" s="1834"/>
      <c r="D7" s="1834"/>
      <c r="E7" s="1834"/>
      <c r="F7" s="1834"/>
      <c r="G7" s="1834"/>
      <c r="H7" s="1834"/>
      <c r="I7" s="1834"/>
      <c r="J7" s="1834"/>
      <c r="K7" s="1834"/>
      <c r="L7" s="1834"/>
      <c r="M7" s="1834"/>
      <c r="N7" s="1834"/>
      <c r="O7" s="1834"/>
      <c r="P7" s="1834"/>
      <c r="Q7" s="1834"/>
      <c r="R7" s="1834"/>
      <c r="S7" s="1834"/>
      <c r="T7" s="1834"/>
      <c r="U7" s="1834"/>
      <c r="V7" s="1834"/>
      <c r="W7" s="1834"/>
      <c r="X7" s="1834"/>
      <c r="Y7" s="1834"/>
      <c r="Z7" s="1834"/>
      <c r="AA7" s="1834"/>
      <c r="AB7" s="1834"/>
      <c r="AC7" s="1834"/>
      <c r="AD7" s="1834"/>
      <c r="AE7" s="1834"/>
      <c r="AF7" s="1834"/>
      <c r="AG7" s="1834"/>
      <c r="AH7" s="1834"/>
      <c r="AI7" s="1834"/>
      <c r="AJ7" s="1834"/>
      <c r="AK7" s="1834"/>
      <c r="AL7" s="1834"/>
      <c r="AM7" s="1834"/>
      <c r="AN7" s="1834"/>
      <c r="AO7" s="1834"/>
      <c r="AP7" s="1834"/>
      <c r="AQ7" s="1834"/>
      <c r="AR7" s="1834"/>
      <c r="AS7" s="1834"/>
      <c r="AT7" s="1834"/>
      <c r="AU7" s="160"/>
      <c r="AV7" s="151"/>
      <c r="AW7" s="151"/>
      <c r="AX7" s="151"/>
      <c r="AY7" s="151"/>
      <c r="AZ7" s="158" t="s">
        <v>352</v>
      </c>
      <c r="BA7" s="151" t="s">
        <v>1930</v>
      </c>
      <c r="BB7" s="151"/>
      <c r="BC7" s="151"/>
      <c r="BD7" s="151"/>
      <c r="BE7" s="151"/>
      <c r="BF7" s="152"/>
      <c r="BG7" s="152" t="s">
        <v>797</v>
      </c>
      <c r="BH7" s="152" t="s">
        <v>798</v>
      </c>
      <c r="BI7" s="152"/>
      <c r="BJ7" s="152"/>
      <c r="BK7" s="152"/>
      <c r="BL7" s="152" t="s">
        <v>2036</v>
      </c>
      <c r="BM7" s="152"/>
      <c r="BN7" s="152"/>
      <c r="BO7" s="152" t="s">
        <v>1188</v>
      </c>
      <c r="BP7" s="152" t="s">
        <v>1414</v>
      </c>
      <c r="BQ7" s="294"/>
      <c r="BR7" s="152"/>
      <c r="BS7" s="152"/>
      <c r="BT7" s="152"/>
    </row>
    <row r="8" spans="1:78" ht="15.75" customHeight="1">
      <c r="A8" s="159"/>
      <c r="B8" s="256"/>
      <c r="C8" s="1835" t="str">
        <f>記入シート1!C8</f>
        <v>　　・クレジットカードおよび銀聯カードによる決済において、万が一、第三者が不正に入手したカード情報を利用したことにより生じる未回収金は、「SBPSクレジットカード加盟店規約&lt;対面取引用&gt;」に従って</v>
      </c>
      <c r="D8" s="1835"/>
      <c r="E8" s="1835"/>
      <c r="F8" s="1835"/>
      <c r="G8" s="1835"/>
      <c r="H8" s="1835"/>
      <c r="I8" s="1835"/>
      <c r="J8" s="1835"/>
      <c r="K8" s="1835"/>
      <c r="L8" s="1835"/>
      <c r="M8" s="1835"/>
      <c r="N8" s="1835"/>
      <c r="O8" s="1835"/>
      <c r="P8" s="1835"/>
      <c r="Q8" s="1835"/>
      <c r="R8" s="1835"/>
      <c r="S8" s="1835"/>
      <c r="T8" s="1835"/>
      <c r="U8" s="1835"/>
      <c r="V8" s="1835"/>
      <c r="W8" s="1835"/>
      <c r="X8" s="1835"/>
      <c r="Y8" s="1835"/>
      <c r="Z8" s="1835"/>
      <c r="AA8" s="1835"/>
      <c r="AB8" s="1835"/>
      <c r="AC8" s="1835"/>
      <c r="AD8" s="1835"/>
      <c r="AE8" s="1835"/>
      <c r="AF8" s="1835"/>
      <c r="AG8" s="1835"/>
      <c r="AH8" s="1835"/>
      <c r="AI8" s="1835"/>
      <c r="AJ8" s="1835"/>
      <c r="AK8" s="1835"/>
      <c r="AL8" s="1835"/>
      <c r="AM8" s="1835"/>
      <c r="AN8" s="1835"/>
      <c r="AO8" s="1835"/>
      <c r="AP8" s="1835"/>
      <c r="AQ8" s="1835"/>
      <c r="AR8" s="1835"/>
      <c r="AS8" s="1835"/>
      <c r="AT8" s="1835"/>
      <c r="AU8" s="160"/>
      <c r="AV8" s="151"/>
      <c r="AW8" s="151"/>
      <c r="AX8" s="151"/>
      <c r="AY8" s="151"/>
      <c r="AZ8" s="158" t="s">
        <v>355</v>
      </c>
      <c r="BA8" s="151" t="s">
        <v>1930</v>
      </c>
      <c r="BB8" s="151"/>
      <c r="BC8" s="151"/>
      <c r="BD8" s="151"/>
      <c r="BE8" s="151"/>
      <c r="BF8" s="152"/>
      <c r="BG8" s="152" t="s">
        <v>799</v>
      </c>
      <c r="BH8" s="152"/>
      <c r="BI8" s="152"/>
      <c r="BJ8" s="152"/>
      <c r="BK8" s="152"/>
      <c r="BL8" s="152" t="s">
        <v>2037</v>
      </c>
      <c r="BM8" s="152"/>
      <c r="BN8" s="152"/>
      <c r="BO8" s="152" t="s">
        <v>1189</v>
      </c>
      <c r="BP8" s="152" t="s">
        <v>1415</v>
      </c>
      <c r="BQ8" s="294"/>
      <c r="BR8" s="152"/>
      <c r="BS8" s="152"/>
      <c r="BT8" s="152"/>
    </row>
    <row r="9" spans="1:78" ht="15.75" customHeight="1">
      <c r="A9" s="159"/>
      <c r="B9" s="256"/>
      <c r="C9" s="1836" t="str">
        <f>記入シート1!C9</f>
        <v xml:space="preserve">     チャージバック（立替代金の支払い取消）を行いますので、加盟店さまのご負担となります。</v>
      </c>
      <c r="D9" s="1836"/>
      <c r="E9" s="1836"/>
      <c r="F9" s="1836"/>
      <c r="G9" s="1836"/>
      <c r="H9" s="1836"/>
      <c r="I9" s="1836"/>
      <c r="J9" s="1836"/>
      <c r="K9" s="1836"/>
      <c r="L9" s="1836"/>
      <c r="M9" s="1836"/>
      <c r="N9" s="1836"/>
      <c r="O9" s="1836"/>
      <c r="P9" s="1836"/>
      <c r="Q9" s="1836"/>
      <c r="R9" s="1836"/>
      <c r="S9" s="1836"/>
      <c r="T9" s="1836"/>
      <c r="U9" s="1836"/>
      <c r="V9" s="1836"/>
      <c r="W9" s="1836"/>
      <c r="X9" s="1836"/>
      <c r="Y9" s="1836"/>
      <c r="Z9" s="1836"/>
      <c r="AA9" s="1836"/>
      <c r="AB9" s="1836"/>
      <c r="AC9" s="1836"/>
      <c r="AD9" s="1836"/>
      <c r="AE9" s="1836"/>
      <c r="AF9" s="1836"/>
      <c r="AG9" s="1836"/>
      <c r="AH9" s="1836"/>
      <c r="AI9" s="1836"/>
      <c r="AJ9" s="1836"/>
      <c r="AK9" s="1836"/>
      <c r="AL9" s="1836"/>
      <c r="AM9" s="1836"/>
      <c r="AN9" s="1836"/>
      <c r="AO9" s="1836"/>
      <c r="AP9" s="1836"/>
      <c r="AQ9" s="1836"/>
      <c r="AR9" s="1836"/>
      <c r="AS9" s="1836"/>
      <c r="AT9" s="1836"/>
      <c r="AU9" s="160"/>
      <c r="AV9" s="151"/>
      <c r="AW9" s="151"/>
      <c r="AX9" s="151"/>
      <c r="AY9" s="151"/>
      <c r="AZ9" s="158" t="s">
        <v>360</v>
      </c>
      <c r="BA9" s="151" t="s">
        <v>1930</v>
      </c>
      <c r="BB9" s="151"/>
      <c r="BC9" s="151"/>
      <c r="BD9" s="151"/>
      <c r="BE9" s="151"/>
      <c r="BF9" s="152"/>
      <c r="BG9" s="152" t="s">
        <v>800</v>
      </c>
      <c r="BH9" s="152"/>
      <c r="BI9" s="152"/>
      <c r="BJ9" s="152"/>
      <c r="BK9" s="152"/>
      <c r="BL9" s="152" t="s">
        <v>2038</v>
      </c>
      <c r="BM9" s="152"/>
      <c r="BN9" s="152"/>
      <c r="BO9" s="152" t="s">
        <v>1190</v>
      </c>
      <c r="BP9" s="152" t="s">
        <v>1416</v>
      </c>
      <c r="BQ9" s="294"/>
      <c r="BR9" s="152"/>
      <c r="BS9" s="152"/>
      <c r="BT9" s="152"/>
    </row>
    <row r="10" spans="1:78" ht="15.5" thickBot="1">
      <c r="A10" s="163"/>
      <c r="B10" s="256"/>
      <c r="C10" s="1835"/>
      <c r="D10" s="1835"/>
      <c r="E10" s="1835"/>
      <c r="F10" s="1835"/>
      <c r="G10" s="1835"/>
      <c r="H10" s="1835"/>
      <c r="I10" s="1835"/>
      <c r="J10" s="1835"/>
      <c r="K10" s="1835"/>
      <c r="L10" s="1835"/>
      <c r="M10" s="1835"/>
      <c r="N10" s="1835"/>
      <c r="O10" s="1835"/>
      <c r="P10" s="1835"/>
      <c r="Q10" s="1835"/>
      <c r="R10" s="1835"/>
      <c r="S10" s="1835"/>
      <c r="T10" s="1835"/>
      <c r="U10" s="1835"/>
      <c r="V10" s="1835"/>
      <c r="W10" s="1835"/>
      <c r="X10" s="1835"/>
      <c r="Y10" s="1835"/>
      <c r="Z10" s="1835"/>
      <c r="AA10" s="1835"/>
      <c r="AB10" s="1835"/>
      <c r="AC10" s="1835"/>
      <c r="AD10" s="1835"/>
      <c r="AE10" s="1835"/>
      <c r="AF10" s="1835"/>
      <c r="AG10" s="1835"/>
      <c r="AH10" s="1835"/>
      <c r="AI10" s="1835"/>
      <c r="AJ10" s="1835"/>
      <c r="AK10" s="1835"/>
      <c r="AL10" s="1835"/>
      <c r="AM10" s="1835"/>
      <c r="AN10" s="1835"/>
      <c r="AO10" s="1835"/>
      <c r="AP10" s="1835"/>
      <c r="AQ10" s="1835"/>
      <c r="AR10" s="1835"/>
      <c r="AS10" s="1835"/>
      <c r="AT10" s="1835"/>
      <c r="AU10" s="160"/>
      <c r="AV10" s="151"/>
      <c r="AW10" s="151"/>
      <c r="AX10" s="151"/>
      <c r="AY10" s="151"/>
      <c r="AZ10" s="158" t="s">
        <v>363</v>
      </c>
      <c r="BA10" s="151" t="s">
        <v>1930</v>
      </c>
      <c r="BB10" s="151"/>
      <c r="BC10" s="151"/>
      <c r="BD10" s="151"/>
      <c r="BE10" s="151"/>
      <c r="BF10" s="152"/>
      <c r="BG10" s="152" t="s">
        <v>801</v>
      </c>
      <c r="BH10" s="152"/>
      <c r="BI10" s="152"/>
      <c r="BJ10" s="152"/>
      <c r="BK10" s="152"/>
      <c r="BL10" s="152"/>
      <c r="BM10" s="152"/>
      <c r="BN10" s="152"/>
      <c r="BO10" s="152" t="s">
        <v>1191</v>
      </c>
      <c r="BP10" s="152" t="s">
        <v>1417</v>
      </c>
      <c r="BQ10" s="294"/>
      <c r="BR10" s="152"/>
      <c r="BS10" s="152"/>
      <c r="BT10" s="152"/>
    </row>
    <row r="11" spans="1:78" ht="16">
      <c r="A11" s="163"/>
      <c r="B11" s="256"/>
      <c r="C11" s="1825" t="s">
        <v>2087</v>
      </c>
      <c r="D11" s="1826"/>
      <c r="E11" s="1826"/>
      <c r="F11" s="1826"/>
      <c r="G11" s="1826"/>
      <c r="H11" s="1827"/>
      <c r="I11" s="779" t="str">
        <f>記入シート1!I11</f>
        <v>申し込みする決済手段毎に適用される「「端末決済サービス」に関する規約および</v>
      </c>
      <c r="J11" s="165"/>
      <c r="K11" s="165"/>
      <c r="L11" s="165"/>
      <c r="M11" s="165"/>
      <c r="N11" s="165"/>
      <c r="O11" s="165"/>
      <c r="P11" s="165"/>
      <c r="Q11" s="165"/>
      <c r="R11" s="165"/>
      <c r="S11" s="165"/>
      <c r="T11" s="165"/>
      <c r="U11" s="165"/>
      <c r="V11" s="165"/>
      <c r="W11" s="165"/>
      <c r="X11" s="165"/>
      <c r="Y11" s="165"/>
      <c r="Z11" s="165"/>
      <c r="AA11" s="165"/>
      <c r="AB11" s="165"/>
      <c r="AC11" s="165"/>
      <c r="AD11" s="165"/>
      <c r="AE11" s="165"/>
      <c r="AF11" s="165"/>
      <c r="AG11" s="165"/>
      <c r="AH11" s="165"/>
      <c r="AI11" s="165"/>
      <c r="AJ11" s="165"/>
      <c r="AK11" s="165"/>
      <c r="AL11" s="165"/>
      <c r="AM11" s="165"/>
      <c r="AN11" s="165"/>
      <c r="AO11" s="165"/>
      <c r="AP11" s="165"/>
      <c r="AQ11" s="165"/>
      <c r="AR11" s="165"/>
      <c r="AS11" s="165"/>
      <c r="AT11" s="780"/>
      <c r="AU11" s="160"/>
      <c r="AV11" s="151"/>
      <c r="AW11" s="151"/>
      <c r="AX11" s="151"/>
      <c r="AY11" s="151"/>
      <c r="AZ11" s="158" t="s">
        <v>365</v>
      </c>
      <c r="BA11" s="151" t="s">
        <v>1928</v>
      </c>
      <c r="BB11" s="151"/>
      <c r="BC11" s="151"/>
      <c r="BD11" s="151"/>
      <c r="BE11" s="151"/>
      <c r="BF11" s="164"/>
      <c r="BG11" s="164" t="s">
        <v>802</v>
      </c>
      <c r="BH11" s="164"/>
      <c r="BI11" s="164"/>
      <c r="BJ11" s="164"/>
      <c r="BK11" s="164"/>
      <c r="BL11" s="164"/>
      <c r="BM11" s="164"/>
      <c r="BN11" s="164"/>
      <c r="BO11" s="152" t="s">
        <v>1192</v>
      </c>
      <c r="BP11" s="164" t="s">
        <v>1418</v>
      </c>
      <c r="BQ11" s="295"/>
      <c r="BR11" s="152"/>
      <c r="BS11" s="152"/>
      <c r="BT11" s="152"/>
    </row>
    <row r="12" spans="1:78" ht="16">
      <c r="A12" s="148"/>
      <c r="B12" s="256"/>
      <c r="C12" s="1482"/>
      <c r="D12" s="1483"/>
      <c r="E12" s="1483"/>
      <c r="F12" s="1483"/>
      <c r="G12" s="1483"/>
      <c r="H12" s="1484"/>
      <c r="I12" s="781" t="str">
        <f>記入シート1!I12</f>
        <v xml:space="preserve">クレジットカード加盟店規約&lt;対面取引用&gt;（関連規約を含む、以下「加盟店規約」）の内容を確認し、承認のうえ申し込みいたします。 </v>
      </c>
      <c r="J12" s="782"/>
      <c r="K12" s="782"/>
      <c r="L12" s="782"/>
      <c r="M12" s="782"/>
      <c r="N12" s="782"/>
      <c r="O12" s="782"/>
      <c r="P12" s="782"/>
      <c r="Q12" s="782"/>
      <c r="R12" s="782"/>
      <c r="S12" s="782"/>
      <c r="T12" s="782"/>
      <c r="U12" s="782"/>
      <c r="V12" s="782"/>
      <c r="W12" s="782"/>
      <c r="X12" s="782"/>
      <c r="Y12" s="782"/>
      <c r="Z12" s="782"/>
      <c r="AA12" s="782"/>
      <c r="AB12" s="782"/>
      <c r="AC12" s="782"/>
      <c r="AD12" s="782"/>
      <c r="AE12" s="782"/>
      <c r="AF12" s="782"/>
      <c r="AG12" s="782"/>
      <c r="AH12" s="782"/>
      <c r="AI12" s="782"/>
      <c r="AJ12" s="782"/>
      <c r="AK12" s="782"/>
      <c r="AL12" s="782"/>
      <c r="AM12" s="782"/>
      <c r="AN12" s="782"/>
      <c r="AO12" s="782"/>
      <c r="AP12" s="782"/>
      <c r="AQ12" s="782"/>
      <c r="AR12" s="782"/>
      <c r="AS12" s="782"/>
      <c r="AT12" s="783"/>
      <c r="AU12" s="160"/>
      <c r="AV12" s="627">
        <v>1</v>
      </c>
      <c r="AW12" s="706" t="s">
        <v>2093</v>
      </c>
      <c r="AX12" s="151"/>
      <c r="AY12" s="151"/>
      <c r="AZ12" s="158" t="s">
        <v>369</v>
      </c>
      <c r="BA12" s="151" t="s">
        <v>1931</v>
      </c>
      <c r="BB12" s="151"/>
      <c r="BC12" s="151"/>
      <c r="BD12" s="151"/>
      <c r="BE12" s="151"/>
      <c r="BF12" s="152"/>
      <c r="BG12" s="152" t="s">
        <v>790</v>
      </c>
      <c r="BH12" s="152"/>
      <c r="BI12" s="152"/>
      <c r="BJ12" s="152"/>
      <c r="BK12" s="152"/>
      <c r="BL12" s="152"/>
      <c r="BM12" s="152"/>
      <c r="BN12" s="152"/>
      <c r="BO12" s="164" t="s">
        <v>1193</v>
      </c>
      <c r="BP12" s="152" t="s">
        <v>1419</v>
      </c>
      <c r="BQ12" s="294"/>
      <c r="BR12" s="152"/>
      <c r="BS12" s="152"/>
      <c r="BT12" s="152"/>
    </row>
    <row r="13" spans="1:78" s="154" customFormat="1" ht="16" hidden="1">
      <c r="A13" s="148"/>
      <c r="B13" s="256">
        <f>IF(OR(AV12=0,AV13=0,AV18=FALSE,AV21=0),1,0)</f>
        <v>0</v>
      </c>
      <c r="C13" s="1482"/>
      <c r="D13" s="1483"/>
      <c r="E13" s="1483"/>
      <c r="F13" s="1483"/>
      <c r="G13" s="1483"/>
      <c r="H13" s="1484"/>
      <c r="I13" s="886">
        <f>記入シート1!I13</f>
        <v>0</v>
      </c>
      <c r="J13" s="887"/>
      <c r="K13" s="887"/>
      <c r="L13" s="887"/>
      <c r="M13" s="887"/>
      <c r="N13" s="887"/>
      <c r="O13" s="887"/>
      <c r="P13" s="784"/>
      <c r="Q13" s="784"/>
      <c r="R13" s="784"/>
      <c r="S13" s="784"/>
      <c r="T13" s="784"/>
      <c r="U13" s="784"/>
      <c r="V13" s="784"/>
      <c r="W13" s="784"/>
      <c r="X13" s="784"/>
      <c r="Y13" s="784"/>
      <c r="Z13" s="784"/>
      <c r="AA13" s="784"/>
      <c r="AB13" s="883"/>
      <c r="AC13" s="883"/>
      <c r="AD13" s="883"/>
      <c r="AE13" s="883"/>
      <c r="AF13" s="883"/>
      <c r="AG13" s="883"/>
      <c r="AH13" s="883"/>
      <c r="AI13" s="883"/>
      <c r="AJ13" s="883"/>
      <c r="AK13" s="883"/>
      <c r="AL13" s="883"/>
      <c r="AM13" s="883"/>
      <c r="AN13" s="883"/>
      <c r="AO13" s="883"/>
      <c r="AP13" s="883"/>
      <c r="AQ13" s="883"/>
      <c r="AR13" s="883"/>
      <c r="AS13" s="883"/>
      <c r="AT13" s="885"/>
      <c r="AU13" s="160"/>
      <c r="AV13" s="691">
        <v>1</v>
      </c>
      <c r="AW13" s="706" t="s">
        <v>2088</v>
      </c>
      <c r="AX13" s="151"/>
      <c r="AY13" s="151"/>
      <c r="AZ13" s="158" t="s">
        <v>371</v>
      </c>
      <c r="BA13" s="151" t="s">
        <v>1931</v>
      </c>
      <c r="BB13" s="151"/>
      <c r="BC13" s="151"/>
      <c r="BD13" s="151"/>
      <c r="BE13" s="151"/>
      <c r="BF13" s="164"/>
      <c r="BG13" s="164" t="s">
        <v>803</v>
      </c>
      <c r="BH13" s="164"/>
      <c r="BI13" s="164"/>
      <c r="BJ13" s="164"/>
      <c r="BK13" s="164"/>
      <c r="BL13" s="164"/>
      <c r="BM13" s="164"/>
      <c r="BN13" s="164"/>
      <c r="BO13" s="152" t="s">
        <v>1194</v>
      </c>
      <c r="BP13" s="164" t="s">
        <v>1420</v>
      </c>
      <c r="BQ13" s="295"/>
      <c r="BR13" s="152"/>
      <c r="BS13" s="152"/>
      <c r="BT13" s="152"/>
      <c r="BU13" s="153"/>
      <c r="BV13" s="153"/>
      <c r="BW13" s="153"/>
      <c r="BX13" s="153"/>
      <c r="BY13" s="153"/>
      <c r="BZ13" s="153"/>
    </row>
    <row r="14" spans="1:78" s="154" customFormat="1" ht="60" hidden="1" customHeight="1">
      <c r="A14" s="148"/>
      <c r="B14" s="256"/>
      <c r="C14" s="1482"/>
      <c r="D14" s="1483"/>
      <c r="E14" s="1483"/>
      <c r="F14" s="1483"/>
      <c r="G14" s="1483"/>
      <c r="H14" s="1484"/>
      <c r="I14" s="1831" t="s">
        <v>2264</v>
      </c>
      <c r="J14" s="1832"/>
      <c r="K14" s="1832"/>
      <c r="L14" s="1832"/>
      <c r="M14" s="1832"/>
      <c r="N14" s="1832"/>
      <c r="O14" s="1832"/>
      <c r="P14" s="1832"/>
      <c r="Q14" s="1832"/>
      <c r="R14" s="1832"/>
      <c r="S14" s="1832"/>
      <c r="T14" s="1832"/>
      <c r="U14" s="1832"/>
      <c r="V14" s="1832"/>
      <c r="W14" s="1832"/>
      <c r="X14" s="1832"/>
      <c r="Y14" s="1832"/>
      <c r="Z14" s="1832"/>
      <c r="AA14" s="1832"/>
      <c r="AB14" s="1829" t="s">
        <v>2098</v>
      </c>
      <c r="AC14" s="1829"/>
      <c r="AD14" s="1829"/>
      <c r="AE14" s="1829"/>
      <c r="AF14" s="1829"/>
      <c r="AG14" s="1829"/>
      <c r="AH14" s="1829"/>
      <c r="AI14" s="1829"/>
      <c r="AJ14" s="1829"/>
      <c r="AK14" s="1829"/>
      <c r="AL14" s="1829"/>
      <c r="AM14" s="1829"/>
      <c r="AN14" s="1829"/>
      <c r="AO14" s="1829"/>
      <c r="AP14" s="1829"/>
      <c r="AQ14" s="1829"/>
      <c r="AR14" s="1829"/>
      <c r="AS14" s="1829"/>
      <c r="AT14" s="1830"/>
      <c r="AU14" s="160"/>
      <c r="AV14" s="166"/>
      <c r="AW14" s="151"/>
      <c r="AX14" s="151"/>
      <c r="AY14" s="151"/>
      <c r="AZ14" s="158" t="s">
        <v>373</v>
      </c>
      <c r="BA14" s="151" t="s">
        <v>1931</v>
      </c>
      <c r="BB14" s="151"/>
      <c r="BC14" s="151"/>
      <c r="BD14" s="151"/>
      <c r="BE14" s="151"/>
      <c r="BF14" s="152"/>
      <c r="BG14" s="152" t="s">
        <v>1</v>
      </c>
      <c r="BH14" s="152"/>
      <c r="BI14" s="152"/>
      <c r="BJ14" s="152"/>
      <c r="BK14" s="152" t="s">
        <v>2039</v>
      </c>
      <c r="BL14" s="152"/>
      <c r="BM14" s="152"/>
      <c r="BN14" s="152"/>
      <c r="BO14" s="164" t="s">
        <v>1195</v>
      </c>
      <c r="BP14" s="152" t="s">
        <v>1421</v>
      </c>
      <c r="BQ14" s="294"/>
      <c r="BR14" s="152"/>
      <c r="BS14" s="152"/>
      <c r="BT14" s="152"/>
      <c r="BU14" s="153"/>
      <c r="BV14" s="153"/>
      <c r="BW14" s="153"/>
      <c r="BX14" s="153"/>
      <c r="BY14" s="153"/>
      <c r="BZ14" s="153"/>
    </row>
    <row r="15" spans="1:78" s="154" customFormat="1" ht="60" hidden="1" customHeight="1">
      <c r="A15" s="148"/>
      <c r="B15" s="256"/>
      <c r="C15" s="1482"/>
      <c r="D15" s="1483"/>
      <c r="E15" s="1483"/>
      <c r="F15" s="1483"/>
      <c r="G15" s="1483"/>
      <c r="H15" s="1484"/>
      <c r="I15" s="1828" t="s">
        <v>2096</v>
      </c>
      <c r="J15" s="1829"/>
      <c r="K15" s="1829"/>
      <c r="L15" s="1829"/>
      <c r="M15" s="1829"/>
      <c r="N15" s="1829"/>
      <c r="O15" s="1829"/>
      <c r="P15" s="1829"/>
      <c r="Q15" s="1829"/>
      <c r="R15" s="1829"/>
      <c r="S15" s="1829"/>
      <c r="T15" s="1829"/>
      <c r="U15" s="1829"/>
      <c r="V15" s="1829"/>
      <c r="W15" s="1829"/>
      <c r="X15" s="1829"/>
      <c r="Y15" s="1829"/>
      <c r="Z15" s="1829"/>
      <c r="AA15" s="1829"/>
      <c r="AB15" s="1829"/>
      <c r="AC15" s="1829"/>
      <c r="AD15" s="1829"/>
      <c r="AE15" s="1829"/>
      <c r="AF15" s="1829"/>
      <c r="AG15" s="1829"/>
      <c r="AH15" s="1829"/>
      <c r="AI15" s="1829"/>
      <c r="AJ15" s="1829"/>
      <c r="AK15" s="1829"/>
      <c r="AL15" s="1829"/>
      <c r="AM15" s="1829"/>
      <c r="AN15" s="1829"/>
      <c r="AO15" s="1829"/>
      <c r="AP15" s="1829"/>
      <c r="AQ15" s="1829"/>
      <c r="AR15" s="1829"/>
      <c r="AS15" s="1829"/>
      <c r="AT15" s="1830"/>
      <c r="AU15" s="160"/>
      <c r="AV15" s="166"/>
      <c r="AW15" s="151"/>
      <c r="AX15" s="151"/>
      <c r="AY15" s="151"/>
      <c r="AZ15" s="158" t="s">
        <v>374</v>
      </c>
      <c r="BA15" s="151" t="s">
        <v>1932</v>
      </c>
      <c r="BB15" s="151"/>
      <c r="BC15" s="151"/>
      <c r="BD15" s="151"/>
      <c r="BE15" s="151"/>
      <c r="BF15" s="152"/>
      <c r="BG15" s="152" t="s">
        <v>804</v>
      </c>
      <c r="BH15" s="152"/>
      <c r="BI15" s="152"/>
      <c r="BJ15" s="152"/>
      <c r="BK15" s="630" t="s">
        <v>2040</v>
      </c>
      <c r="BL15" s="152" t="s">
        <v>1052</v>
      </c>
      <c r="BM15" s="152"/>
      <c r="BN15" s="152"/>
      <c r="BO15" s="152" t="s">
        <v>1196</v>
      </c>
      <c r="BP15" s="152" t="s">
        <v>1422</v>
      </c>
      <c r="BQ15" s="294"/>
      <c r="BR15" s="152"/>
      <c r="BS15" s="152"/>
      <c r="BT15" s="152"/>
      <c r="BU15" s="153"/>
      <c r="BV15" s="153"/>
      <c r="BW15" s="153"/>
      <c r="BX15" s="153"/>
      <c r="BY15" s="153"/>
      <c r="BZ15" s="153"/>
    </row>
    <row r="16" spans="1:78" ht="16">
      <c r="A16" s="148"/>
      <c r="B16" s="256"/>
      <c r="C16" s="1482"/>
      <c r="D16" s="1483"/>
      <c r="E16" s="1483"/>
      <c r="F16" s="1483"/>
      <c r="G16" s="1483"/>
      <c r="H16" s="1484"/>
      <c r="I16" s="1829" t="s">
        <v>2095</v>
      </c>
      <c r="J16" s="1829"/>
      <c r="K16" s="1829"/>
      <c r="L16" s="1829"/>
      <c r="M16" s="1829"/>
      <c r="N16" s="1829"/>
      <c r="O16" s="1829"/>
      <c r="P16" s="1829"/>
      <c r="Q16" s="1829"/>
      <c r="R16" s="1829"/>
      <c r="S16" s="1829"/>
      <c r="T16" s="1829"/>
      <c r="U16" s="1829"/>
      <c r="V16" s="1829"/>
      <c r="W16" s="1829"/>
      <c r="X16" s="1829"/>
      <c r="Y16" s="1829"/>
      <c r="Z16" s="1829"/>
      <c r="AA16" s="1829"/>
      <c r="AB16" s="1829"/>
      <c r="AC16" s="1829"/>
      <c r="AD16" s="1829"/>
      <c r="AE16" s="1829"/>
      <c r="AF16" s="1829"/>
      <c r="AG16" s="1829"/>
      <c r="AH16" s="1829"/>
      <c r="AI16" s="1829"/>
      <c r="AJ16" s="1829"/>
      <c r="AK16" s="1829"/>
      <c r="AL16" s="1829"/>
      <c r="AM16" s="1829"/>
      <c r="AN16" s="1829"/>
      <c r="AO16" s="1829"/>
      <c r="AP16" s="1829"/>
      <c r="AQ16" s="1829"/>
      <c r="AR16" s="1829"/>
      <c r="AS16" s="1829"/>
      <c r="AT16" s="1830"/>
      <c r="AU16" s="160"/>
      <c r="AW16" s="151"/>
      <c r="AX16" s="151"/>
      <c r="AY16" s="151"/>
      <c r="AZ16" s="158" t="s">
        <v>760</v>
      </c>
      <c r="BA16" s="151" t="s">
        <v>1931</v>
      </c>
      <c r="BB16" s="151"/>
      <c r="BC16" s="151"/>
      <c r="BD16" s="151"/>
      <c r="BE16" s="151"/>
      <c r="BF16" s="152"/>
      <c r="BG16" s="152" t="s">
        <v>805</v>
      </c>
      <c r="BH16" s="152"/>
      <c r="BI16" s="152"/>
      <c r="BJ16" s="152"/>
      <c r="BK16" s="630" t="s">
        <v>791</v>
      </c>
      <c r="BL16" s="152" t="s">
        <v>2033</v>
      </c>
      <c r="BM16" s="152"/>
      <c r="BN16" s="152"/>
      <c r="BO16" s="152" t="s">
        <v>1197</v>
      </c>
      <c r="BP16" s="152" t="s">
        <v>1423</v>
      </c>
      <c r="BQ16" s="294"/>
      <c r="BR16" s="152"/>
      <c r="BS16" s="152"/>
      <c r="BT16" s="152"/>
    </row>
    <row r="17" spans="1:78" ht="30" customHeight="1" thickBot="1">
      <c r="A17" s="148"/>
      <c r="B17" s="256"/>
      <c r="C17" s="1495"/>
      <c r="D17" s="1496"/>
      <c r="E17" s="1496"/>
      <c r="F17" s="1496"/>
      <c r="G17" s="1496"/>
      <c r="H17" s="1497"/>
      <c r="I17" s="692" t="s">
        <v>1181</v>
      </c>
      <c r="J17" s="167"/>
      <c r="K17" s="688"/>
      <c r="L17" s="688"/>
      <c r="M17" s="688"/>
      <c r="N17" s="688"/>
      <c r="O17" s="689"/>
      <c r="P17" s="690"/>
      <c r="Q17" s="704"/>
      <c r="R17" s="704"/>
      <c r="S17" s="704"/>
      <c r="T17" s="704"/>
      <c r="U17" s="704"/>
      <c r="V17" s="704"/>
      <c r="W17" s="704"/>
      <c r="X17" s="704"/>
      <c r="Y17" s="704"/>
      <c r="Z17" s="704"/>
      <c r="AA17" s="704"/>
      <c r="AB17" s="704"/>
      <c r="AC17" s="704"/>
      <c r="AD17" s="704"/>
      <c r="AE17" s="704"/>
      <c r="AF17" s="704"/>
      <c r="AG17" s="704"/>
      <c r="AH17" s="704"/>
      <c r="AI17" s="704"/>
      <c r="AJ17" s="704"/>
      <c r="AK17" s="704"/>
      <c r="AL17" s="704"/>
      <c r="AM17" s="704"/>
      <c r="AN17" s="704"/>
      <c r="AO17" s="704"/>
      <c r="AP17" s="704"/>
      <c r="AQ17" s="704"/>
      <c r="AR17" s="704"/>
      <c r="AS17" s="704"/>
      <c r="AT17" s="705"/>
      <c r="AU17" s="160"/>
      <c r="AW17" s="151"/>
      <c r="AX17" s="151"/>
      <c r="AY17" s="151"/>
      <c r="AZ17" s="158" t="s">
        <v>965</v>
      </c>
      <c r="BA17" s="151" t="s">
        <v>1933</v>
      </c>
      <c r="BB17" s="151"/>
      <c r="BC17" s="151"/>
      <c r="BD17" s="151"/>
      <c r="BE17" s="151"/>
      <c r="BF17" s="152"/>
      <c r="BG17" s="152" t="s">
        <v>806</v>
      </c>
      <c r="BH17" s="152"/>
      <c r="BI17" s="152"/>
      <c r="BJ17" s="152"/>
      <c r="BK17" s="630" t="s">
        <v>793</v>
      </c>
      <c r="BL17" s="152" t="s">
        <v>2034</v>
      </c>
      <c r="BM17" s="152"/>
      <c r="BN17" s="152"/>
      <c r="BO17" s="152" t="s">
        <v>1198</v>
      </c>
      <c r="BP17" s="152" t="s">
        <v>1424</v>
      </c>
      <c r="BQ17" s="294"/>
      <c r="BR17" s="152"/>
      <c r="BS17" s="152"/>
      <c r="BT17" s="152"/>
    </row>
    <row r="18" spans="1:78" ht="18" customHeight="1">
      <c r="A18" s="148"/>
      <c r="B18" s="256"/>
      <c r="C18" s="1482" t="s">
        <v>2086</v>
      </c>
      <c r="D18" s="1483"/>
      <c r="E18" s="1483"/>
      <c r="F18" s="1483"/>
      <c r="G18" s="1483"/>
      <c r="H18" s="1484"/>
      <c r="I18" s="701"/>
      <c r="J18" s="712"/>
      <c r="K18" s="712"/>
      <c r="L18" s="1474" t="s">
        <v>2091</v>
      </c>
      <c r="M18" s="1474"/>
      <c r="N18" s="1474"/>
      <c r="O18" s="1474"/>
      <c r="P18" s="719"/>
      <c r="Q18" s="719"/>
      <c r="R18" s="719"/>
      <c r="S18" s="1806" t="s">
        <v>2092</v>
      </c>
      <c r="T18" s="1806"/>
      <c r="U18" s="1806"/>
      <c r="V18" s="1806"/>
      <c r="W18" s="719"/>
      <c r="X18" s="719"/>
      <c r="Y18" s="719"/>
      <c r="Z18" s="719"/>
      <c r="AA18" s="702"/>
      <c r="AB18" s="703"/>
      <c r="AC18" s="719"/>
      <c r="AD18" s="719"/>
      <c r="AE18" s="1808" t="s">
        <v>1014</v>
      </c>
      <c r="AF18" s="1808"/>
      <c r="AG18" s="1808"/>
      <c r="AH18" s="1808"/>
      <c r="AI18" s="719"/>
      <c r="AJ18" s="719"/>
      <c r="AK18" s="719"/>
      <c r="AL18" s="1808" t="s">
        <v>2090</v>
      </c>
      <c r="AM18" s="1808"/>
      <c r="AN18" s="1808"/>
      <c r="AO18" s="1808"/>
      <c r="AP18" s="719"/>
      <c r="AQ18" s="719"/>
      <c r="AR18" s="719"/>
      <c r="AS18" s="719"/>
      <c r="AT18" s="694"/>
      <c r="AU18" s="160"/>
      <c r="AV18" s="151" t="b">
        <v>1</v>
      </c>
      <c r="AW18" s="151" t="s">
        <v>2094</v>
      </c>
      <c r="AX18" s="151"/>
      <c r="AY18" s="151"/>
      <c r="AZ18" s="166" t="s">
        <v>375</v>
      </c>
      <c r="BA18" s="151" t="s">
        <v>1933</v>
      </c>
      <c r="BB18" s="151"/>
      <c r="BC18" s="151"/>
      <c r="BD18" s="151"/>
      <c r="BE18" s="151"/>
      <c r="BF18" s="152"/>
      <c r="BG18" s="152" t="s">
        <v>807</v>
      </c>
      <c r="BH18" s="152"/>
      <c r="BI18" s="152"/>
      <c r="BJ18" s="152"/>
      <c r="BK18" s="630" t="s">
        <v>795</v>
      </c>
      <c r="BL18" s="152" t="s">
        <v>2035</v>
      </c>
      <c r="BM18" s="152"/>
      <c r="BN18" s="152"/>
      <c r="BO18" s="152" t="s">
        <v>1199</v>
      </c>
      <c r="BP18" s="152" t="s">
        <v>1425</v>
      </c>
      <c r="BQ18" s="294"/>
      <c r="BR18" s="152"/>
      <c r="BS18" s="152"/>
      <c r="BT18" s="152"/>
    </row>
    <row r="19" spans="1:78" ht="18" customHeight="1" thickBot="1">
      <c r="A19" s="148"/>
      <c r="B19" s="256"/>
      <c r="C19" s="1495"/>
      <c r="D19" s="1496"/>
      <c r="E19" s="1496"/>
      <c r="F19" s="1496"/>
      <c r="G19" s="1496"/>
      <c r="H19" s="1497"/>
      <c r="I19" s="695"/>
      <c r="J19" s="714"/>
      <c r="K19" s="714"/>
      <c r="L19" s="1475"/>
      <c r="M19" s="1475"/>
      <c r="N19" s="1475"/>
      <c r="O19" s="1475"/>
      <c r="P19" s="696"/>
      <c r="Q19" s="697"/>
      <c r="R19" s="697"/>
      <c r="S19" s="1807"/>
      <c r="T19" s="1807"/>
      <c r="U19" s="1807"/>
      <c r="V19" s="1807"/>
      <c r="W19" s="697"/>
      <c r="X19" s="697"/>
      <c r="Y19" s="697"/>
      <c r="Z19" s="697"/>
      <c r="AA19" s="698"/>
      <c r="AB19" s="700"/>
      <c r="AC19" s="697"/>
      <c r="AD19" s="697"/>
      <c r="AE19" s="1809"/>
      <c r="AF19" s="1809"/>
      <c r="AG19" s="1809"/>
      <c r="AH19" s="1809"/>
      <c r="AI19" s="697"/>
      <c r="AJ19" s="697"/>
      <c r="AK19" s="697"/>
      <c r="AL19" s="1809"/>
      <c r="AM19" s="1809"/>
      <c r="AN19" s="1809"/>
      <c r="AO19" s="1809"/>
      <c r="AP19" s="697"/>
      <c r="AQ19" s="697"/>
      <c r="AR19" s="697"/>
      <c r="AS19" s="697"/>
      <c r="AT19" s="699"/>
      <c r="AU19" s="160"/>
      <c r="AV19" s="151"/>
      <c r="AW19" s="151"/>
      <c r="AX19" s="151"/>
      <c r="AY19" s="151"/>
      <c r="BA19" s="151"/>
      <c r="BB19" s="151"/>
      <c r="BC19" s="151"/>
      <c r="BD19" s="151"/>
      <c r="BE19" s="151"/>
      <c r="BF19" s="152"/>
      <c r="BG19" s="152" t="s">
        <v>808</v>
      </c>
      <c r="BH19" s="152"/>
      <c r="BI19" s="152"/>
      <c r="BJ19" s="152"/>
      <c r="BK19" s="630" t="s">
        <v>797</v>
      </c>
      <c r="BL19" s="152" t="s">
        <v>2041</v>
      </c>
      <c r="BM19" s="152"/>
      <c r="BN19" s="152"/>
      <c r="BO19" s="152" t="s">
        <v>1200</v>
      </c>
      <c r="BP19" s="152" t="s">
        <v>1426</v>
      </c>
      <c r="BQ19" s="294"/>
      <c r="BR19" s="152"/>
      <c r="BS19" s="152"/>
      <c r="BT19" s="152"/>
    </row>
    <row r="20" spans="1:78" ht="18.649999999999999" customHeight="1">
      <c r="A20" s="148"/>
      <c r="B20" s="249"/>
      <c r="C20" s="1551" t="s">
        <v>1072</v>
      </c>
      <c r="D20" s="1552"/>
      <c r="E20" s="1552"/>
      <c r="F20" s="1552"/>
      <c r="G20" s="1552"/>
      <c r="H20" s="1553"/>
      <c r="I20" s="1810" t="s">
        <v>1074</v>
      </c>
      <c r="J20" s="1811"/>
      <c r="K20" s="1811"/>
      <c r="L20" s="1811"/>
      <c r="M20" s="1811"/>
      <c r="N20" s="1811"/>
      <c r="O20" s="1811"/>
      <c r="P20" s="1811"/>
      <c r="Q20" s="1811"/>
      <c r="R20" s="1811"/>
      <c r="S20" s="1811"/>
      <c r="T20" s="1811"/>
      <c r="U20" s="1811"/>
      <c r="V20" s="1811"/>
      <c r="W20" s="1811"/>
      <c r="X20" s="1811"/>
      <c r="Y20" s="1811"/>
      <c r="Z20" s="1811"/>
      <c r="AA20" s="1811"/>
      <c r="AB20" s="1811"/>
      <c r="AC20" s="1811"/>
      <c r="AD20" s="1811"/>
      <c r="AE20" s="1811"/>
      <c r="AF20" s="1811"/>
      <c r="AG20" s="1811"/>
      <c r="AH20" s="1811"/>
      <c r="AI20" s="1811"/>
      <c r="AJ20" s="1811"/>
      <c r="AK20" s="1811"/>
      <c r="AL20" s="1811"/>
      <c r="AM20" s="1811"/>
      <c r="AN20" s="707"/>
      <c r="AO20" s="1816" t="s">
        <v>1096</v>
      </c>
      <c r="AP20" s="1816"/>
      <c r="AQ20" s="1816"/>
      <c r="AR20" s="1782" t="s">
        <v>1176</v>
      </c>
      <c r="AS20" s="1782"/>
      <c r="AT20" s="1783"/>
      <c r="AU20" s="160"/>
      <c r="AV20" s="151"/>
      <c r="AW20" s="151"/>
      <c r="AX20" s="151"/>
      <c r="AY20" s="151"/>
      <c r="BA20" s="151"/>
      <c r="BB20" s="151"/>
      <c r="BC20" s="151"/>
      <c r="BD20" s="151"/>
      <c r="BE20" s="151"/>
      <c r="BF20" s="152"/>
      <c r="BG20" s="152" t="s">
        <v>809</v>
      </c>
      <c r="BH20" s="152"/>
      <c r="BI20" s="152"/>
      <c r="BJ20" s="152"/>
      <c r="BK20" s="630" t="s">
        <v>799</v>
      </c>
      <c r="BL20" s="152" t="s">
        <v>2041</v>
      </c>
      <c r="BM20" s="152"/>
      <c r="BN20" s="152"/>
      <c r="BO20" s="152" t="s">
        <v>1201</v>
      </c>
      <c r="BP20" s="152" t="s">
        <v>1427</v>
      </c>
      <c r="BQ20" s="294"/>
      <c r="BR20" s="152"/>
      <c r="BS20" s="152"/>
      <c r="BT20" s="152"/>
    </row>
    <row r="21" spans="1:78" ht="18.649999999999999" customHeight="1">
      <c r="A21" s="148"/>
      <c r="B21" s="249"/>
      <c r="C21" s="1409"/>
      <c r="D21" s="1410"/>
      <c r="E21" s="1410"/>
      <c r="F21" s="1410"/>
      <c r="G21" s="1410"/>
      <c r="H21" s="1411"/>
      <c r="I21" s="1812"/>
      <c r="J21" s="1813"/>
      <c r="K21" s="1813"/>
      <c r="L21" s="1813"/>
      <c r="M21" s="1813"/>
      <c r="N21" s="1813"/>
      <c r="O21" s="1813"/>
      <c r="P21" s="1813"/>
      <c r="Q21" s="1813"/>
      <c r="R21" s="1813"/>
      <c r="S21" s="1813"/>
      <c r="T21" s="1813"/>
      <c r="U21" s="1813"/>
      <c r="V21" s="1813"/>
      <c r="W21" s="1813"/>
      <c r="X21" s="1813"/>
      <c r="Y21" s="1813"/>
      <c r="Z21" s="1813"/>
      <c r="AA21" s="1813"/>
      <c r="AB21" s="1813"/>
      <c r="AC21" s="1813"/>
      <c r="AD21" s="1813"/>
      <c r="AE21" s="1813"/>
      <c r="AF21" s="1813"/>
      <c r="AG21" s="1813"/>
      <c r="AH21" s="1813"/>
      <c r="AI21" s="1813"/>
      <c r="AJ21" s="1813"/>
      <c r="AK21" s="1813"/>
      <c r="AL21" s="1813"/>
      <c r="AM21" s="1813"/>
      <c r="AN21" s="708" t="s">
        <v>1175</v>
      </c>
      <c r="AO21" s="1817"/>
      <c r="AP21" s="1817"/>
      <c r="AQ21" s="1817"/>
      <c r="AR21" s="1784"/>
      <c r="AS21" s="1784"/>
      <c r="AT21" s="1785"/>
      <c r="AU21" s="160"/>
      <c r="AV21" s="627">
        <v>1</v>
      </c>
      <c r="AW21" s="151" t="s">
        <v>2097</v>
      </c>
      <c r="AX21" s="151"/>
      <c r="AY21" s="151"/>
      <c r="BA21" s="151"/>
      <c r="BB21" s="151"/>
      <c r="BC21" s="151"/>
      <c r="BD21" s="151"/>
      <c r="BE21" s="151"/>
      <c r="BF21" s="152"/>
      <c r="BG21" s="152" t="s">
        <v>810</v>
      </c>
      <c r="BH21" s="152"/>
      <c r="BI21" s="152"/>
      <c r="BJ21" s="152"/>
      <c r="BK21" s="630" t="s">
        <v>800</v>
      </c>
      <c r="BL21" s="152" t="s">
        <v>2041</v>
      </c>
      <c r="BM21" s="152"/>
      <c r="BN21" s="152"/>
      <c r="BO21" s="152" t="s">
        <v>1202</v>
      </c>
      <c r="BP21" s="152" t="s">
        <v>1428</v>
      </c>
      <c r="BQ21" s="294"/>
      <c r="BR21" s="152"/>
      <c r="BS21" s="152"/>
      <c r="BT21" s="152"/>
    </row>
    <row r="22" spans="1:78" ht="18.649999999999999" customHeight="1" thickBot="1">
      <c r="A22" s="148"/>
      <c r="B22" s="249"/>
      <c r="C22" s="1412"/>
      <c r="D22" s="1413"/>
      <c r="E22" s="1413"/>
      <c r="F22" s="1413"/>
      <c r="G22" s="1413"/>
      <c r="H22" s="1414"/>
      <c r="I22" s="1814"/>
      <c r="J22" s="1815"/>
      <c r="K22" s="1815"/>
      <c r="L22" s="1815"/>
      <c r="M22" s="1815"/>
      <c r="N22" s="1815"/>
      <c r="O22" s="1815"/>
      <c r="P22" s="1815"/>
      <c r="Q22" s="1815"/>
      <c r="R22" s="1815"/>
      <c r="S22" s="1815"/>
      <c r="T22" s="1815"/>
      <c r="U22" s="1815"/>
      <c r="V22" s="1815"/>
      <c r="W22" s="1815"/>
      <c r="X22" s="1815"/>
      <c r="Y22" s="1815"/>
      <c r="Z22" s="1815"/>
      <c r="AA22" s="1815"/>
      <c r="AB22" s="1815"/>
      <c r="AC22" s="1815"/>
      <c r="AD22" s="1815"/>
      <c r="AE22" s="1815"/>
      <c r="AF22" s="1815"/>
      <c r="AG22" s="1815"/>
      <c r="AH22" s="1815"/>
      <c r="AI22" s="1815"/>
      <c r="AJ22" s="1815"/>
      <c r="AK22" s="1815"/>
      <c r="AL22" s="1815"/>
      <c r="AM22" s="1815"/>
      <c r="AN22" s="711"/>
      <c r="AO22" s="1818"/>
      <c r="AP22" s="1818"/>
      <c r="AQ22" s="1818"/>
      <c r="AR22" s="1786"/>
      <c r="AS22" s="1786"/>
      <c r="AT22" s="1787"/>
      <c r="AU22" s="160"/>
      <c r="AV22" s="151"/>
      <c r="AW22" s="151"/>
      <c r="AX22" s="151"/>
      <c r="AY22" s="151"/>
      <c r="BA22" s="151"/>
      <c r="BB22" s="151"/>
      <c r="BC22" s="151"/>
      <c r="BD22" s="151"/>
      <c r="BE22" s="151"/>
      <c r="BF22" s="152"/>
      <c r="BG22" s="168" t="s">
        <v>792</v>
      </c>
      <c r="BH22" s="152"/>
      <c r="BI22" s="152"/>
      <c r="BJ22" s="152"/>
      <c r="BK22" s="152"/>
      <c r="BL22" s="152"/>
      <c r="BM22" s="152"/>
      <c r="BN22" s="152"/>
      <c r="BO22" s="152" t="s">
        <v>1203</v>
      </c>
      <c r="BP22" s="152" t="s">
        <v>1429</v>
      </c>
      <c r="BQ22" s="294"/>
      <c r="BR22" s="152"/>
      <c r="BS22" s="152"/>
      <c r="BT22" s="152"/>
    </row>
    <row r="23" spans="1:78" ht="18.649999999999999" customHeight="1">
      <c r="A23" s="148"/>
      <c r="B23" s="249"/>
      <c r="C23" s="1788" t="str">
        <f>IF(AV18=FALSE,"↑規約をご確認のうえ、申し込みのチェックをお願いいたします。",IF(OR(AV12=0,AV13=0),"↑申込区分の選択をお願いいたします。",IF(AV21=0,"↑特定商取引法、消費者契約法に関するご申告をお願いいたします。",IF(OR(AV27="NG",AV34="NG",AV51="NG",AV65="NG"),"↓フリガナには数字・記号を入れずカナのみご記入下さい。",IF(OR(B27=1,B48=1,B60=1,B104=1,B117=1),"↓未記入の箇所がございます。お手数ですが全て漏れなくご記入下さい。","")))))</f>
        <v>↓未記入の箇所がございます。お手数ですが全て漏れなくご記入下さい。</v>
      </c>
      <c r="D23" s="1788"/>
      <c r="E23" s="1788"/>
      <c r="F23" s="1788"/>
      <c r="G23" s="1788"/>
      <c r="H23" s="1788"/>
      <c r="I23" s="1788"/>
      <c r="J23" s="1788"/>
      <c r="K23" s="1788"/>
      <c r="L23" s="1788"/>
      <c r="M23" s="1788"/>
      <c r="N23" s="1788"/>
      <c r="O23" s="1788"/>
      <c r="P23" s="1788"/>
      <c r="Q23" s="1788"/>
      <c r="R23" s="1788"/>
      <c r="S23" s="1788"/>
      <c r="T23" s="1788"/>
      <c r="U23" s="1788"/>
      <c r="V23" s="1788"/>
      <c r="W23" s="1788"/>
      <c r="X23" s="1788"/>
      <c r="Y23" s="1788"/>
      <c r="Z23" s="1788"/>
      <c r="AA23" s="1788"/>
      <c r="AB23" s="1788"/>
      <c r="AC23" s="1788"/>
      <c r="AD23" s="1788"/>
      <c r="AE23" s="1788"/>
      <c r="AF23" s="1788"/>
      <c r="AG23" s="1788"/>
      <c r="AH23" s="1788"/>
      <c r="AI23" s="1788"/>
      <c r="AJ23" s="1788"/>
      <c r="AK23" s="1788"/>
      <c r="AL23" s="1788"/>
      <c r="AM23" s="1788"/>
      <c r="AN23" s="1788"/>
      <c r="AO23" s="1788"/>
      <c r="AP23" s="1788"/>
      <c r="AQ23" s="1788"/>
      <c r="AR23" s="1788"/>
      <c r="AS23" s="1788"/>
      <c r="AT23" s="1788"/>
      <c r="AU23" s="160"/>
      <c r="AV23" s="151"/>
      <c r="AW23" s="151"/>
      <c r="AX23" s="151"/>
      <c r="AY23" s="151"/>
      <c r="BA23" s="151"/>
      <c r="BB23" s="151"/>
      <c r="BC23" s="151"/>
      <c r="BD23" s="151"/>
      <c r="BE23" s="151"/>
      <c r="BF23" s="152"/>
      <c r="BG23" s="152" t="s">
        <v>811</v>
      </c>
      <c r="BH23" s="152"/>
      <c r="BI23" s="152"/>
      <c r="BJ23" s="152"/>
      <c r="BK23" s="152" t="s">
        <v>2042</v>
      </c>
      <c r="BL23" s="152"/>
      <c r="BM23" s="152"/>
      <c r="BN23" s="152"/>
      <c r="BO23" s="152" t="s">
        <v>1204</v>
      </c>
      <c r="BP23" s="152" t="s">
        <v>1430</v>
      </c>
      <c r="BQ23" s="294"/>
      <c r="BR23" s="152"/>
      <c r="BS23" s="152"/>
      <c r="BT23" s="152"/>
    </row>
    <row r="24" spans="1:78" ht="18.649999999999999" customHeight="1">
      <c r="A24" s="148"/>
      <c r="B24" s="249"/>
      <c r="C24" s="1789"/>
      <c r="D24" s="1789"/>
      <c r="E24" s="1789"/>
      <c r="F24" s="1789"/>
      <c r="G24" s="1789"/>
      <c r="H24" s="1789"/>
      <c r="I24" s="1789"/>
      <c r="J24" s="1789"/>
      <c r="K24" s="1789"/>
      <c r="L24" s="1789"/>
      <c r="M24" s="1789"/>
      <c r="N24" s="1789"/>
      <c r="O24" s="1789"/>
      <c r="P24" s="1789"/>
      <c r="Q24" s="1789"/>
      <c r="R24" s="1789"/>
      <c r="S24" s="1789"/>
      <c r="T24" s="1789"/>
      <c r="U24" s="1789"/>
      <c r="V24" s="1789"/>
      <c r="W24" s="1789"/>
      <c r="X24" s="1789"/>
      <c r="Y24" s="1789"/>
      <c r="Z24" s="1789"/>
      <c r="AA24" s="1789"/>
      <c r="AB24" s="1789"/>
      <c r="AC24" s="1789"/>
      <c r="AD24" s="1789"/>
      <c r="AE24" s="1789"/>
      <c r="AF24" s="1789"/>
      <c r="AG24" s="1789"/>
      <c r="AH24" s="1789"/>
      <c r="AI24" s="1789"/>
      <c r="AJ24" s="1789"/>
      <c r="AK24" s="1789"/>
      <c r="AL24" s="1789"/>
      <c r="AM24" s="1789"/>
      <c r="AN24" s="1789"/>
      <c r="AO24" s="1789"/>
      <c r="AP24" s="1789"/>
      <c r="AQ24" s="1789"/>
      <c r="AR24" s="1789"/>
      <c r="AS24" s="1789"/>
      <c r="AT24" s="1789"/>
      <c r="AU24" s="160"/>
      <c r="AV24" s="151"/>
      <c r="AW24" s="151"/>
      <c r="AX24" s="151"/>
      <c r="AY24" s="151"/>
      <c r="BA24" s="151"/>
      <c r="BB24" s="151"/>
      <c r="BC24" s="151"/>
      <c r="BD24" s="151"/>
      <c r="BE24" s="151"/>
      <c r="BF24" s="152"/>
      <c r="BG24" s="152" t="s">
        <v>812</v>
      </c>
      <c r="BH24" s="152"/>
      <c r="BI24" s="152"/>
      <c r="BJ24" s="152"/>
      <c r="BK24" s="630" t="s">
        <v>2040</v>
      </c>
      <c r="BL24" s="152" t="s">
        <v>2043</v>
      </c>
      <c r="BM24" s="152"/>
      <c r="BN24" s="152"/>
      <c r="BO24" s="152" t="s">
        <v>1205</v>
      </c>
      <c r="BP24" s="152" t="s">
        <v>1431</v>
      </c>
      <c r="BQ24" s="294"/>
      <c r="BR24" s="152"/>
      <c r="BS24" s="152"/>
      <c r="BT24" s="152"/>
    </row>
    <row r="25" spans="1:78" ht="18.649999999999999" customHeight="1">
      <c r="A25" s="148"/>
      <c r="B25" s="249"/>
      <c r="C25" s="169"/>
      <c r="D25" s="163"/>
      <c r="E25" s="163"/>
      <c r="F25" s="163"/>
      <c r="G25" s="163"/>
      <c r="H25" s="163"/>
      <c r="I25" s="163"/>
      <c r="J25" s="163"/>
      <c r="K25" s="163"/>
      <c r="L25" s="163"/>
      <c r="M25" s="1474" t="s">
        <v>945</v>
      </c>
      <c r="N25" s="1474"/>
      <c r="O25" s="1474"/>
      <c r="P25" s="1474"/>
      <c r="Q25" s="1474"/>
      <c r="R25" s="1474"/>
      <c r="S25" s="1474"/>
      <c r="T25" s="1474"/>
      <c r="U25" s="1474"/>
      <c r="V25" s="1474"/>
      <c r="W25" s="1474"/>
      <c r="X25" s="1474"/>
      <c r="Y25" s="1474"/>
      <c r="Z25" s="1474"/>
      <c r="AA25" s="1474"/>
      <c r="AB25" s="1474"/>
      <c r="AC25" s="1474"/>
      <c r="AD25" s="1474"/>
      <c r="AE25" s="1474"/>
      <c r="AF25" s="1474"/>
      <c r="AG25" s="1474"/>
      <c r="AH25" s="1474"/>
      <c r="AI25" s="1474"/>
      <c r="AJ25" s="1474"/>
      <c r="AK25" s="1474"/>
      <c r="AL25" s="1474"/>
      <c r="AM25" s="1474"/>
      <c r="AN25" s="1474"/>
      <c r="AO25" s="1474"/>
      <c r="AP25" s="1474"/>
      <c r="AQ25" s="1474"/>
      <c r="AR25" s="1474"/>
      <c r="AS25" s="1474"/>
      <c r="AT25" s="1474"/>
      <c r="AU25" s="160"/>
      <c r="AV25" s="151"/>
      <c r="AW25" s="151"/>
      <c r="AX25" s="151"/>
      <c r="AY25" s="151"/>
      <c r="BA25" s="151"/>
      <c r="BB25" s="151"/>
      <c r="BC25" s="151"/>
      <c r="BD25" s="151"/>
      <c r="BE25" s="151"/>
      <c r="BF25" s="152"/>
      <c r="BG25" s="152" t="s">
        <v>813</v>
      </c>
      <c r="BH25" s="152"/>
      <c r="BI25" s="152"/>
      <c r="BJ25" s="152"/>
      <c r="BK25" s="630" t="s">
        <v>791</v>
      </c>
      <c r="BL25" s="152" t="s">
        <v>2044</v>
      </c>
      <c r="BM25" s="152"/>
      <c r="BN25" s="152"/>
      <c r="BO25" s="152" t="s">
        <v>1206</v>
      </c>
      <c r="BP25" s="152" t="s">
        <v>1432</v>
      </c>
      <c r="BQ25" s="294"/>
      <c r="BR25" s="152"/>
      <c r="BS25" s="152"/>
      <c r="BT25" s="152"/>
    </row>
    <row r="26" spans="1:78" ht="18.649999999999999" customHeight="1" thickBot="1">
      <c r="A26" s="148"/>
      <c r="B26" s="249"/>
      <c r="C26" s="169"/>
      <c r="D26" s="148"/>
      <c r="E26" s="148"/>
      <c r="F26" s="148"/>
      <c r="G26" s="148"/>
      <c r="H26" s="148"/>
      <c r="I26" s="148"/>
      <c r="J26" s="148"/>
      <c r="K26" s="148"/>
      <c r="L26" s="148"/>
      <c r="M26" s="1474"/>
      <c r="N26" s="1474"/>
      <c r="O26" s="1474"/>
      <c r="P26" s="1474"/>
      <c r="Q26" s="1474"/>
      <c r="R26" s="1474"/>
      <c r="S26" s="1474"/>
      <c r="T26" s="1474"/>
      <c r="U26" s="1474"/>
      <c r="V26" s="1474"/>
      <c r="W26" s="1474"/>
      <c r="X26" s="1474"/>
      <c r="Y26" s="1474"/>
      <c r="Z26" s="1474"/>
      <c r="AA26" s="1474"/>
      <c r="AB26" s="1474"/>
      <c r="AC26" s="1474"/>
      <c r="AD26" s="1474"/>
      <c r="AE26" s="1474"/>
      <c r="AF26" s="1474"/>
      <c r="AG26" s="1474"/>
      <c r="AH26" s="1474"/>
      <c r="AI26" s="1474"/>
      <c r="AJ26" s="1474"/>
      <c r="AK26" s="1474"/>
      <c r="AL26" s="1474"/>
      <c r="AM26" s="1474"/>
      <c r="AN26" s="1474"/>
      <c r="AO26" s="1474"/>
      <c r="AP26" s="1474"/>
      <c r="AQ26" s="1474"/>
      <c r="AR26" s="1474"/>
      <c r="AS26" s="1474"/>
      <c r="AT26" s="1474"/>
      <c r="AU26" s="160"/>
      <c r="AV26" s="151"/>
      <c r="AW26" s="151"/>
      <c r="AX26" s="151"/>
      <c r="AY26" s="151"/>
      <c r="BA26" s="151"/>
      <c r="BB26" s="151"/>
      <c r="BC26" s="151"/>
      <c r="BD26" s="151"/>
      <c r="BE26" s="151"/>
      <c r="BF26" s="152"/>
      <c r="BG26" s="152"/>
      <c r="BH26" s="152"/>
      <c r="BI26" s="152"/>
      <c r="BJ26" s="152"/>
      <c r="BK26" s="630" t="s">
        <v>793</v>
      </c>
      <c r="BL26" s="152" t="s">
        <v>2034</v>
      </c>
      <c r="BM26" s="152"/>
      <c r="BN26" s="152"/>
      <c r="BO26" s="152" t="s">
        <v>1207</v>
      </c>
      <c r="BP26" s="152" t="s">
        <v>1433</v>
      </c>
      <c r="BQ26" s="294"/>
      <c r="BR26" s="152"/>
      <c r="BS26" s="152"/>
      <c r="BT26" s="152"/>
    </row>
    <row r="27" spans="1:78" ht="18" customHeight="1">
      <c r="A27" s="148"/>
      <c r="B27" s="249">
        <f>IF(OR(AV21=0,I27="",I28="",O34="",Z34="",J35="",M35="",I36="",N36="",V36="",AD36="",I38="",O38="",T38="",K39="",N39="",Q39="",AA39="",AN39="",I40="",I43="",X43="",AV27="NG",AV31="NG",AV34="NG",AV36="00",AV43="NG"),1,0)</f>
        <v>1</v>
      </c>
      <c r="C27" s="1476" t="s">
        <v>390</v>
      </c>
      <c r="D27" s="1477"/>
      <c r="E27" s="1477"/>
      <c r="F27" s="1477"/>
      <c r="G27" s="1477"/>
      <c r="H27" s="1478"/>
      <c r="I27" s="1790" t="s">
        <v>2193</v>
      </c>
      <c r="J27" s="1791"/>
      <c r="K27" s="1791"/>
      <c r="L27" s="1791"/>
      <c r="M27" s="1791"/>
      <c r="N27" s="1791"/>
      <c r="O27" s="1791"/>
      <c r="P27" s="1791"/>
      <c r="Q27" s="1791"/>
      <c r="R27" s="1791"/>
      <c r="S27" s="1791"/>
      <c r="T27" s="1791"/>
      <c r="U27" s="1791"/>
      <c r="V27" s="1791"/>
      <c r="W27" s="1791"/>
      <c r="X27" s="1791"/>
      <c r="Y27" s="1791"/>
      <c r="Z27" s="1791"/>
      <c r="AA27" s="1791"/>
      <c r="AB27" s="1791"/>
      <c r="AC27" s="1791"/>
      <c r="AD27" s="1791"/>
      <c r="AE27" s="1791"/>
      <c r="AF27" s="1791"/>
      <c r="AG27" s="1791"/>
      <c r="AH27" s="1791"/>
      <c r="AI27" s="1791"/>
      <c r="AJ27" s="1791"/>
      <c r="AK27" s="1791"/>
      <c r="AL27" s="1791"/>
      <c r="AM27" s="1791"/>
      <c r="AN27" s="1791"/>
      <c r="AO27" s="1791"/>
      <c r="AP27" s="1791"/>
      <c r="AQ27" s="1791"/>
      <c r="AR27" s="1791"/>
      <c r="AS27" s="1791"/>
      <c r="AT27" s="1792"/>
      <c r="AU27" s="160"/>
      <c r="AV27" s="151" t="str">
        <f>IF(ISERROR(FIND({"１","２","３","４","５","６","７","８","９","０","1","2","3","4","5","6","7","8","9","0","-","―","－","-","・","！","!","@","&amp;","."},I27)),"OK","NG")</f>
        <v>OK</v>
      </c>
      <c r="AW27" s="151"/>
      <c r="AX27" s="151"/>
      <c r="AY27" s="151"/>
      <c r="BA27" s="151"/>
      <c r="BB27" s="151"/>
      <c r="BC27" s="151"/>
      <c r="BD27" s="151"/>
      <c r="BE27" s="151"/>
      <c r="BF27" s="152"/>
      <c r="BG27" s="152"/>
      <c r="BH27" s="152"/>
      <c r="BI27" s="152"/>
      <c r="BJ27" s="152"/>
      <c r="BK27" s="630" t="s">
        <v>795</v>
      </c>
      <c r="BL27" s="152" t="s">
        <v>2044</v>
      </c>
      <c r="BM27" s="152"/>
      <c r="BN27" s="152"/>
      <c r="BO27" s="152" t="s">
        <v>1208</v>
      </c>
      <c r="BP27" s="152" t="s">
        <v>1434</v>
      </c>
      <c r="BQ27" s="294"/>
      <c r="BR27" s="152"/>
      <c r="BS27" s="152"/>
      <c r="BT27" s="152"/>
    </row>
    <row r="28" spans="1:78" ht="18" customHeight="1">
      <c r="A28" s="148"/>
      <c r="B28" s="249"/>
      <c r="C28" s="1771" t="s">
        <v>3567</v>
      </c>
      <c r="D28" s="1793"/>
      <c r="E28" s="1793"/>
      <c r="F28" s="1793"/>
      <c r="G28" s="1793"/>
      <c r="H28" s="1794"/>
      <c r="I28" s="1708" t="s">
        <v>3843</v>
      </c>
      <c r="J28" s="1709"/>
      <c r="K28" s="1709"/>
      <c r="L28" s="1709"/>
      <c r="M28" s="1709"/>
      <c r="N28" s="1709"/>
      <c r="O28" s="1709"/>
      <c r="P28" s="1709"/>
      <c r="Q28" s="1709"/>
      <c r="R28" s="1709"/>
      <c r="S28" s="1709"/>
      <c r="T28" s="1709"/>
      <c r="U28" s="1709"/>
      <c r="V28" s="1709"/>
      <c r="W28" s="1709"/>
      <c r="X28" s="1709"/>
      <c r="Y28" s="1709"/>
      <c r="Z28" s="1709"/>
      <c r="AA28" s="1709"/>
      <c r="AB28" s="1709"/>
      <c r="AC28" s="1709"/>
      <c r="AD28" s="1709"/>
      <c r="AE28" s="1709"/>
      <c r="AF28" s="1709"/>
      <c r="AG28" s="1709"/>
      <c r="AH28" s="1709"/>
      <c r="AI28" s="1709"/>
      <c r="AJ28" s="1709"/>
      <c r="AK28" s="1709"/>
      <c r="AL28" s="1709"/>
      <c r="AM28" s="1709"/>
      <c r="AN28" s="1709"/>
      <c r="AO28" s="1709"/>
      <c r="AP28" s="1709"/>
      <c r="AQ28" s="1709"/>
      <c r="AR28" s="1709"/>
      <c r="AS28" s="1709"/>
      <c r="AT28" s="1712"/>
      <c r="AU28" s="160"/>
      <c r="AV28" s="151"/>
      <c r="AW28" s="151"/>
      <c r="AX28" s="151"/>
      <c r="AY28" s="151"/>
      <c r="BA28" s="151"/>
      <c r="BB28" s="151"/>
      <c r="BC28" s="151"/>
      <c r="BD28" s="151"/>
      <c r="BE28" s="151"/>
      <c r="BF28" s="152"/>
      <c r="BG28" s="152"/>
      <c r="BH28" s="152"/>
      <c r="BI28" s="152"/>
      <c r="BJ28" s="152"/>
      <c r="BK28" s="630" t="s">
        <v>797</v>
      </c>
      <c r="BL28" s="152" t="s">
        <v>2045</v>
      </c>
      <c r="BM28" s="152"/>
      <c r="BN28" s="152"/>
      <c r="BO28" s="152" t="s">
        <v>1209</v>
      </c>
      <c r="BP28" s="152" t="s">
        <v>1435</v>
      </c>
      <c r="BQ28" s="294"/>
      <c r="BR28" s="152"/>
      <c r="BS28" s="152"/>
      <c r="BT28" s="152"/>
    </row>
    <row r="29" spans="1:78" ht="18" customHeight="1">
      <c r="A29" s="148"/>
      <c r="B29" s="249"/>
      <c r="C29" s="1795"/>
      <c r="D29" s="1796"/>
      <c r="E29" s="1796"/>
      <c r="F29" s="1796"/>
      <c r="G29" s="1796"/>
      <c r="H29" s="1797"/>
      <c r="I29" s="1418"/>
      <c r="J29" s="1419"/>
      <c r="K29" s="1419"/>
      <c r="L29" s="1419"/>
      <c r="M29" s="1419"/>
      <c r="N29" s="1419"/>
      <c r="O29" s="1419"/>
      <c r="P29" s="1419"/>
      <c r="Q29" s="1419"/>
      <c r="R29" s="1419"/>
      <c r="S29" s="1419"/>
      <c r="T29" s="1419"/>
      <c r="U29" s="1419"/>
      <c r="V29" s="1419"/>
      <c r="W29" s="1419"/>
      <c r="X29" s="1419"/>
      <c r="Y29" s="1419"/>
      <c r="Z29" s="1419"/>
      <c r="AA29" s="1419"/>
      <c r="AB29" s="1419"/>
      <c r="AC29" s="1419"/>
      <c r="AD29" s="1419"/>
      <c r="AE29" s="1419"/>
      <c r="AF29" s="1419"/>
      <c r="AG29" s="1419"/>
      <c r="AH29" s="1419"/>
      <c r="AI29" s="1419"/>
      <c r="AJ29" s="1419"/>
      <c r="AK29" s="1419"/>
      <c r="AL29" s="1419"/>
      <c r="AM29" s="1419"/>
      <c r="AN29" s="1419"/>
      <c r="AO29" s="1419"/>
      <c r="AP29" s="1419"/>
      <c r="AQ29" s="1419"/>
      <c r="AR29" s="1419"/>
      <c r="AS29" s="1419"/>
      <c r="AT29" s="1420"/>
      <c r="AU29" s="160"/>
      <c r="AV29" s="151"/>
      <c r="AW29" s="151"/>
      <c r="AX29" s="151"/>
      <c r="AY29" s="151"/>
      <c r="BA29" s="151"/>
      <c r="BB29" s="151"/>
      <c r="BC29" s="151"/>
      <c r="BD29" s="151"/>
      <c r="BE29" s="151"/>
      <c r="BF29" s="152"/>
      <c r="BG29" s="152"/>
      <c r="BH29" s="152"/>
      <c r="BI29" s="152"/>
      <c r="BJ29" s="152"/>
      <c r="BK29" s="630" t="s">
        <v>799</v>
      </c>
      <c r="BL29" s="152" t="s">
        <v>2046</v>
      </c>
      <c r="BM29" s="152"/>
      <c r="BN29" s="152"/>
      <c r="BO29" s="152" t="s">
        <v>1210</v>
      </c>
      <c r="BP29" s="152" t="s">
        <v>1436</v>
      </c>
      <c r="BQ29" s="294"/>
      <c r="BR29" s="152"/>
      <c r="BS29" s="152"/>
      <c r="BT29" s="152"/>
    </row>
    <row r="30" spans="1:78" ht="18" customHeight="1">
      <c r="A30" s="148"/>
      <c r="B30" s="249"/>
      <c r="C30" s="1798"/>
      <c r="D30" s="1799"/>
      <c r="E30" s="1799"/>
      <c r="F30" s="1799"/>
      <c r="G30" s="1799"/>
      <c r="H30" s="1800"/>
      <c r="I30" s="1489"/>
      <c r="J30" s="1490"/>
      <c r="K30" s="1490"/>
      <c r="L30" s="1490"/>
      <c r="M30" s="1490"/>
      <c r="N30" s="1490"/>
      <c r="O30" s="1490"/>
      <c r="P30" s="1490"/>
      <c r="Q30" s="1490"/>
      <c r="R30" s="1490"/>
      <c r="S30" s="1490"/>
      <c r="T30" s="1490"/>
      <c r="U30" s="1490"/>
      <c r="V30" s="1490"/>
      <c r="W30" s="1490"/>
      <c r="X30" s="1490"/>
      <c r="Y30" s="1490"/>
      <c r="Z30" s="1490"/>
      <c r="AA30" s="1490"/>
      <c r="AB30" s="1490"/>
      <c r="AC30" s="1490"/>
      <c r="AD30" s="1490"/>
      <c r="AE30" s="1490"/>
      <c r="AF30" s="1490"/>
      <c r="AG30" s="1490"/>
      <c r="AH30" s="1490"/>
      <c r="AI30" s="1490"/>
      <c r="AJ30" s="1490"/>
      <c r="AK30" s="1490"/>
      <c r="AL30" s="1490"/>
      <c r="AM30" s="1490"/>
      <c r="AN30" s="1490"/>
      <c r="AO30" s="1490"/>
      <c r="AP30" s="1490"/>
      <c r="AQ30" s="1490"/>
      <c r="AR30" s="1490"/>
      <c r="AS30" s="1490"/>
      <c r="AT30" s="1491"/>
      <c r="AU30" s="160"/>
      <c r="AV30" s="151"/>
      <c r="AW30" s="151"/>
      <c r="AX30" s="151"/>
      <c r="AY30" s="151"/>
      <c r="BA30" s="151"/>
      <c r="BB30" s="151"/>
      <c r="BC30" s="151"/>
      <c r="BD30" s="151"/>
      <c r="BE30" s="151"/>
      <c r="BF30" s="152"/>
      <c r="BG30" s="152"/>
      <c r="BH30" s="152"/>
      <c r="BI30" s="152"/>
      <c r="BJ30" s="152"/>
      <c r="BK30" s="630" t="s">
        <v>800</v>
      </c>
      <c r="BL30" s="152" t="s">
        <v>2043</v>
      </c>
      <c r="BM30" s="152"/>
      <c r="BN30" s="152"/>
      <c r="BO30" s="152" t="s">
        <v>1211</v>
      </c>
      <c r="BP30" s="152" t="s">
        <v>1437</v>
      </c>
      <c r="BQ30" s="294"/>
      <c r="BR30" s="152"/>
      <c r="BS30" s="152"/>
      <c r="BT30" s="152"/>
    </row>
    <row r="31" spans="1:78" ht="18" customHeight="1">
      <c r="A31" s="148"/>
      <c r="B31" s="249"/>
      <c r="C31" s="1405" t="s">
        <v>3568</v>
      </c>
      <c r="D31" s="1780"/>
      <c r="E31" s="1780"/>
      <c r="F31" s="1780"/>
      <c r="G31" s="1780"/>
      <c r="H31" s="1781"/>
      <c r="I31" s="1801" t="s">
        <v>3570</v>
      </c>
      <c r="J31" s="1802"/>
      <c r="K31" s="1802"/>
      <c r="L31" s="1802"/>
      <c r="M31" s="1802"/>
      <c r="N31" s="1802"/>
      <c r="O31" s="1802"/>
      <c r="P31" s="1802"/>
      <c r="Q31" s="1802"/>
      <c r="R31" s="1802"/>
      <c r="S31" s="1802"/>
      <c r="T31" s="1802"/>
      <c r="U31" s="1802"/>
      <c r="V31" s="1802"/>
      <c r="W31" s="1802"/>
      <c r="X31" s="1802"/>
      <c r="Y31" s="1681" t="s">
        <v>3569</v>
      </c>
      <c r="Z31" s="1780"/>
      <c r="AA31" s="1780"/>
      <c r="AB31" s="1780"/>
      <c r="AC31" s="1780"/>
      <c r="AD31" s="1781"/>
      <c r="AE31" s="1803" t="s">
        <v>3571</v>
      </c>
      <c r="AF31" s="1804"/>
      <c r="AG31" s="1804"/>
      <c r="AH31" s="1804"/>
      <c r="AI31" s="1804"/>
      <c r="AJ31" s="1804"/>
      <c r="AK31" s="1804"/>
      <c r="AL31" s="1804"/>
      <c r="AM31" s="1804"/>
      <c r="AN31" s="1804"/>
      <c r="AO31" s="1804"/>
      <c r="AP31" s="1804"/>
      <c r="AQ31" s="1804"/>
      <c r="AR31" s="1804"/>
      <c r="AS31" s="1804"/>
      <c r="AT31" s="1805"/>
      <c r="AU31" s="160"/>
      <c r="AV31" s="151" t="str">
        <f>IF(AV2=FALSE,"OK",IF(AND(AV2=TRUE,I31&lt;&gt;""),"OK","NG"))</f>
        <v>OK</v>
      </c>
      <c r="AW31" s="151"/>
      <c r="AX31" s="151"/>
      <c r="AY31" s="151"/>
      <c r="BA31" s="151"/>
      <c r="BB31" s="151"/>
      <c r="BC31" s="151"/>
      <c r="BD31" s="151"/>
      <c r="BE31" s="151"/>
      <c r="BF31" s="152"/>
      <c r="BG31" s="152"/>
      <c r="BH31" s="152"/>
      <c r="BI31" s="152"/>
      <c r="BJ31" s="152"/>
      <c r="BK31" s="152"/>
      <c r="BL31" s="152"/>
      <c r="BM31" s="152"/>
      <c r="BN31" s="152"/>
      <c r="BO31" s="152" t="s">
        <v>1212</v>
      </c>
      <c r="BP31" s="152" t="s">
        <v>1438</v>
      </c>
      <c r="BQ31" s="294"/>
      <c r="BR31" s="152"/>
      <c r="BS31" s="152"/>
      <c r="BT31" s="152"/>
    </row>
    <row r="32" spans="1:78" s="154" customFormat="1" ht="18" customHeight="1">
      <c r="A32" s="148"/>
      <c r="B32" s="249"/>
      <c r="C32" s="1482"/>
      <c r="D32" s="1483"/>
      <c r="E32" s="1483"/>
      <c r="F32" s="1483"/>
      <c r="G32" s="1483"/>
      <c r="H32" s="1484"/>
      <c r="I32" s="1682"/>
      <c r="J32" s="1683"/>
      <c r="K32" s="1683"/>
      <c r="L32" s="1683"/>
      <c r="M32" s="1683"/>
      <c r="N32" s="1683"/>
      <c r="O32" s="1683"/>
      <c r="P32" s="1683"/>
      <c r="Q32" s="1683"/>
      <c r="R32" s="1683"/>
      <c r="S32" s="1683"/>
      <c r="T32" s="1683"/>
      <c r="U32" s="1683"/>
      <c r="V32" s="1683"/>
      <c r="W32" s="1683"/>
      <c r="X32" s="1683"/>
      <c r="Y32" s="1534"/>
      <c r="Z32" s="1483"/>
      <c r="AA32" s="1483"/>
      <c r="AB32" s="1483"/>
      <c r="AC32" s="1483"/>
      <c r="AD32" s="1484"/>
      <c r="AE32" s="1418"/>
      <c r="AF32" s="1419"/>
      <c r="AG32" s="1419"/>
      <c r="AH32" s="1419"/>
      <c r="AI32" s="1419"/>
      <c r="AJ32" s="1419"/>
      <c r="AK32" s="1419"/>
      <c r="AL32" s="1419"/>
      <c r="AM32" s="1419"/>
      <c r="AN32" s="1419"/>
      <c r="AO32" s="1419"/>
      <c r="AP32" s="1419"/>
      <c r="AQ32" s="1419"/>
      <c r="AR32" s="1419"/>
      <c r="AS32" s="1419"/>
      <c r="AT32" s="1420"/>
      <c r="AU32" s="160"/>
      <c r="AV32" s="151"/>
      <c r="AW32" s="151"/>
      <c r="AX32" s="151"/>
      <c r="AY32" s="151"/>
      <c r="AZ32" s="166"/>
      <c r="BA32" s="151"/>
      <c r="BB32" s="151"/>
      <c r="BC32" s="151"/>
      <c r="BD32" s="151"/>
      <c r="BE32" s="151"/>
      <c r="BF32" s="152"/>
      <c r="BG32" s="152"/>
      <c r="BH32" s="152"/>
      <c r="BI32" s="152"/>
      <c r="BJ32" s="152"/>
      <c r="BK32" s="152"/>
      <c r="BL32" s="152"/>
      <c r="BM32" s="152"/>
      <c r="BN32" s="152"/>
      <c r="BO32" s="152" t="s">
        <v>1213</v>
      </c>
      <c r="BP32" s="152" t="s">
        <v>1439</v>
      </c>
      <c r="BQ32" s="294"/>
      <c r="BR32" s="152"/>
      <c r="BS32" s="152"/>
      <c r="BT32" s="152"/>
      <c r="BU32" s="153"/>
      <c r="BV32" s="153"/>
      <c r="BW32" s="153"/>
      <c r="BX32" s="153"/>
      <c r="BY32" s="153"/>
      <c r="BZ32" s="153"/>
    </row>
    <row r="33" spans="1:78" s="154" customFormat="1" ht="18" customHeight="1">
      <c r="A33" s="148"/>
      <c r="B33" s="249"/>
      <c r="C33" s="1461"/>
      <c r="D33" s="1462"/>
      <c r="E33" s="1462"/>
      <c r="F33" s="1462"/>
      <c r="G33" s="1462"/>
      <c r="H33" s="1463"/>
      <c r="I33" s="1685"/>
      <c r="J33" s="1686"/>
      <c r="K33" s="1686"/>
      <c r="L33" s="1686"/>
      <c r="M33" s="1686"/>
      <c r="N33" s="1686"/>
      <c r="O33" s="1686"/>
      <c r="P33" s="1686"/>
      <c r="Q33" s="1686"/>
      <c r="R33" s="1686"/>
      <c r="S33" s="1686"/>
      <c r="T33" s="1686"/>
      <c r="U33" s="1686"/>
      <c r="V33" s="1686"/>
      <c r="W33" s="1686"/>
      <c r="X33" s="1686"/>
      <c r="Y33" s="1535"/>
      <c r="Z33" s="1462"/>
      <c r="AA33" s="1462"/>
      <c r="AB33" s="1462"/>
      <c r="AC33" s="1462"/>
      <c r="AD33" s="1463"/>
      <c r="AE33" s="1489"/>
      <c r="AF33" s="1490"/>
      <c r="AG33" s="1490"/>
      <c r="AH33" s="1490"/>
      <c r="AI33" s="1490"/>
      <c r="AJ33" s="1490"/>
      <c r="AK33" s="1490"/>
      <c r="AL33" s="1490"/>
      <c r="AM33" s="1490"/>
      <c r="AN33" s="1490"/>
      <c r="AO33" s="1490"/>
      <c r="AP33" s="1490"/>
      <c r="AQ33" s="1490"/>
      <c r="AR33" s="1490"/>
      <c r="AS33" s="1490"/>
      <c r="AT33" s="1491"/>
      <c r="AU33" s="160"/>
      <c r="AV33" s="151"/>
      <c r="AW33" s="151"/>
      <c r="AX33" s="151"/>
      <c r="AY33" s="151"/>
      <c r="AZ33" s="166"/>
      <c r="BA33" s="151"/>
      <c r="BB33" s="151"/>
      <c r="BC33" s="151"/>
      <c r="BD33" s="151"/>
      <c r="BE33" s="151"/>
      <c r="BF33" s="152"/>
      <c r="BG33" s="152"/>
      <c r="BH33" s="152"/>
      <c r="BI33" s="152"/>
      <c r="BJ33" s="152"/>
      <c r="BK33" s="152"/>
      <c r="BL33" s="152"/>
      <c r="BM33" s="152"/>
      <c r="BN33" s="152"/>
      <c r="BO33" s="152" t="s">
        <v>1214</v>
      </c>
      <c r="BP33" s="152" t="s">
        <v>1440</v>
      </c>
      <c r="BQ33" s="294"/>
      <c r="BR33" s="152"/>
      <c r="BS33" s="152"/>
      <c r="BT33" s="152"/>
      <c r="BU33" s="153"/>
      <c r="BV33" s="153"/>
      <c r="BW33" s="153"/>
      <c r="BX33" s="153"/>
      <c r="BY33" s="153"/>
      <c r="BZ33" s="153"/>
    </row>
    <row r="34" spans="1:78" s="154" customFormat="1" ht="18" customHeight="1">
      <c r="A34" s="148"/>
      <c r="B34" s="249"/>
      <c r="C34" s="1449" t="s">
        <v>2026</v>
      </c>
      <c r="D34" s="1450"/>
      <c r="E34" s="1450"/>
      <c r="F34" s="1450"/>
      <c r="G34" s="1450"/>
      <c r="H34" s="1451"/>
      <c r="I34" s="501"/>
      <c r="J34" s="1416" t="str">
        <f>VLOOKUP(I36,BO2:BP49,2,FALSE)</f>
        <v>トウキョウト</v>
      </c>
      <c r="K34" s="1416"/>
      <c r="L34" s="1416"/>
      <c r="M34" s="1702"/>
      <c r="N34" s="622"/>
      <c r="O34" s="1677" t="s">
        <v>4420</v>
      </c>
      <c r="P34" s="1677"/>
      <c r="Q34" s="1677"/>
      <c r="R34" s="1677"/>
      <c r="S34" s="1677"/>
      <c r="T34" s="1677"/>
      <c r="U34" s="1678"/>
      <c r="V34" s="622"/>
      <c r="W34" s="1677" t="s">
        <v>4421</v>
      </c>
      <c r="X34" s="1677"/>
      <c r="Y34" s="1677"/>
      <c r="Z34" s="1677"/>
      <c r="AA34" s="1677"/>
      <c r="AB34" s="1677"/>
      <c r="AC34" s="1678"/>
      <c r="AD34" s="622"/>
      <c r="AE34" s="1677" t="s">
        <v>4422</v>
      </c>
      <c r="AF34" s="1677"/>
      <c r="AG34" s="1677"/>
      <c r="AH34" s="1677"/>
      <c r="AI34" s="1677"/>
      <c r="AJ34" s="1677"/>
      <c r="AK34" s="1678"/>
      <c r="AL34" s="622"/>
      <c r="AM34" s="1679"/>
      <c r="AN34" s="1679"/>
      <c r="AO34" s="1679"/>
      <c r="AP34" s="1679"/>
      <c r="AQ34" s="1679"/>
      <c r="AR34" s="1679"/>
      <c r="AS34" s="1679"/>
      <c r="AT34" s="1680"/>
      <c r="AU34" s="160"/>
      <c r="AV34" s="151" t="str">
        <f>IF(ISERROR(FIND({"１","２","３","４","５","６","７","８","９","０","1","2","3","4","5","6","7","8","9","0","-","―","－","-","・","！","!","@","&amp;","."},O34&amp;Z34&amp;AK34)),"OK","NG")</f>
        <v>OK</v>
      </c>
      <c r="AW34" s="151"/>
      <c r="AX34" s="151"/>
      <c r="AY34" s="151"/>
      <c r="AZ34" s="166"/>
      <c r="BA34" s="151"/>
      <c r="BB34" s="151"/>
      <c r="BC34" s="151"/>
      <c r="BD34" s="151"/>
      <c r="BE34" s="151"/>
      <c r="BF34" s="152"/>
      <c r="BG34" s="152"/>
      <c r="BH34" s="152"/>
      <c r="BI34" s="152"/>
      <c r="BJ34" s="152"/>
      <c r="BK34" s="152"/>
      <c r="BL34" s="152"/>
      <c r="BM34" s="152"/>
      <c r="BN34" s="152"/>
      <c r="BO34" s="152" t="s">
        <v>1215</v>
      </c>
      <c r="BP34" s="152" t="s">
        <v>1441</v>
      </c>
      <c r="BQ34" s="294"/>
      <c r="BR34" s="152"/>
      <c r="BS34" s="152"/>
      <c r="BT34" s="152"/>
      <c r="BU34" s="153"/>
      <c r="BV34" s="153"/>
      <c r="BW34" s="153"/>
      <c r="BX34" s="153"/>
      <c r="BY34" s="153"/>
      <c r="BZ34" s="153"/>
    </row>
    <row r="35" spans="1:78" ht="18" customHeight="1">
      <c r="A35" s="148"/>
      <c r="B35" s="249"/>
      <c r="C35" s="1771" t="s">
        <v>946</v>
      </c>
      <c r="D35" s="1772"/>
      <c r="E35" s="1772"/>
      <c r="F35" s="1772"/>
      <c r="G35" s="1772"/>
      <c r="H35" s="1773"/>
      <c r="I35" s="623" t="s">
        <v>2027</v>
      </c>
      <c r="J35" s="1693" t="s">
        <v>2194</v>
      </c>
      <c r="K35" s="1693"/>
      <c r="L35" s="624" t="s">
        <v>2028</v>
      </c>
      <c r="M35" s="1694" t="s">
        <v>2195</v>
      </c>
      <c r="N35" s="1694"/>
      <c r="O35" s="624"/>
      <c r="P35" s="624"/>
      <c r="Q35" s="625"/>
      <c r="R35" s="625"/>
      <c r="S35" s="625"/>
      <c r="T35" s="625"/>
      <c r="U35" s="625"/>
      <c r="V35" s="625"/>
      <c r="W35" s="625"/>
      <c r="X35" s="625"/>
      <c r="Y35" s="625"/>
      <c r="Z35" s="625"/>
      <c r="AA35" s="625"/>
      <c r="AB35" s="625"/>
      <c r="AC35" s="625"/>
      <c r="AD35" s="625"/>
      <c r="AE35" s="625"/>
      <c r="AF35" s="625"/>
      <c r="AG35" s="625"/>
      <c r="AH35" s="625"/>
      <c r="AI35" s="625"/>
      <c r="AJ35" s="625"/>
      <c r="AK35" s="625"/>
      <c r="AL35" s="625"/>
      <c r="AM35" s="625"/>
      <c r="AN35" s="625"/>
      <c r="AO35" s="625"/>
      <c r="AP35" s="625"/>
      <c r="AQ35" s="625"/>
      <c r="AR35" s="625"/>
      <c r="AS35" s="625"/>
      <c r="AT35" s="626"/>
      <c r="AU35" s="160"/>
      <c r="AV35" s="151"/>
      <c r="AW35" s="151"/>
      <c r="AX35" s="151"/>
      <c r="AY35" s="151"/>
      <c r="BA35" s="151"/>
      <c r="BB35" s="151"/>
      <c r="BC35" s="151"/>
      <c r="BD35" s="151"/>
      <c r="BE35" s="151"/>
      <c r="BF35" s="152"/>
      <c r="BG35" s="152"/>
      <c r="BH35" s="152"/>
      <c r="BI35" s="152"/>
      <c r="BJ35" s="152"/>
      <c r="BK35" s="152"/>
      <c r="BL35" s="152"/>
      <c r="BM35" s="152"/>
      <c r="BN35" s="152"/>
      <c r="BO35" s="152" t="s">
        <v>1216</v>
      </c>
      <c r="BP35" s="152" t="s">
        <v>1442</v>
      </c>
      <c r="BQ35" s="294"/>
      <c r="BR35" s="152"/>
      <c r="BS35" s="152"/>
      <c r="BT35" s="152"/>
    </row>
    <row r="36" spans="1:78" ht="18" customHeight="1">
      <c r="A36" s="148"/>
      <c r="B36" s="249"/>
      <c r="C36" s="1774"/>
      <c r="D36" s="1775"/>
      <c r="E36" s="1775"/>
      <c r="F36" s="1775"/>
      <c r="G36" s="1775"/>
      <c r="H36" s="1776"/>
      <c r="I36" s="1695" t="s">
        <v>1196</v>
      </c>
      <c r="J36" s="1696"/>
      <c r="K36" s="1696"/>
      <c r="L36" s="1696"/>
      <c r="M36" s="1696"/>
      <c r="N36" s="1673" t="s">
        <v>2196</v>
      </c>
      <c r="O36" s="1673"/>
      <c r="P36" s="1673"/>
      <c r="Q36" s="1673"/>
      <c r="R36" s="1673"/>
      <c r="S36" s="1673"/>
      <c r="T36" s="1673"/>
      <c r="U36" s="1673"/>
      <c r="V36" s="1673" t="s">
        <v>2197</v>
      </c>
      <c r="W36" s="1673"/>
      <c r="X36" s="1673"/>
      <c r="Y36" s="1673"/>
      <c r="Z36" s="1673"/>
      <c r="AA36" s="1673"/>
      <c r="AB36" s="1673"/>
      <c r="AC36" s="1673"/>
      <c r="AD36" s="1671" t="s">
        <v>2198</v>
      </c>
      <c r="AE36" s="1671"/>
      <c r="AF36" s="1671"/>
      <c r="AG36" s="1671"/>
      <c r="AH36" s="1671"/>
      <c r="AI36" s="1671"/>
      <c r="AJ36" s="1671"/>
      <c r="AK36" s="1671"/>
      <c r="AL36" s="1673"/>
      <c r="AM36" s="1673"/>
      <c r="AN36" s="1673"/>
      <c r="AO36" s="1673"/>
      <c r="AP36" s="1673"/>
      <c r="AQ36" s="1673"/>
      <c r="AR36" s="1673"/>
      <c r="AS36" s="1673"/>
      <c r="AT36" s="1674"/>
      <c r="AU36" s="160"/>
      <c r="AV36" s="151" t="str">
        <f>LEFT(I36,2)</f>
        <v>13</v>
      </c>
      <c r="AW36" s="151" t="str">
        <f>MID(I36,4,LEN(I36)-3)</f>
        <v>東京都</v>
      </c>
      <c r="AX36" s="151"/>
      <c r="AY36" s="151"/>
      <c r="AZ36" s="151"/>
      <c r="BA36" s="151"/>
      <c r="BB36" s="151"/>
      <c r="BC36" s="151"/>
      <c r="BD36" s="151"/>
      <c r="BE36" s="151"/>
      <c r="BF36" s="152"/>
      <c r="BG36" s="152"/>
      <c r="BH36" s="152"/>
      <c r="BI36" s="152"/>
      <c r="BJ36" s="152"/>
      <c r="BK36" s="152"/>
      <c r="BL36" s="152"/>
      <c r="BM36" s="152"/>
      <c r="BN36" s="152"/>
      <c r="BO36" s="152" t="s">
        <v>1217</v>
      </c>
      <c r="BP36" s="152" t="s">
        <v>1443</v>
      </c>
      <c r="BQ36" s="294"/>
      <c r="BR36" s="152"/>
      <c r="BS36" s="152"/>
      <c r="BT36" s="152"/>
    </row>
    <row r="37" spans="1:78" ht="18" customHeight="1">
      <c r="A37" s="148"/>
      <c r="B37" s="249"/>
      <c r="C37" s="1777"/>
      <c r="D37" s="1778"/>
      <c r="E37" s="1778"/>
      <c r="F37" s="1778"/>
      <c r="G37" s="1778"/>
      <c r="H37" s="1779"/>
      <c r="I37" s="1697"/>
      <c r="J37" s="1698"/>
      <c r="K37" s="1698"/>
      <c r="L37" s="1698"/>
      <c r="M37" s="1698"/>
      <c r="N37" s="1675"/>
      <c r="O37" s="1675"/>
      <c r="P37" s="1675"/>
      <c r="Q37" s="1675"/>
      <c r="R37" s="1675"/>
      <c r="S37" s="1675"/>
      <c r="T37" s="1675"/>
      <c r="U37" s="1675"/>
      <c r="V37" s="1675"/>
      <c r="W37" s="1675"/>
      <c r="X37" s="1675"/>
      <c r="Y37" s="1675"/>
      <c r="Z37" s="1675"/>
      <c r="AA37" s="1675"/>
      <c r="AB37" s="1675"/>
      <c r="AC37" s="1675"/>
      <c r="AD37" s="1672"/>
      <c r="AE37" s="1672"/>
      <c r="AF37" s="1672"/>
      <c r="AG37" s="1672"/>
      <c r="AH37" s="1672"/>
      <c r="AI37" s="1672"/>
      <c r="AJ37" s="1672"/>
      <c r="AK37" s="1672"/>
      <c r="AL37" s="1675"/>
      <c r="AM37" s="1675"/>
      <c r="AN37" s="1675"/>
      <c r="AO37" s="1675"/>
      <c r="AP37" s="1675"/>
      <c r="AQ37" s="1675"/>
      <c r="AR37" s="1675"/>
      <c r="AS37" s="1675"/>
      <c r="AT37" s="1676"/>
      <c r="AU37" s="160"/>
      <c r="AV37" s="151"/>
      <c r="AW37" s="151"/>
      <c r="AX37" s="151"/>
      <c r="AY37" s="151"/>
      <c r="AZ37" s="151"/>
      <c r="BA37" s="151"/>
      <c r="BB37" s="151"/>
      <c r="BC37" s="151"/>
      <c r="BD37" s="151"/>
      <c r="BE37" s="151"/>
      <c r="BF37" s="152"/>
      <c r="BG37" s="152"/>
      <c r="BH37" s="152"/>
      <c r="BI37" s="152"/>
      <c r="BJ37" s="152"/>
      <c r="BK37" s="152"/>
      <c r="BL37" s="152"/>
      <c r="BM37" s="152"/>
      <c r="BN37" s="152"/>
      <c r="BO37" s="152" t="s">
        <v>1218</v>
      </c>
      <c r="BP37" s="152" t="s">
        <v>1444</v>
      </c>
      <c r="BQ37" s="294"/>
      <c r="BR37" s="152"/>
      <c r="BS37" s="152"/>
      <c r="BT37" s="152"/>
    </row>
    <row r="38" spans="1:78" ht="18" customHeight="1">
      <c r="A38" s="148"/>
      <c r="B38" s="249"/>
      <c r="C38" s="1688" t="s">
        <v>398</v>
      </c>
      <c r="D38" s="1689"/>
      <c r="E38" s="1689"/>
      <c r="F38" s="1689"/>
      <c r="G38" s="1689"/>
      <c r="H38" s="1690"/>
      <c r="I38" s="1430" t="s">
        <v>2199</v>
      </c>
      <c r="J38" s="1431"/>
      <c r="K38" s="1431"/>
      <c r="L38" s="1431"/>
      <c r="M38" s="1431"/>
      <c r="N38" s="442" t="s">
        <v>1231</v>
      </c>
      <c r="O38" s="1431" t="s">
        <v>2200</v>
      </c>
      <c r="P38" s="1431"/>
      <c r="Q38" s="1431"/>
      <c r="R38" s="1431"/>
      <c r="S38" s="442" t="s">
        <v>1182</v>
      </c>
      <c r="T38" s="1431" t="s">
        <v>2201</v>
      </c>
      <c r="U38" s="1431"/>
      <c r="V38" s="1431"/>
      <c r="W38" s="1431"/>
      <c r="X38" s="1691"/>
      <c r="Y38" s="1399" t="s">
        <v>399</v>
      </c>
      <c r="Z38" s="1400"/>
      <c r="AA38" s="1400"/>
      <c r="AB38" s="1400"/>
      <c r="AC38" s="1400"/>
      <c r="AD38" s="1401"/>
      <c r="AE38" s="1430"/>
      <c r="AF38" s="1431"/>
      <c r="AG38" s="1431"/>
      <c r="AH38" s="1431"/>
      <c r="AI38" s="1431"/>
      <c r="AJ38" s="442" t="s">
        <v>1231</v>
      </c>
      <c r="AK38" s="1431"/>
      <c r="AL38" s="1431"/>
      <c r="AM38" s="1431"/>
      <c r="AN38" s="1431"/>
      <c r="AO38" s="442" t="s">
        <v>1182</v>
      </c>
      <c r="AP38" s="1431"/>
      <c r="AQ38" s="1431"/>
      <c r="AR38" s="1431"/>
      <c r="AS38" s="1431"/>
      <c r="AT38" s="1432"/>
      <c r="AU38" s="160"/>
      <c r="AV38" s="151" t="str">
        <f>IF(AND(I38&lt;&gt;"",O38&lt;&gt;"",T38&lt;&gt;""),IF(LENB(I38)+LENB(O38)+LENB(T38)&lt;13,"OK","NG"),"OK")</f>
        <v>OK</v>
      </c>
      <c r="AW38" s="151" t="str">
        <f>IF(AND(AE38&lt;&gt;"",AK38&lt;&gt;"",AP38&lt;&gt;""),IF(LENB(AE38)+LENB(AK38)+LENB(AP38)&lt;13,"OK","NG"),"OK")</f>
        <v>OK</v>
      </c>
      <c r="AX38" s="151"/>
      <c r="AY38" s="151"/>
      <c r="AZ38" s="151"/>
      <c r="BA38" s="151"/>
      <c r="BB38" s="151"/>
      <c r="BC38" s="151"/>
      <c r="BD38" s="151"/>
      <c r="BE38" s="151"/>
      <c r="BF38" s="152"/>
      <c r="BG38" s="152"/>
      <c r="BH38" s="152"/>
      <c r="BI38" s="152"/>
      <c r="BJ38" s="152"/>
      <c r="BK38" s="152"/>
      <c r="BL38" s="152"/>
      <c r="BM38" s="152"/>
      <c r="BN38" s="152"/>
      <c r="BO38" s="152" t="s">
        <v>1219</v>
      </c>
      <c r="BP38" s="152" t="s">
        <v>1445</v>
      </c>
      <c r="BQ38" s="294"/>
      <c r="BR38" s="152"/>
      <c r="BS38" s="152"/>
      <c r="BT38" s="152"/>
    </row>
    <row r="39" spans="1:78" ht="18" customHeight="1">
      <c r="A39" s="148"/>
      <c r="B39" s="249"/>
      <c r="C39" s="1688" t="s">
        <v>401</v>
      </c>
      <c r="D39" s="1689"/>
      <c r="E39" s="1689"/>
      <c r="F39" s="1689"/>
      <c r="G39" s="1689"/>
      <c r="H39" s="1690"/>
      <c r="I39" s="1767" t="s">
        <v>380</v>
      </c>
      <c r="J39" s="1768"/>
      <c r="K39" s="1769">
        <v>2000</v>
      </c>
      <c r="L39" s="1769"/>
      <c r="M39" s="713" t="s">
        <v>381</v>
      </c>
      <c r="N39" s="1770">
        <v>1</v>
      </c>
      <c r="O39" s="1770"/>
      <c r="P39" s="171" t="s">
        <v>382</v>
      </c>
      <c r="Q39" s="1770">
        <v>1</v>
      </c>
      <c r="R39" s="1770"/>
      <c r="S39" s="1764" t="s">
        <v>383</v>
      </c>
      <c r="T39" s="1765"/>
      <c r="U39" s="1399" t="s">
        <v>402</v>
      </c>
      <c r="V39" s="1400"/>
      <c r="W39" s="1400"/>
      <c r="X39" s="1400"/>
      <c r="Y39" s="1400"/>
      <c r="Z39" s="1401"/>
      <c r="AA39" s="1763">
        <v>1000</v>
      </c>
      <c r="AB39" s="1763"/>
      <c r="AC39" s="1763"/>
      <c r="AD39" s="1763"/>
      <c r="AE39" s="1763"/>
      <c r="AF39" s="1764" t="s">
        <v>403</v>
      </c>
      <c r="AG39" s="1765"/>
      <c r="AH39" s="1399" t="s">
        <v>404</v>
      </c>
      <c r="AI39" s="1400"/>
      <c r="AJ39" s="1400"/>
      <c r="AK39" s="1400"/>
      <c r="AL39" s="1400"/>
      <c r="AM39" s="1401"/>
      <c r="AN39" s="1763">
        <v>10000</v>
      </c>
      <c r="AO39" s="1763"/>
      <c r="AP39" s="1763"/>
      <c r="AQ39" s="1763"/>
      <c r="AR39" s="1763"/>
      <c r="AS39" s="1764" t="s">
        <v>403</v>
      </c>
      <c r="AT39" s="1766"/>
      <c r="AU39" s="160"/>
      <c r="AV39" s="151"/>
      <c r="AW39" s="151"/>
      <c r="AX39" s="151"/>
      <c r="AY39" s="151"/>
      <c r="BA39" s="151"/>
      <c r="BB39" s="151"/>
      <c r="BC39" s="151"/>
      <c r="BD39" s="151"/>
      <c r="BE39" s="151"/>
      <c r="BF39" s="152"/>
      <c r="BG39" s="152"/>
      <c r="BH39" s="152"/>
      <c r="BI39" s="152"/>
      <c r="BJ39" s="152"/>
      <c r="BK39" s="152"/>
      <c r="BL39" s="152"/>
      <c r="BM39" s="152"/>
      <c r="BN39" s="152"/>
      <c r="BO39" s="152" t="s">
        <v>1220</v>
      </c>
      <c r="BP39" s="152" t="s">
        <v>1446</v>
      </c>
      <c r="BQ39" s="294"/>
      <c r="BR39" s="152"/>
      <c r="BS39" s="152"/>
      <c r="BT39" s="152"/>
    </row>
    <row r="40" spans="1:78" ht="18" customHeight="1">
      <c r="A40" s="148"/>
      <c r="B40" s="249"/>
      <c r="C40" s="1580" t="s">
        <v>817</v>
      </c>
      <c r="D40" s="1493"/>
      <c r="E40" s="1493"/>
      <c r="F40" s="1493"/>
      <c r="G40" s="1493"/>
      <c r="H40" s="1494"/>
      <c r="I40" s="1752" t="s">
        <v>2202</v>
      </c>
      <c r="J40" s="1753"/>
      <c r="K40" s="1753"/>
      <c r="L40" s="1753"/>
      <c r="M40" s="1753"/>
      <c r="N40" s="1753"/>
      <c r="O40" s="1753"/>
      <c r="P40" s="1753"/>
      <c r="Q40" s="1753"/>
      <c r="R40" s="1753"/>
      <c r="S40" s="1753"/>
      <c r="T40" s="1753"/>
      <c r="U40" s="1753"/>
      <c r="V40" s="1753"/>
      <c r="W40" s="1753"/>
      <c r="X40" s="1753"/>
      <c r="Y40" s="1753"/>
      <c r="Z40" s="1753"/>
      <c r="AA40" s="1753"/>
      <c r="AB40" s="1753"/>
      <c r="AC40" s="1753"/>
      <c r="AD40" s="1753"/>
      <c r="AE40" s="1753"/>
      <c r="AF40" s="1753"/>
      <c r="AG40" s="1753"/>
      <c r="AH40" s="1753"/>
      <c r="AI40" s="1753"/>
      <c r="AJ40" s="1753"/>
      <c r="AK40" s="1753"/>
      <c r="AL40" s="1753"/>
      <c r="AM40" s="1753"/>
      <c r="AN40" s="1753"/>
      <c r="AO40" s="1753"/>
      <c r="AP40" s="1753"/>
      <c r="AQ40" s="1753"/>
      <c r="AR40" s="1753"/>
      <c r="AS40" s="1753"/>
      <c r="AT40" s="1754"/>
      <c r="AU40" s="160"/>
      <c r="AV40" s="151"/>
      <c r="AW40" s="151"/>
      <c r="AX40" s="151"/>
      <c r="AY40" s="151"/>
      <c r="BA40" s="151"/>
      <c r="BB40" s="151"/>
      <c r="BC40" s="151"/>
      <c r="BD40" s="151"/>
      <c r="BE40" s="151"/>
      <c r="BF40" s="152"/>
      <c r="BG40" s="152"/>
      <c r="BH40" s="152"/>
      <c r="BI40" s="152"/>
      <c r="BJ40" s="152"/>
      <c r="BK40" s="152"/>
      <c r="BL40" s="152"/>
      <c r="BM40" s="152"/>
      <c r="BN40" s="152"/>
      <c r="BO40" s="152" t="s">
        <v>1221</v>
      </c>
      <c r="BP40" s="152" t="s">
        <v>1447</v>
      </c>
      <c r="BQ40" s="294"/>
      <c r="BR40" s="152"/>
      <c r="BS40" s="152"/>
      <c r="BT40" s="152"/>
    </row>
    <row r="41" spans="1:78" ht="18" customHeight="1">
      <c r="A41" s="148"/>
      <c r="B41" s="249"/>
      <c r="C41" s="1461"/>
      <c r="D41" s="1462"/>
      <c r="E41" s="1462"/>
      <c r="F41" s="1462"/>
      <c r="G41" s="1462"/>
      <c r="H41" s="1463"/>
      <c r="I41" s="1489"/>
      <c r="J41" s="1490"/>
      <c r="K41" s="1490"/>
      <c r="L41" s="1490"/>
      <c r="M41" s="1490"/>
      <c r="N41" s="1490"/>
      <c r="O41" s="1490"/>
      <c r="P41" s="1490"/>
      <c r="Q41" s="1490"/>
      <c r="R41" s="1490"/>
      <c r="S41" s="1490"/>
      <c r="T41" s="1490"/>
      <c r="U41" s="1490"/>
      <c r="V41" s="1490"/>
      <c r="W41" s="1490"/>
      <c r="X41" s="1490"/>
      <c r="Y41" s="1490"/>
      <c r="Z41" s="1490"/>
      <c r="AA41" s="1490"/>
      <c r="AB41" s="1490"/>
      <c r="AC41" s="1490"/>
      <c r="AD41" s="1490"/>
      <c r="AE41" s="1490"/>
      <c r="AF41" s="1490"/>
      <c r="AG41" s="1490"/>
      <c r="AH41" s="1490"/>
      <c r="AI41" s="1490"/>
      <c r="AJ41" s="1490"/>
      <c r="AK41" s="1490"/>
      <c r="AL41" s="1490"/>
      <c r="AM41" s="1490"/>
      <c r="AN41" s="1490"/>
      <c r="AO41" s="1490"/>
      <c r="AP41" s="1490"/>
      <c r="AQ41" s="1490"/>
      <c r="AR41" s="1490"/>
      <c r="AS41" s="1490"/>
      <c r="AT41" s="1491"/>
      <c r="AU41" s="160"/>
      <c r="AV41" s="151"/>
      <c r="AW41" s="151"/>
      <c r="AX41" s="151"/>
      <c r="AY41" s="151"/>
      <c r="BA41" s="151"/>
      <c r="BB41" s="151"/>
      <c r="BC41" s="151"/>
      <c r="BD41" s="151"/>
      <c r="BE41" s="151"/>
      <c r="BF41" s="152"/>
      <c r="BG41" s="152"/>
      <c r="BH41" s="152"/>
      <c r="BI41" s="152"/>
      <c r="BJ41" s="152"/>
      <c r="BK41" s="152"/>
      <c r="BL41" s="152"/>
      <c r="BM41" s="152"/>
      <c r="BN41" s="152"/>
      <c r="BO41" s="152" t="s">
        <v>1222</v>
      </c>
      <c r="BP41" s="164" t="s">
        <v>1448</v>
      </c>
      <c r="BQ41" s="295"/>
      <c r="BR41" s="152"/>
      <c r="BS41" s="152"/>
      <c r="BT41" s="152"/>
    </row>
    <row r="42" spans="1:78" ht="18.649999999999999" customHeight="1">
      <c r="A42" s="148"/>
      <c r="B42" s="249"/>
      <c r="C42" s="1492" t="s">
        <v>821</v>
      </c>
      <c r="D42" s="1493"/>
      <c r="E42" s="1493"/>
      <c r="F42" s="1493"/>
      <c r="G42" s="1493"/>
      <c r="H42" s="1494"/>
      <c r="I42" s="1755" t="s">
        <v>2203</v>
      </c>
      <c r="J42" s="1756"/>
      <c r="K42" s="1756"/>
      <c r="L42" s="1756"/>
      <c r="M42" s="1756"/>
      <c r="N42" s="1756"/>
      <c r="O42" s="1756"/>
      <c r="P42" s="1756"/>
      <c r="Q42" s="1756"/>
      <c r="R42" s="1756"/>
      <c r="S42" s="1756"/>
      <c r="T42" s="1756"/>
      <c r="U42" s="1756"/>
      <c r="V42" s="1756"/>
      <c r="W42" s="1756"/>
      <c r="X42" s="1756"/>
      <c r="Y42" s="1756"/>
      <c r="Z42" s="1756"/>
      <c r="AA42" s="1756"/>
      <c r="AB42" s="1756"/>
      <c r="AC42" s="1756"/>
      <c r="AD42" s="1756"/>
      <c r="AE42" s="1756"/>
      <c r="AF42" s="1756"/>
      <c r="AG42" s="1756"/>
      <c r="AH42" s="1756"/>
      <c r="AI42" s="1756"/>
      <c r="AJ42" s="1756"/>
      <c r="AK42" s="1756"/>
      <c r="AL42" s="1756"/>
      <c r="AM42" s="1756"/>
      <c r="AN42" s="1756"/>
      <c r="AO42" s="1756"/>
      <c r="AP42" s="1756"/>
      <c r="AQ42" s="1756"/>
      <c r="AR42" s="1756"/>
      <c r="AS42" s="1756"/>
      <c r="AT42" s="1757"/>
      <c r="AU42" s="160"/>
      <c r="AV42" s="151"/>
      <c r="AW42" s="151"/>
      <c r="AX42" s="151"/>
      <c r="AY42" s="151"/>
      <c r="BA42" s="151"/>
      <c r="BB42" s="151"/>
      <c r="BC42" s="151"/>
      <c r="BD42" s="151"/>
      <c r="BE42" s="151"/>
      <c r="BF42" s="152"/>
      <c r="BG42" s="152"/>
      <c r="BH42" s="152"/>
      <c r="BI42" s="152"/>
      <c r="BJ42" s="152"/>
      <c r="BK42" s="152"/>
      <c r="BL42" s="152"/>
      <c r="BM42" s="152"/>
      <c r="BN42" s="152"/>
      <c r="BO42" s="164" t="s">
        <v>1223</v>
      </c>
      <c r="BP42" s="164" t="s">
        <v>1449</v>
      </c>
      <c r="BQ42" s="295"/>
      <c r="BR42" s="152"/>
      <c r="BS42" s="152"/>
      <c r="BT42" s="152"/>
    </row>
    <row r="43" spans="1:78" ht="18.649999999999999" customHeight="1" thickBot="1">
      <c r="A43" s="148"/>
      <c r="B43" s="249"/>
      <c r="C43" s="1713" t="s">
        <v>863</v>
      </c>
      <c r="D43" s="1714"/>
      <c r="E43" s="1714"/>
      <c r="F43" s="1714"/>
      <c r="G43" s="1714"/>
      <c r="H43" s="1715"/>
      <c r="I43" s="1758">
        <v>30</v>
      </c>
      <c r="J43" s="1759"/>
      <c r="K43" s="1759"/>
      <c r="L43" s="1759"/>
      <c r="M43" s="1759"/>
      <c r="N43" s="1759"/>
      <c r="O43" s="1760" t="s">
        <v>814</v>
      </c>
      <c r="P43" s="1760"/>
      <c r="Q43" s="1761"/>
      <c r="R43" s="1762" t="s">
        <v>815</v>
      </c>
      <c r="S43" s="1714"/>
      <c r="T43" s="1714"/>
      <c r="U43" s="1714"/>
      <c r="V43" s="1714"/>
      <c r="W43" s="1715"/>
      <c r="X43" s="1758">
        <v>100</v>
      </c>
      <c r="Y43" s="1759"/>
      <c r="Z43" s="1759"/>
      <c r="AA43" s="1759"/>
      <c r="AB43" s="1759"/>
      <c r="AC43" s="1760" t="s">
        <v>816</v>
      </c>
      <c r="AD43" s="1760"/>
      <c r="AE43" s="1760"/>
      <c r="AF43" s="1762" t="s">
        <v>1075</v>
      </c>
      <c r="AG43" s="1714"/>
      <c r="AH43" s="1714"/>
      <c r="AI43" s="1714"/>
      <c r="AJ43" s="1714"/>
      <c r="AK43" s="1715"/>
      <c r="AL43" s="1716" t="s">
        <v>2204</v>
      </c>
      <c r="AM43" s="1717"/>
      <c r="AN43" s="1717"/>
      <c r="AO43" s="1717"/>
      <c r="AP43" s="1717"/>
      <c r="AQ43" s="1717"/>
      <c r="AR43" s="1717"/>
      <c r="AS43" s="1717"/>
      <c r="AT43" s="1722"/>
      <c r="AU43" s="160"/>
      <c r="AV43" s="151" t="str">
        <f>IF(OR(LEN(AL43)=13,AV13=2),"OK","NG")</f>
        <v>OK</v>
      </c>
      <c r="AW43" s="151"/>
      <c r="AX43" s="151"/>
      <c r="AY43" s="151"/>
      <c r="AZ43" s="432"/>
      <c r="BA43" s="151"/>
      <c r="BB43" s="151"/>
      <c r="BC43" s="151"/>
      <c r="BD43" s="151"/>
      <c r="BE43" s="151"/>
      <c r="BF43" s="152"/>
      <c r="BG43" s="152"/>
      <c r="BH43" s="152"/>
      <c r="BI43" s="152"/>
      <c r="BJ43" s="152"/>
      <c r="BK43" s="152"/>
      <c r="BL43" s="152"/>
      <c r="BM43" s="152"/>
      <c r="BN43" s="152"/>
      <c r="BO43" s="164" t="s">
        <v>1224</v>
      </c>
      <c r="BP43" s="175" t="s">
        <v>1450</v>
      </c>
      <c r="BQ43" s="296"/>
      <c r="BR43" s="175"/>
      <c r="BS43" s="175"/>
      <c r="BT43" s="175"/>
    </row>
    <row r="44" spans="1:78" ht="18.649999999999999" customHeight="1">
      <c r="A44" s="148"/>
      <c r="B44" s="249"/>
      <c r="C44" s="172"/>
      <c r="D44" s="172"/>
      <c r="E44" s="172"/>
      <c r="F44" s="172"/>
      <c r="G44" s="172"/>
      <c r="H44" s="172"/>
      <c r="I44" s="596"/>
      <c r="J44" s="430"/>
      <c r="K44" s="430"/>
      <c r="L44" s="430"/>
      <c r="M44" s="430"/>
      <c r="N44" s="430"/>
      <c r="O44" s="430"/>
      <c r="P44" s="430"/>
      <c r="Q44" s="430"/>
      <c r="R44" s="430"/>
      <c r="S44" s="430"/>
      <c r="T44" s="430"/>
      <c r="U44" s="430"/>
      <c r="V44" s="430"/>
      <c r="W44" s="430"/>
      <c r="X44" s="404"/>
      <c r="Y44" s="404"/>
      <c r="Z44" s="404"/>
      <c r="AA44" s="1723" t="s">
        <v>1076</v>
      </c>
      <c r="AB44" s="1723"/>
      <c r="AC44" s="1723"/>
      <c r="AD44" s="1723"/>
      <c r="AE44" s="1723"/>
      <c r="AF44" s="1723"/>
      <c r="AG44" s="1723"/>
      <c r="AH44" s="1723"/>
      <c r="AI44" s="1723"/>
      <c r="AJ44" s="1723"/>
      <c r="AK44" s="1723"/>
      <c r="AL44" s="1723"/>
      <c r="AM44" s="1723"/>
      <c r="AN44" s="1723"/>
      <c r="AO44" s="1723"/>
      <c r="AP44" s="1723"/>
      <c r="AQ44" s="1723"/>
      <c r="AR44" s="1723"/>
      <c r="AS44" s="1723"/>
      <c r="AT44" s="1723"/>
      <c r="AU44" s="160"/>
      <c r="AV44" s="151"/>
      <c r="AW44" s="151"/>
      <c r="AX44" s="151"/>
      <c r="AY44" s="151"/>
      <c r="AZ44" s="432"/>
      <c r="BA44" s="151"/>
      <c r="BB44" s="151"/>
      <c r="BC44" s="151"/>
      <c r="BD44" s="151"/>
      <c r="BE44" s="151"/>
      <c r="BF44" s="152"/>
      <c r="BG44" s="152"/>
      <c r="BH44" s="152"/>
      <c r="BI44" s="164"/>
      <c r="BJ44" s="164"/>
      <c r="BK44" s="164"/>
      <c r="BL44" s="164"/>
      <c r="BM44" s="164"/>
      <c r="BN44" s="164"/>
      <c r="BO44" s="175" t="s">
        <v>1225</v>
      </c>
      <c r="BP44" s="152" t="s">
        <v>1451</v>
      </c>
      <c r="BQ44" s="294"/>
      <c r="BR44" s="152"/>
      <c r="BS44" s="152"/>
      <c r="BT44" s="152"/>
    </row>
    <row r="45" spans="1:78" ht="18.649999999999999" customHeight="1">
      <c r="A45" s="148"/>
      <c r="B45" s="249"/>
      <c r="C45" s="172"/>
      <c r="D45" s="172"/>
      <c r="E45" s="172"/>
      <c r="F45" s="172"/>
      <c r="G45" s="172"/>
      <c r="H45" s="172"/>
      <c r="I45" s="597"/>
      <c r="J45" s="430"/>
      <c r="K45" s="430"/>
      <c r="L45" s="430"/>
      <c r="M45" s="430"/>
      <c r="N45" s="430"/>
      <c r="O45" s="430"/>
      <c r="P45" s="430"/>
      <c r="Q45" s="430"/>
      <c r="R45" s="430"/>
      <c r="S45" s="430"/>
      <c r="T45" s="430"/>
      <c r="U45" s="430"/>
      <c r="V45" s="430"/>
      <c r="W45" s="430"/>
      <c r="X45" s="430"/>
      <c r="Y45" s="430"/>
      <c r="Z45" s="430"/>
      <c r="AA45" s="430"/>
      <c r="AB45" s="430"/>
      <c r="AC45" s="430"/>
      <c r="AD45" s="430"/>
      <c r="AE45" s="430"/>
      <c r="AF45" s="430"/>
      <c r="AG45" s="430"/>
      <c r="AH45" s="430"/>
      <c r="AI45" s="430"/>
      <c r="AJ45" s="430"/>
      <c r="AK45" s="430"/>
      <c r="AL45" s="430"/>
      <c r="AM45" s="430"/>
      <c r="AN45" s="430"/>
      <c r="AO45" s="430"/>
      <c r="AP45" s="430"/>
      <c r="AQ45" s="430"/>
      <c r="AR45" s="430"/>
      <c r="AS45" s="430"/>
      <c r="AT45" s="430"/>
      <c r="AU45" s="160"/>
      <c r="AV45" s="151"/>
      <c r="AW45" s="151"/>
      <c r="AX45" s="151"/>
      <c r="AY45" s="151"/>
      <c r="BA45" s="151"/>
      <c r="BB45" s="151"/>
      <c r="BC45" s="151"/>
      <c r="BD45" s="151"/>
      <c r="BE45" s="151"/>
      <c r="BF45" s="152"/>
      <c r="BG45" s="152"/>
      <c r="BH45" s="152"/>
      <c r="BI45" s="164"/>
      <c r="BJ45" s="164"/>
      <c r="BK45" s="164"/>
      <c r="BL45" s="164"/>
      <c r="BM45" s="164"/>
      <c r="BN45" s="164"/>
      <c r="BO45" s="152" t="s">
        <v>1226</v>
      </c>
      <c r="BP45" s="152" t="s">
        <v>1452</v>
      </c>
      <c r="BQ45" s="294"/>
      <c r="BR45" s="152"/>
      <c r="BS45" s="152"/>
      <c r="BT45" s="152"/>
    </row>
    <row r="46" spans="1:78" ht="18.649999999999999" customHeight="1">
      <c r="A46" s="148"/>
      <c r="B46" s="249"/>
      <c r="C46" s="172"/>
      <c r="D46" s="172"/>
      <c r="E46" s="172"/>
      <c r="F46" s="172"/>
      <c r="G46" s="172"/>
      <c r="H46" s="172"/>
      <c r="I46" s="598"/>
      <c r="J46" s="430"/>
      <c r="K46" s="430"/>
      <c r="L46" s="430"/>
      <c r="M46" s="1474" t="s">
        <v>949</v>
      </c>
      <c r="N46" s="1474"/>
      <c r="O46" s="1474"/>
      <c r="P46" s="1474"/>
      <c r="Q46" s="1474"/>
      <c r="R46" s="1474"/>
      <c r="S46" s="1474"/>
      <c r="T46" s="1474"/>
      <c r="U46" s="1474"/>
      <c r="V46" s="1474"/>
      <c r="W46" s="1474"/>
      <c r="X46" s="1474"/>
      <c r="Y46" s="1474"/>
      <c r="Z46" s="1474"/>
      <c r="AA46" s="1474"/>
      <c r="AB46" s="1474"/>
      <c r="AC46" s="1474"/>
      <c r="AD46" s="1474"/>
      <c r="AE46" s="1474"/>
      <c r="AF46" s="1474"/>
      <c r="AG46" s="1474"/>
      <c r="AH46" s="1474"/>
      <c r="AI46" s="1474"/>
      <c r="AJ46" s="1474"/>
      <c r="AK46" s="1474"/>
      <c r="AL46" s="1474"/>
      <c r="AM46" s="1474"/>
      <c r="AN46" s="1474"/>
      <c r="AO46" s="1474"/>
      <c r="AP46" s="1474"/>
      <c r="AQ46" s="1474"/>
      <c r="AR46" s="1474"/>
      <c r="AS46" s="1474"/>
      <c r="AT46" s="1474"/>
      <c r="AU46" s="160"/>
      <c r="AV46" s="151"/>
      <c r="AW46" s="151"/>
      <c r="AX46" s="151"/>
      <c r="AY46" s="151"/>
      <c r="BA46" s="151"/>
      <c r="BB46" s="151"/>
      <c r="BC46" s="151"/>
      <c r="BD46" s="151"/>
      <c r="BE46" s="151"/>
      <c r="BF46" s="152"/>
      <c r="BG46" s="152"/>
      <c r="BH46" s="152"/>
      <c r="BI46" s="175"/>
      <c r="BJ46" s="175"/>
      <c r="BK46" s="175"/>
      <c r="BL46" s="175"/>
      <c r="BM46" s="175"/>
      <c r="BN46" s="175"/>
      <c r="BO46" s="152" t="s">
        <v>1227</v>
      </c>
      <c r="BP46" s="152" t="s">
        <v>1453</v>
      </c>
      <c r="BQ46" s="294"/>
      <c r="BR46" s="152"/>
      <c r="BS46" s="152"/>
      <c r="BT46" s="152"/>
    </row>
    <row r="47" spans="1:78" ht="18.649999999999999" customHeight="1" thickBot="1">
      <c r="A47" s="148"/>
      <c r="B47" s="249"/>
      <c r="C47" s="172"/>
      <c r="D47" s="172"/>
      <c r="E47" s="172"/>
      <c r="F47" s="172"/>
      <c r="G47" s="172"/>
      <c r="H47" s="172"/>
      <c r="I47" s="598"/>
      <c r="J47" s="430"/>
      <c r="K47" s="430"/>
      <c r="L47" s="430"/>
      <c r="M47" s="1474"/>
      <c r="N47" s="1474"/>
      <c r="O47" s="1474"/>
      <c r="P47" s="1474"/>
      <c r="Q47" s="1474"/>
      <c r="R47" s="1475"/>
      <c r="S47" s="1475"/>
      <c r="T47" s="1475"/>
      <c r="U47" s="1475"/>
      <c r="V47" s="1475"/>
      <c r="W47" s="1475"/>
      <c r="X47" s="1475"/>
      <c r="Y47" s="1475"/>
      <c r="Z47" s="1475"/>
      <c r="AA47" s="1475"/>
      <c r="AB47" s="1475"/>
      <c r="AC47" s="1475"/>
      <c r="AD47" s="1475"/>
      <c r="AE47" s="1475"/>
      <c r="AF47" s="1475"/>
      <c r="AG47" s="1475"/>
      <c r="AH47" s="1475"/>
      <c r="AI47" s="1475"/>
      <c r="AJ47" s="1475"/>
      <c r="AK47" s="1475"/>
      <c r="AL47" s="1475"/>
      <c r="AM47" s="1475"/>
      <c r="AN47" s="1475"/>
      <c r="AO47" s="1475"/>
      <c r="AP47" s="1475"/>
      <c r="AQ47" s="1475"/>
      <c r="AR47" s="1475"/>
      <c r="AS47" s="1475"/>
      <c r="AT47" s="1475"/>
      <c r="AU47" s="160"/>
      <c r="AV47" s="151"/>
      <c r="AW47" s="151"/>
      <c r="AX47" s="151"/>
      <c r="AY47" s="151"/>
      <c r="BA47" s="151"/>
      <c r="BB47" s="151"/>
      <c r="BC47" s="151"/>
      <c r="BD47" s="151"/>
      <c r="BE47" s="151"/>
      <c r="BF47" s="152"/>
      <c r="BG47" s="152"/>
      <c r="BH47" s="152"/>
      <c r="BI47" s="152"/>
      <c r="BJ47" s="152"/>
      <c r="BK47" s="152"/>
      <c r="BL47" s="152"/>
      <c r="BM47" s="152"/>
      <c r="BN47" s="152"/>
      <c r="BO47" s="152" t="s">
        <v>1228</v>
      </c>
      <c r="BP47" s="152" t="s">
        <v>1454</v>
      </c>
      <c r="BQ47" s="294"/>
      <c r="BR47" s="152"/>
      <c r="BS47" s="152"/>
      <c r="BT47" s="152"/>
    </row>
    <row r="48" spans="1:78" ht="18" customHeight="1">
      <c r="A48" s="148"/>
      <c r="B48" s="249">
        <f>IF(OR(I48="",O48="",I49="",O49="",X48="",AI49="",AM49="",AQ49="",O51="",Z51="",J52="",M52="",I53="",N53="",V53="",AD53="",I55="",O55="",T55="",AV48=0,AV51="NG",AV53="00"),1,0)</f>
        <v>1</v>
      </c>
      <c r="C48" s="1476" t="s">
        <v>390</v>
      </c>
      <c r="D48" s="1477"/>
      <c r="E48" s="1477"/>
      <c r="F48" s="1477"/>
      <c r="G48" s="1477"/>
      <c r="H48" s="1478"/>
      <c r="I48" s="1724" t="s">
        <v>2205</v>
      </c>
      <c r="J48" s="1725"/>
      <c r="K48" s="1725"/>
      <c r="L48" s="1725"/>
      <c r="M48" s="1725"/>
      <c r="N48" s="1725"/>
      <c r="O48" s="1725" t="s">
        <v>2206</v>
      </c>
      <c r="P48" s="1725"/>
      <c r="Q48" s="1725"/>
      <c r="R48" s="1725"/>
      <c r="S48" s="1725"/>
      <c r="T48" s="1726"/>
      <c r="U48" s="1727" t="s">
        <v>406</v>
      </c>
      <c r="V48" s="1728"/>
      <c r="W48" s="1729"/>
      <c r="X48" s="1730" t="s">
        <v>2207</v>
      </c>
      <c r="Y48" s="1730"/>
      <c r="Z48" s="1730"/>
      <c r="AA48" s="1730"/>
      <c r="AB48" s="1730"/>
      <c r="AC48" s="1731"/>
      <c r="AD48" s="1735" t="s">
        <v>407</v>
      </c>
      <c r="AE48" s="1736"/>
      <c r="AF48" s="1737"/>
      <c r="AG48" s="1738"/>
      <c r="AH48" s="1739"/>
      <c r="AI48" s="420" t="s">
        <v>408</v>
      </c>
      <c r="AJ48" s="1739"/>
      <c r="AK48" s="1739"/>
      <c r="AL48" s="420" t="s">
        <v>409</v>
      </c>
      <c r="AM48" s="173"/>
      <c r="AN48" s="173"/>
      <c r="AO48" s="173"/>
      <c r="AP48" s="173"/>
      <c r="AQ48" s="173"/>
      <c r="AR48" s="173"/>
      <c r="AS48" s="173"/>
      <c r="AT48" s="174"/>
      <c r="AU48" s="160"/>
      <c r="AV48" s="151">
        <v>1</v>
      </c>
      <c r="AW48" s="151"/>
      <c r="AX48" s="151"/>
      <c r="AY48" s="151"/>
      <c r="BA48" s="151"/>
      <c r="BB48" s="151"/>
      <c r="BC48" s="151"/>
      <c r="BD48" s="151"/>
      <c r="BE48" s="151"/>
      <c r="BF48" s="152"/>
      <c r="BG48" s="152"/>
      <c r="BH48" s="152"/>
      <c r="BI48" s="152"/>
      <c r="BJ48" s="152"/>
      <c r="BK48" s="152"/>
      <c r="BL48" s="152"/>
      <c r="BM48" s="152"/>
      <c r="BN48" s="152"/>
      <c r="BO48" s="152" t="s">
        <v>1229</v>
      </c>
      <c r="BP48" s="152" t="s">
        <v>1455</v>
      </c>
      <c r="BQ48" s="294"/>
      <c r="BR48" s="152"/>
      <c r="BS48" s="152"/>
      <c r="BT48" s="152"/>
    </row>
    <row r="49" spans="1:78" ht="18" customHeight="1">
      <c r="A49" s="148"/>
      <c r="B49" s="249"/>
      <c r="C49" s="1482" t="s">
        <v>411</v>
      </c>
      <c r="D49" s="1483"/>
      <c r="E49" s="1483"/>
      <c r="F49" s="1483"/>
      <c r="G49" s="1483"/>
      <c r="H49" s="1484"/>
      <c r="I49" s="1740" t="s">
        <v>2019</v>
      </c>
      <c r="J49" s="1741"/>
      <c r="K49" s="1741"/>
      <c r="L49" s="1741"/>
      <c r="M49" s="1741"/>
      <c r="N49" s="1741"/>
      <c r="O49" s="1741" t="s">
        <v>2020</v>
      </c>
      <c r="P49" s="1741"/>
      <c r="Q49" s="1741"/>
      <c r="R49" s="1741"/>
      <c r="S49" s="1741"/>
      <c r="T49" s="1744"/>
      <c r="U49" s="1649"/>
      <c r="V49" s="1650"/>
      <c r="W49" s="1651"/>
      <c r="X49" s="1732"/>
      <c r="Y49" s="1732"/>
      <c r="Z49" s="1732"/>
      <c r="AA49" s="1732"/>
      <c r="AB49" s="1732"/>
      <c r="AC49" s="1733"/>
      <c r="AD49" s="1746" t="s">
        <v>412</v>
      </c>
      <c r="AE49" s="1542"/>
      <c r="AF49" s="1543"/>
      <c r="AG49" s="1747" t="s">
        <v>380</v>
      </c>
      <c r="AH49" s="1747"/>
      <c r="AI49" s="1748">
        <v>1950</v>
      </c>
      <c r="AJ49" s="1748"/>
      <c r="AK49" s="1747" t="s">
        <v>381</v>
      </c>
      <c r="AL49" s="1747"/>
      <c r="AM49" s="1749">
        <v>2</v>
      </c>
      <c r="AN49" s="1749"/>
      <c r="AO49" s="1750" t="s">
        <v>413</v>
      </c>
      <c r="AP49" s="1750"/>
      <c r="AQ49" s="1749">
        <v>2</v>
      </c>
      <c r="AR49" s="1749"/>
      <c r="AS49" s="1750" t="s">
        <v>414</v>
      </c>
      <c r="AT49" s="1628"/>
      <c r="AU49" s="160"/>
      <c r="AV49" s="151"/>
      <c r="AW49" s="151"/>
      <c r="AX49" s="151"/>
      <c r="AY49" s="151"/>
      <c r="AZ49" s="176"/>
      <c r="BA49" s="151"/>
      <c r="BB49" s="151"/>
      <c r="BC49" s="151"/>
      <c r="BD49" s="151"/>
      <c r="BE49" s="151"/>
      <c r="BF49" s="152"/>
      <c r="BG49" s="152"/>
      <c r="BH49" s="152"/>
      <c r="BI49" s="152"/>
      <c r="BJ49" s="152"/>
      <c r="BK49" s="152"/>
      <c r="BL49" s="152"/>
      <c r="BM49" s="152"/>
      <c r="BN49" s="152"/>
      <c r="BO49" s="152" t="s">
        <v>1230</v>
      </c>
      <c r="BP49" s="152" t="s">
        <v>1456</v>
      </c>
      <c r="BQ49" s="294"/>
      <c r="BR49" s="152"/>
      <c r="BS49" s="152"/>
      <c r="BT49" s="152"/>
    </row>
    <row r="50" spans="1:78" ht="18" customHeight="1">
      <c r="A50" s="148"/>
      <c r="B50" s="249"/>
      <c r="C50" s="1482"/>
      <c r="D50" s="1483"/>
      <c r="E50" s="1483"/>
      <c r="F50" s="1483"/>
      <c r="G50" s="1483"/>
      <c r="H50" s="1484"/>
      <c r="I50" s="1742"/>
      <c r="J50" s="1743"/>
      <c r="K50" s="1743"/>
      <c r="L50" s="1743"/>
      <c r="M50" s="1743"/>
      <c r="N50" s="1743"/>
      <c r="O50" s="1743"/>
      <c r="P50" s="1743"/>
      <c r="Q50" s="1743"/>
      <c r="R50" s="1743"/>
      <c r="S50" s="1743"/>
      <c r="T50" s="1745"/>
      <c r="U50" s="1544"/>
      <c r="V50" s="1545"/>
      <c r="W50" s="1546"/>
      <c r="X50" s="1540"/>
      <c r="Y50" s="1540"/>
      <c r="Z50" s="1540"/>
      <c r="AA50" s="1540"/>
      <c r="AB50" s="1540"/>
      <c r="AC50" s="1734"/>
      <c r="AD50" s="1544"/>
      <c r="AE50" s="1545"/>
      <c r="AF50" s="1546"/>
      <c r="AG50" s="1747"/>
      <c r="AH50" s="1747"/>
      <c r="AI50" s="1748"/>
      <c r="AJ50" s="1748"/>
      <c r="AK50" s="1747"/>
      <c r="AL50" s="1747"/>
      <c r="AM50" s="1748"/>
      <c r="AN50" s="1748"/>
      <c r="AO50" s="1747"/>
      <c r="AP50" s="1747"/>
      <c r="AQ50" s="1748"/>
      <c r="AR50" s="1748"/>
      <c r="AS50" s="1747"/>
      <c r="AT50" s="1751"/>
      <c r="AU50" s="160"/>
      <c r="AV50" s="151"/>
      <c r="AW50" s="151"/>
      <c r="AX50" s="151"/>
      <c r="AY50" s="151"/>
      <c r="AZ50" s="151"/>
      <c r="BA50" s="151"/>
      <c r="BB50" s="151"/>
      <c r="BC50" s="151"/>
      <c r="BD50" s="151"/>
      <c r="BE50" s="151"/>
      <c r="BF50" s="152"/>
      <c r="BG50" s="152"/>
      <c r="BH50" s="152"/>
      <c r="BI50" s="152"/>
      <c r="BJ50" s="152"/>
      <c r="BK50" s="152"/>
      <c r="BL50" s="152"/>
      <c r="BM50" s="152"/>
      <c r="BN50" s="152"/>
      <c r="BO50" s="152"/>
      <c r="BP50" s="164"/>
      <c r="BQ50" s="295"/>
      <c r="BR50" s="152"/>
      <c r="BS50" s="152"/>
      <c r="BT50" s="152"/>
    </row>
    <row r="51" spans="1:78" ht="18" customHeight="1">
      <c r="A51" s="148"/>
      <c r="B51" s="249"/>
      <c r="C51" s="1449" t="s">
        <v>2026</v>
      </c>
      <c r="D51" s="1450"/>
      <c r="E51" s="1450"/>
      <c r="F51" s="1450"/>
      <c r="G51" s="1450"/>
      <c r="H51" s="1451"/>
      <c r="I51" s="501"/>
      <c r="J51" s="1416" t="s">
        <v>1422</v>
      </c>
      <c r="K51" s="1416"/>
      <c r="L51" s="1416"/>
      <c r="M51" s="1702"/>
      <c r="N51" s="622"/>
      <c r="O51" s="1677" t="s">
        <v>4420</v>
      </c>
      <c r="P51" s="1677"/>
      <c r="Q51" s="1677"/>
      <c r="R51" s="1677"/>
      <c r="S51" s="1677"/>
      <c r="T51" s="1677"/>
      <c r="U51" s="1678"/>
      <c r="V51" s="622"/>
      <c r="W51" s="1677" t="s">
        <v>4421</v>
      </c>
      <c r="X51" s="1677"/>
      <c r="Y51" s="1677"/>
      <c r="Z51" s="1677"/>
      <c r="AA51" s="1677"/>
      <c r="AB51" s="1677"/>
      <c r="AC51" s="1678"/>
      <c r="AD51" s="622"/>
      <c r="AE51" s="1677" t="s">
        <v>4423</v>
      </c>
      <c r="AF51" s="1677"/>
      <c r="AG51" s="1677"/>
      <c r="AH51" s="1677"/>
      <c r="AI51" s="1677"/>
      <c r="AJ51" s="1677"/>
      <c r="AK51" s="1678"/>
      <c r="AL51" s="622"/>
      <c r="AM51" s="1679"/>
      <c r="AN51" s="1679"/>
      <c r="AO51" s="1679"/>
      <c r="AP51" s="1679"/>
      <c r="AQ51" s="1679"/>
      <c r="AR51" s="1679"/>
      <c r="AS51" s="1679"/>
      <c r="AT51" s="1680"/>
      <c r="AU51" s="160"/>
      <c r="AV51" s="151" t="str">
        <f>IF(ISERROR(FIND({"１","２","３","４","５","６","７","８","９","０","1","2","3","4","5","6","7","8","9","0","-","―","－","-","・","！","!","@","&amp;","."},O51&amp;Z51&amp;AK51)),"OK","NG")</f>
        <v>OK</v>
      </c>
      <c r="AW51" s="151"/>
      <c r="AX51" s="151"/>
      <c r="AY51" s="151"/>
      <c r="AZ51" s="151"/>
      <c r="BA51" s="151"/>
      <c r="BB51" s="151"/>
      <c r="BC51" s="151"/>
      <c r="BD51" s="151"/>
      <c r="BE51" s="151"/>
      <c r="BF51" s="152"/>
      <c r="BG51" s="152"/>
      <c r="BH51" s="152"/>
      <c r="BI51" s="152"/>
      <c r="BJ51" s="152"/>
      <c r="BK51" s="152"/>
      <c r="BL51" s="152"/>
      <c r="BM51" s="152"/>
      <c r="BN51" s="152"/>
      <c r="BO51" s="164"/>
      <c r="BP51" s="164"/>
      <c r="BQ51" s="295"/>
      <c r="BR51" s="152"/>
      <c r="BS51" s="152"/>
      <c r="BT51" s="152"/>
    </row>
    <row r="52" spans="1:78" s="154" customFormat="1" ht="18" customHeight="1">
      <c r="A52" s="148"/>
      <c r="B52" s="249"/>
      <c r="C52" s="1458" t="s">
        <v>859</v>
      </c>
      <c r="D52" s="1459"/>
      <c r="E52" s="1459"/>
      <c r="F52" s="1459"/>
      <c r="G52" s="1459"/>
      <c r="H52" s="1460"/>
      <c r="I52" s="623" t="s">
        <v>2027</v>
      </c>
      <c r="J52" s="1693" t="s">
        <v>2209</v>
      </c>
      <c r="K52" s="1693"/>
      <c r="L52" s="624" t="s">
        <v>2028</v>
      </c>
      <c r="M52" s="1694" t="s">
        <v>2210</v>
      </c>
      <c r="N52" s="1694"/>
      <c r="O52" s="624"/>
      <c r="P52" s="624"/>
      <c r="Q52" s="625"/>
      <c r="R52" s="625"/>
      <c r="S52" s="625"/>
      <c r="T52" s="625"/>
      <c r="U52" s="625"/>
      <c r="V52" s="625"/>
      <c r="W52" s="625"/>
      <c r="X52" s="625"/>
      <c r="Y52" s="625"/>
      <c r="Z52" s="625"/>
      <c r="AA52" s="625"/>
      <c r="AB52" s="625"/>
      <c r="AC52" s="625"/>
      <c r="AD52" s="625"/>
      <c r="AE52" s="625"/>
      <c r="AF52" s="625"/>
      <c r="AG52" s="625"/>
      <c r="AH52" s="625"/>
      <c r="AI52" s="625"/>
      <c r="AJ52" s="625"/>
      <c r="AK52" s="625"/>
      <c r="AL52" s="625"/>
      <c r="AM52" s="625"/>
      <c r="AN52" s="625"/>
      <c r="AO52" s="625"/>
      <c r="AP52" s="625"/>
      <c r="AQ52" s="625"/>
      <c r="AR52" s="625"/>
      <c r="AS52" s="625"/>
      <c r="AT52" s="626"/>
      <c r="AU52" s="160"/>
      <c r="AV52" s="151"/>
      <c r="AW52" s="151"/>
      <c r="AX52" s="151"/>
      <c r="AY52" s="151"/>
      <c r="AZ52" s="151"/>
      <c r="BA52" s="151"/>
      <c r="BB52" s="151"/>
      <c r="BC52" s="151"/>
      <c r="BD52" s="151"/>
      <c r="BE52" s="151"/>
      <c r="BF52" s="152"/>
      <c r="BG52" s="152"/>
      <c r="BH52" s="152"/>
      <c r="BI52" s="152"/>
      <c r="BJ52" s="152"/>
      <c r="BK52" s="152"/>
      <c r="BL52" s="152"/>
      <c r="BM52" s="152"/>
      <c r="BN52" s="152"/>
      <c r="BO52" s="164"/>
      <c r="BP52" s="158"/>
      <c r="BQ52" s="297"/>
      <c r="BR52" s="158"/>
      <c r="BS52" s="158"/>
      <c r="BT52" s="158"/>
      <c r="BU52" s="153"/>
      <c r="BV52" s="153"/>
      <c r="BW52" s="153"/>
      <c r="BX52" s="153"/>
      <c r="BY52" s="153"/>
      <c r="BZ52" s="153"/>
    </row>
    <row r="53" spans="1:78" s="154" customFormat="1" ht="18" customHeight="1">
      <c r="A53" s="148"/>
      <c r="B53" s="249"/>
      <c r="C53" s="1482"/>
      <c r="D53" s="1483"/>
      <c r="E53" s="1483"/>
      <c r="F53" s="1483"/>
      <c r="G53" s="1483"/>
      <c r="H53" s="1484"/>
      <c r="I53" s="1695" t="s">
        <v>1196</v>
      </c>
      <c r="J53" s="1696"/>
      <c r="K53" s="1696"/>
      <c r="L53" s="1696"/>
      <c r="M53" s="1696"/>
      <c r="N53" s="1673" t="s">
        <v>2196</v>
      </c>
      <c r="O53" s="1673"/>
      <c r="P53" s="1673"/>
      <c r="Q53" s="1673"/>
      <c r="R53" s="1673"/>
      <c r="S53" s="1673"/>
      <c r="T53" s="1673"/>
      <c r="U53" s="1673"/>
      <c r="V53" s="1673" t="s">
        <v>2208</v>
      </c>
      <c r="W53" s="1673"/>
      <c r="X53" s="1673"/>
      <c r="Y53" s="1673"/>
      <c r="Z53" s="1673"/>
      <c r="AA53" s="1673"/>
      <c r="AB53" s="1673"/>
      <c r="AC53" s="1673"/>
      <c r="AD53" s="1671" t="s">
        <v>2211</v>
      </c>
      <c r="AE53" s="1671"/>
      <c r="AF53" s="1671"/>
      <c r="AG53" s="1671"/>
      <c r="AH53" s="1671"/>
      <c r="AI53" s="1671"/>
      <c r="AJ53" s="1671"/>
      <c r="AK53" s="1671"/>
      <c r="AL53" s="1673"/>
      <c r="AM53" s="1673"/>
      <c r="AN53" s="1673"/>
      <c r="AO53" s="1673"/>
      <c r="AP53" s="1673"/>
      <c r="AQ53" s="1673"/>
      <c r="AR53" s="1673"/>
      <c r="AS53" s="1673"/>
      <c r="AT53" s="1674"/>
      <c r="AU53" s="160"/>
      <c r="AV53" s="151" t="str">
        <f>LEFT(I53,2)</f>
        <v>13</v>
      </c>
      <c r="AW53" s="151" t="str">
        <f>MID(I53,4,LEN(I53)-3)</f>
        <v>東京都</v>
      </c>
      <c r="AX53" s="151"/>
      <c r="AY53" s="151"/>
      <c r="AZ53" s="151"/>
      <c r="BA53" s="151"/>
      <c r="BB53" s="151"/>
      <c r="BC53" s="151"/>
      <c r="BD53" s="151"/>
      <c r="BE53" s="151"/>
      <c r="BF53" s="164"/>
      <c r="BG53" s="164"/>
      <c r="BH53" s="164"/>
      <c r="BI53" s="164"/>
      <c r="BJ53" s="164"/>
      <c r="BK53" s="164"/>
      <c r="BL53" s="164"/>
      <c r="BM53" s="164"/>
      <c r="BN53" s="164"/>
      <c r="BO53" s="158"/>
      <c r="BP53" s="152"/>
      <c r="BQ53" s="294"/>
      <c r="BR53" s="178"/>
      <c r="BS53" s="153"/>
      <c r="BT53" s="153"/>
      <c r="BU53" s="153"/>
      <c r="BV53" s="153"/>
      <c r="BW53" s="153"/>
      <c r="BX53" s="153"/>
      <c r="BY53" s="153"/>
      <c r="BZ53" s="153"/>
    </row>
    <row r="54" spans="1:78" s="154" customFormat="1" ht="18" customHeight="1">
      <c r="A54" s="148"/>
      <c r="B54" s="249"/>
      <c r="C54" s="1461"/>
      <c r="D54" s="1462"/>
      <c r="E54" s="1462"/>
      <c r="F54" s="1462"/>
      <c r="G54" s="1462"/>
      <c r="H54" s="1463"/>
      <c r="I54" s="1697"/>
      <c r="J54" s="1698"/>
      <c r="K54" s="1698"/>
      <c r="L54" s="1698"/>
      <c r="M54" s="1698"/>
      <c r="N54" s="1675"/>
      <c r="O54" s="1675"/>
      <c r="P54" s="1675"/>
      <c r="Q54" s="1675"/>
      <c r="R54" s="1675"/>
      <c r="S54" s="1675"/>
      <c r="T54" s="1675"/>
      <c r="U54" s="1675"/>
      <c r="V54" s="1675"/>
      <c r="W54" s="1675"/>
      <c r="X54" s="1675"/>
      <c r="Y54" s="1675"/>
      <c r="Z54" s="1675"/>
      <c r="AA54" s="1675"/>
      <c r="AB54" s="1675"/>
      <c r="AC54" s="1675"/>
      <c r="AD54" s="1672"/>
      <c r="AE54" s="1672"/>
      <c r="AF54" s="1672"/>
      <c r="AG54" s="1672"/>
      <c r="AH54" s="1672"/>
      <c r="AI54" s="1672"/>
      <c r="AJ54" s="1672"/>
      <c r="AK54" s="1672"/>
      <c r="AL54" s="1675"/>
      <c r="AM54" s="1675"/>
      <c r="AN54" s="1675"/>
      <c r="AO54" s="1675"/>
      <c r="AP54" s="1675"/>
      <c r="AQ54" s="1675"/>
      <c r="AR54" s="1675"/>
      <c r="AS54" s="1675"/>
      <c r="AT54" s="1676"/>
      <c r="AU54" s="160"/>
      <c r="AV54" s="151"/>
      <c r="AW54" s="151"/>
      <c r="AX54" s="151"/>
      <c r="AY54" s="151"/>
      <c r="AZ54" s="151"/>
      <c r="BA54" s="151"/>
      <c r="BB54" s="151"/>
      <c r="BC54" s="151"/>
      <c r="BD54" s="151"/>
      <c r="BE54" s="151"/>
      <c r="BF54" s="164"/>
      <c r="BG54" s="164"/>
      <c r="BH54" s="164"/>
      <c r="BI54" s="164"/>
      <c r="BJ54" s="164"/>
      <c r="BK54" s="164"/>
      <c r="BL54" s="164"/>
      <c r="BM54" s="164"/>
      <c r="BN54" s="164"/>
      <c r="BO54" s="152"/>
      <c r="BP54" s="152"/>
      <c r="BQ54" s="294"/>
      <c r="BR54" s="178"/>
      <c r="BS54" s="153"/>
      <c r="BT54" s="153"/>
      <c r="BU54" s="153"/>
      <c r="BV54" s="153"/>
      <c r="BW54" s="153"/>
      <c r="BX54" s="153"/>
      <c r="BY54" s="153"/>
      <c r="BZ54" s="153"/>
    </row>
    <row r="55" spans="1:78" ht="18" customHeight="1" thickBot="1">
      <c r="A55" s="148"/>
      <c r="B55" s="249"/>
      <c r="C55" s="1713" t="s">
        <v>398</v>
      </c>
      <c r="D55" s="1714"/>
      <c r="E55" s="1714"/>
      <c r="F55" s="1714"/>
      <c r="G55" s="1714"/>
      <c r="H55" s="1715"/>
      <c r="I55" s="1716" t="s">
        <v>2212</v>
      </c>
      <c r="J55" s="1717"/>
      <c r="K55" s="1717"/>
      <c r="L55" s="1717"/>
      <c r="M55" s="1717"/>
      <c r="N55" s="443" t="s">
        <v>1231</v>
      </c>
      <c r="O55" s="1717" t="s">
        <v>2213</v>
      </c>
      <c r="P55" s="1717"/>
      <c r="Q55" s="1717"/>
      <c r="R55" s="1717"/>
      <c r="S55" s="443" t="s">
        <v>1182</v>
      </c>
      <c r="T55" s="1717" t="s">
        <v>2214</v>
      </c>
      <c r="U55" s="1717"/>
      <c r="V55" s="1717"/>
      <c r="W55" s="1717"/>
      <c r="X55" s="1718"/>
      <c r="Y55" s="1719" t="s">
        <v>399</v>
      </c>
      <c r="Z55" s="1720"/>
      <c r="AA55" s="1720"/>
      <c r="AB55" s="1720"/>
      <c r="AC55" s="1720"/>
      <c r="AD55" s="1721"/>
      <c r="AE55" s="1716"/>
      <c r="AF55" s="1717"/>
      <c r="AG55" s="1717"/>
      <c r="AH55" s="1717"/>
      <c r="AI55" s="1717"/>
      <c r="AJ55" s="443" t="s">
        <v>1231</v>
      </c>
      <c r="AK55" s="1717"/>
      <c r="AL55" s="1717"/>
      <c r="AM55" s="1717"/>
      <c r="AN55" s="1717"/>
      <c r="AO55" s="443" t="s">
        <v>1182</v>
      </c>
      <c r="AP55" s="1717"/>
      <c r="AQ55" s="1717"/>
      <c r="AR55" s="1717"/>
      <c r="AS55" s="1717"/>
      <c r="AT55" s="1722"/>
      <c r="AU55" s="160"/>
      <c r="AV55" s="151" t="str">
        <f>IF(AND(I55&lt;&gt;"",O55&lt;&gt;"",T55&lt;&gt;""),IF(LENB(I55)+LENB(O55)+LENB(T55)&lt;13,"OK","NG"),"OK")</f>
        <v>OK</v>
      </c>
      <c r="AW55" s="151" t="str">
        <f>IF(AND(AE55&lt;&gt;"",AK55&lt;&gt;"",AP55&lt;&gt;""),IF(LENB(AE55)+LENB(AK55)+LENB(AP55)&lt;13,"OK","NG"),"OK")</f>
        <v>OK</v>
      </c>
      <c r="AX55" s="151"/>
      <c r="AY55" s="151"/>
      <c r="AZ55" s="151"/>
      <c r="BA55" s="151"/>
      <c r="BB55" s="151"/>
      <c r="BC55" s="151"/>
      <c r="BD55" s="151"/>
      <c r="BE55" s="151"/>
      <c r="BF55" s="164"/>
      <c r="BG55" s="164"/>
      <c r="BH55" s="164"/>
      <c r="BO55" s="152"/>
      <c r="BP55" s="152"/>
      <c r="BS55" s="153"/>
      <c r="BT55" s="153"/>
    </row>
    <row r="56" spans="1:78" ht="18.649999999999999" customHeight="1">
      <c r="A56" s="148"/>
      <c r="B56" s="249"/>
      <c r="C56" s="172"/>
      <c r="D56" s="172"/>
      <c r="E56" s="172"/>
      <c r="F56" s="172"/>
      <c r="G56" s="172"/>
      <c r="H56" s="172"/>
      <c r="I56" s="715"/>
      <c r="J56" s="715"/>
      <c r="K56" s="715"/>
      <c r="L56" s="715"/>
      <c r="M56" s="715"/>
      <c r="N56" s="715"/>
      <c r="O56" s="715"/>
      <c r="P56" s="715"/>
      <c r="Q56" s="715"/>
      <c r="R56" s="715"/>
      <c r="S56" s="715"/>
      <c r="T56" s="715"/>
      <c r="U56" s="715"/>
      <c r="V56" s="715"/>
      <c r="W56" s="715"/>
      <c r="X56" s="715"/>
      <c r="Y56" s="759"/>
      <c r="Z56" s="759"/>
      <c r="AA56" s="759"/>
      <c r="AB56" s="759"/>
      <c r="AC56" s="759"/>
      <c r="AD56" s="759"/>
      <c r="AE56" s="715"/>
      <c r="AF56" s="715"/>
      <c r="AG56" s="715"/>
      <c r="AH56" s="715"/>
      <c r="AI56" s="715"/>
      <c r="AJ56" s="715"/>
      <c r="AK56" s="715"/>
      <c r="AL56" s="715"/>
      <c r="AM56" s="715"/>
      <c r="AN56" s="715"/>
      <c r="AO56" s="715"/>
      <c r="AP56" s="715"/>
      <c r="AQ56" s="715"/>
      <c r="AR56" s="715"/>
      <c r="AS56" s="715"/>
      <c r="AT56" s="715"/>
      <c r="AU56" s="160"/>
      <c r="AV56" s="151"/>
      <c r="AW56" s="151"/>
      <c r="AX56" s="151"/>
      <c r="AY56" s="151"/>
      <c r="AZ56" s="151"/>
      <c r="BA56" s="151"/>
      <c r="BB56" s="151"/>
      <c r="BC56" s="151"/>
      <c r="BD56" s="151"/>
      <c r="BE56" s="151"/>
      <c r="BF56" s="164"/>
      <c r="BG56" s="164"/>
      <c r="BH56" s="164"/>
      <c r="BI56" s="152"/>
      <c r="BJ56" s="152"/>
      <c r="BK56" s="152"/>
      <c r="BL56" s="152"/>
      <c r="BM56" s="152"/>
      <c r="BN56" s="152"/>
      <c r="BO56" s="152"/>
      <c r="BP56" s="152"/>
      <c r="BS56" s="153"/>
      <c r="BT56" s="153"/>
    </row>
    <row r="57" spans="1:78" ht="18.649999999999999" customHeight="1">
      <c r="A57" s="148"/>
      <c r="B57" s="249"/>
      <c r="C57" s="172"/>
      <c r="D57" s="172"/>
      <c r="E57" s="172"/>
      <c r="F57" s="172"/>
      <c r="G57" s="172"/>
      <c r="H57" s="172"/>
      <c r="I57" s="715"/>
      <c r="J57" s="715"/>
      <c r="K57" s="715"/>
      <c r="L57" s="715"/>
      <c r="M57" s="715"/>
      <c r="N57" s="715"/>
      <c r="O57" s="715"/>
      <c r="P57" s="715"/>
      <c r="Q57" s="715"/>
      <c r="R57" s="715"/>
      <c r="S57" s="715"/>
      <c r="T57" s="715"/>
      <c r="U57" s="715"/>
      <c r="V57" s="715"/>
      <c r="W57" s="715"/>
      <c r="X57" s="715"/>
      <c r="Y57" s="759"/>
      <c r="Z57" s="759"/>
      <c r="AA57" s="759"/>
      <c r="AB57" s="759"/>
      <c r="AC57" s="759"/>
      <c r="AD57" s="759"/>
      <c r="AE57" s="715"/>
      <c r="AF57" s="715"/>
      <c r="AG57" s="715"/>
      <c r="AH57" s="715"/>
      <c r="AI57" s="715"/>
      <c r="AJ57" s="715"/>
      <c r="AK57" s="715"/>
      <c r="AL57" s="715"/>
      <c r="AM57" s="715"/>
      <c r="AN57" s="715"/>
      <c r="AO57" s="715"/>
      <c r="AP57" s="715"/>
      <c r="AQ57" s="715"/>
      <c r="AR57" s="715"/>
      <c r="AS57" s="715"/>
      <c r="AT57" s="715"/>
      <c r="AU57" s="160"/>
      <c r="AV57" s="151"/>
      <c r="AW57" s="151"/>
      <c r="AX57" s="151"/>
      <c r="AY57" s="151"/>
      <c r="AZ57" s="151"/>
      <c r="BA57" s="151"/>
      <c r="BB57" s="151"/>
      <c r="BC57" s="151"/>
      <c r="BD57" s="151"/>
      <c r="BE57" s="176"/>
      <c r="BF57" s="164"/>
      <c r="BG57" s="164"/>
      <c r="BH57" s="164"/>
      <c r="BI57" s="152"/>
      <c r="BJ57" s="152"/>
      <c r="BK57" s="152"/>
      <c r="BL57" s="152"/>
      <c r="BM57" s="152"/>
      <c r="BN57" s="152"/>
      <c r="BO57" s="152"/>
      <c r="BP57" s="152"/>
      <c r="BS57" s="153"/>
      <c r="BT57" s="153"/>
    </row>
    <row r="58" spans="1:78" ht="18.649999999999999" customHeight="1">
      <c r="A58" s="148"/>
      <c r="B58" s="249"/>
      <c r="C58" s="148"/>
      <c r="D58" s="148"/>
      <c r="E58" s="148"/>
      <c r="F58" s="148"/>
      <c r="G58" s="148"/>
      <c r="H58" s="148"/>
      <c r="I58" s="148"/>
      <c r="J58" s="148"/>
      <c r="K58" s="148"/>
      <c r="L58" s="148"/>
      <c r="M58" s="1474" t="s">
        <v>932</v>
      </c>
      <c r="N58" s="1474"/>
      <c r="O58" s="1474"/>
      <c r="P58" s="1474"/>
      <c r="Q58" s="1474"/>
      <c r="R58" s="1474"/>
      <c r="S58" s="1474"/>
      <c r="T58" s="1474"/>
      <c r="U58" s="1474"/>
      <c r="V58" s="1474"/>
      <c r="W58" s="1474"/>
      <c r="X58" s="1474"/>
      <c r="Y58" s="1474"/>
      <c r="Z58" s="1474"/>
      <c r="AA58" s="1474"/>
      <c r="AB58" s="1474"/>
      <c r="AC58" s="1474"/>
      <c r="AD58" s="1474"/>
      <c r="AE58" s="1474"/>
      <c r="AF58" s="1474"/>
      <c r="AG58" s="1474"/>
      <c r="AH58" s="1474"/>
      <c r="AI58" s="1474"/>
      <c r="AJ58" s="1474"/>
      <c r="AK58" s="1474"/>
      <c r="AL58" s="1474"/>
      <c r="AM58" s="1474"/>
      <c r="AN58" s="1474"/>
      <c r="AO58" s="1474"/>
      <c r="AP58" s="1474"/>
      <c r="AQ58" s="1474"/>
      <c r="AR58" s="1474"/>
      <c r="AS58" s="1474"/>
      <c r="AT58" s="1474"/>
      <c r="AU58" s="160"/>
      <c r="AV58" s="151"/>
      <c r="AW58" s="151"/>
      <c r="AX58" s="151"/>
      <c r="AY58" s="151"/>
      <c r="AZ58" s="151"/>
      <c r="BA58" s="151"/>
      <c r="BB58" s="151"/>
      <c r="BC58" s="151"/>
      <c r="BD58" s="151"/>
      <c r="BE58" s="176"/>
      <c r="BF58" s="175"/>
      <c r="BG58" s="175"/>
      <c r="BH58" s="175"/>
      <c r="BI58" s="152"/>
      <c r="BJ58" s="152"/>
      <c r="BK58" s="152"/>
      <c r="BL58" s="152"/>
      <c r="BM58" s="152"/>
      <c r="BN58" s="152"/>
      <c r="BO58" s="152"/>
      <c r="BP58" s="152"/>
      <c r="BS58" s="153"/>
      <c r="BT58" s="153"/>
    </row>
    <row r="59" spans="1:78" ht="18.649999999999999" customHeight="1" thickBot="1">
      <c r="A59" s="148"/>
      <c r="B59" s="249"/>
      <c r="C59" s="148"/>
      <c r="D59" s="148"/>
      <c r="E59" s="148"/>
      <c r="F59" s="148"/>
      <c r="G59" s="148"/>
      <c r="H59" s="148"/>
      <c r="I59" s="148"/>
      <c r="J59" s="148"/>
      <c r="K59" s="148"/>
      <c r="L59" s="148"/>
      <c r="M59" s="1475"/>
      <c r="N59" s="1475"/>
      <c r="O59" s="1475"/>
      <c r="P59" s="1475"/>
      <c r="Q59" s="1475"/>
      <c r="R59" s="1475"/>
      <c r="S59" s="1475"/>
      <c r="T59" s="1475"/>
      <c r="U59" s="1475"/>
      <c r="V59" s="1475"/>
      <c r="W59" s="1475"/>
      <c r="X59" s="1475"/>
      <c r="Y59" s="1475"/>
      <c r="Z59" s="1475"/>
      <c r="AA59" s="1475"/>
      <c r="AB59" s="1475"/>
      <c r="AC59" s="1475"/>
      <c r="AD59" s="1475"/>
      <c r="AE59" s="1475"/>
      <c r="AF59" s="1475"/>
      <c r="AG59" s="1475"/>
      <c r="AH59" s="1475"/>
      <c r="AI59" s="1475"/>
      <c r="AJ59" s="1475"/>
      <c r="AK59" s="1475"/>
      <c r="AL59" s="1475"/>
      <c r="AM59" s="1475"/>
      <c r="AN59" s="1475"/>
      <c r="AO59" s="1475"/>
      <c r="AP59" s="1475"/>
      <c r="AQ59" s="1475"/>
      <c r="AR59" s="1475"/>
      <c r="AS59" s="1475"/>
      <c r="AT59" s="1475"/>
      <c r="AU59" s="160"/>
      <c r="AV59" s="151"/>
      <c r="AW59" s="151"/>
      <c r="AX59" s="151"/>
      <c r="AY59" s="151"/>
      <c r="BA59" s="151"/>
      <c r="BB59" s="151"/>
      <c r="BC59" s="151"/>
      <c r="BD59" s="151"/>
      <c r="BE59" s="151"/>
      <c r="BF59" s="175"/>
      <c r="BG59" s="175"/>
      <c r="BH59" s="175"/>
      <c r="BI59" s="152"/>
      <c r="BJ59" s="152"/>
      <c r="BK59" s="152"/>
      <c r="BL59" s="152"/>
      <c r="BM59" s="152"/>
      <c r="BN59" s="152"/>
      <c r="BO59" s="152"/>
      <c r="BP59" s="152"/>
      <c r="BS59" s="153"/>
      <c r="BT59" s="153"/>
    </row>
    <row r="60" spans="1:78" ht="18" customHeight="1">
      <c r="A60" s="148"/>
      <c r="B60" s="249">
        <f>IF(OR(I60="",AV60="NG",I61="",I64="",AV64="NG",I66="",I67="",AV67="NG",AV71="NG",AV74="NG",I76="",O76="",T76="",I79="",L79="",O79="",R79="",I81="",AV83="NG",AI85="",AM85="",AQ85="",I85="",I87="",AW87="NG",AV87="NG",I89="",Z89="",AG89="",AP89="",AW92="NG",AY93="NG",AV98="NG",AV100="NG"),1,0)</f>
        <v>1</v>
      </c>
      <c r="C60" s="1841" t="s">
        <v>2026</v>
      </c>
      <c r="D60" s="1842"/>
      <c r="E60" s="1842"/>
      <c r="F60" s="1842"/>
      <c r="G60" s="1842"/>
      <c r="H60" s="1843"/>
      <c r="I60" s="1790" t="s">
        <v>2218</v>
      </c>
      <c r="J60" s="1791"/>
      <c r="K60" s="1791"/>
      <c r="L60" s="1791"/>
      <c r="M60" s="1791"/>
      <c r="N60" s="1791"/>
      <c r="O60" s="1791"/>
      <c r="P60" s="1791"/>
      <c r="Q60" s="1791"/>
      <c r="R60" s="1791"/>
      <c r="S60" s="1791"/>
      <c r="T60" s="1791"/>
      <c r="U60" s="1791"/>
      <c r="V60" s="1791"/>
      <c r="W60" s="1791"/>
      <c r="X60" s="1791"/>
      <c r="Y60" s="1791"/>
      <c r="Z60" s="1791"/>
      <c r="AA60" s="1791"/>
      <c r="AB60" s="1791"/>
      <c r="AC60" s="1791"/>
      <c r="AD60" s="1791"/>
      <c r="AE60" s="1791"/>
      <c r="AF60" s="1791"/>
      <c r="AG60" s="1791"/>
      <c r="AH60" s="1791"/>
      <c r="AI60" s="1791"/>
      <c r="AJ60" s="1791"/>
      <c r="AK60" s="1791"/>
      <c r="AL60" s="1791"/>
      <c r="AM60" s="1791"/>
      <c r="AN60" s="1791"/>
      <c r="AO60" s="1791"/>
      <c r="AP60" s="1791"/>
      <c r="AQ60" s="1791"/>
      <c r="AR60" s="1791"/>
      <c r="AS60" s="1791"/>
      <c r="AT60" s="1792"/>
      <c r="AU60" s="160"/>
      <c r="AV60" s="627" t="str">
        <f>IF(ISERROR(FIND({"１","２","３","４","５","６","７","８","９","０","1","2","3","4","5","6","7","8","9","0","-","―","－","-","・","！","!","@","&amp;","."},I60)),"OK","NG")</f>
        <v>OK</v>
      </c>
      <c r="AW60" s="151"/>
      <c r="AX60" s="151"/>
      <c r="AY60" s="151"/>
      <c r="AZ60" s="151"/>
      <c r="BA60" s="151"/>
      <c r="BB60" s="176"/>
      <c r="BC60" s="176"/>
      <c r="BD60" s="176"/>
      <c r="BE60" s="151"/>
      <c r="BF60" s="152"/>
      <c r="BG60" s="152"/>
      <c r="BH60" s="152"/>
      <c r="BI60" s="152"/>
      <c r="BJ60" s="152"/>
      <c r="BK60" s="152"/>
      <c r="BL60" s="152"/>
      <c r="BM60" s="152"/>
      <c r="BN60" s="152"/>
      <c r="BO60" s="152"/>
      <c r="BP60" s="152"/>
      <c r="BS60" s="153"/>
      <c r="BT60" s="153"/>
    </row>
    <row r="61" spans="1:78" ht="18" customHeight="1">
      <c r="A61" s="148"/>
      <c r="B61" s="249"/>
      <c r="C61" s="1424" t="s">
        <v>2030</v>
      </c>
      <c r="D61" s="1425"/>
      <c r="E61" s="1425"/>
      <c r="F61" s="1425"/>
      <c r="G61" s="1425"/>
      <c r="H61" s="1426"/>
      <c r="I61" s="1418" t="s">
        <v>2215</v>
      </c>
      <c r="J61" s="1419"/>
      <c r="K61" s="1419"/>
      <c r="L61" s="1419"/>
      <c r="M61" s="1419"/>
      <c r="N61" s="1419"/>
      <c r="O61" s="1419"/>
      <c r="P61" s="1419"/>
      <c r="Q61" s="1419"/>
      <c r="R61" s="1419"/>
      <c r="S61" s="1419"/>
      <c r="T61" s="1419"/>
      <c r="U61" s="1419"/>
      <c r="V61" s="1419"/>
      <c r="W61" s="1419"/>
      <c r="X61" s="1419"/>
      <c r="Y61" s="1419"/>
      <c r="Z61" s="1419"/>
      <c r="AA61" s="1419"/>
      <c r="AB61" s="1419"/>
      <c r="AC61" s="1419"/>
      <c r="AD61" s="1419"/>
      <c r="AE61" s="1419"/>
      <c r="AF61" s="1419"/>
      <c r="AG61" s="1419"/>
      <c r="AH61" s="1419"/>
      <c r="AI61" s="1419"/>
      <c r="AJ61" s="1419"/>
      <c r="AK61" s="1419"/>
      <c r="AL61" s="1419"/>
      <c r="AM61" s="1419"/>
      <c r="AN61" s="1419"/>
      <c r="AO61" s="1419"/>
      <c r="AP61" s="1419"/>
      <c r="AQ61" s="1419"/>
      <c r="AR61" s="1419"/>
      <c r="AS61" s="1419"/>
      <c r="AT61" s="1420"/>
      <c r="AU61" s="160"/>
      <c r="AV61" s="627"/>
      <c r="AW61" s="151"/>
      <c r="AX61" s="151"/>
      <c r="AY61" s="151"/>
      <c r="AZ61" s="151"/>
      <c r="BA61" s="151"/>
      <c r="BB61" s="176"/>
      <c r="BC61" s="176"/>
      <c r="BD61" s="176"/>
      <c r="BE61" s="151"/>
      <c r="BF61" s="152"/>
      <c r="BG61" s="152"/>
      <c r="BH61" s="152"/>
      <c r="BI61" s="152"/>
      <c r="BJ61" s="152"/>
      <c r="BK61" s="152"/>
      <c r="BL61" s="152"/>
      <c r="BM61" s="152"/>
      <c r="BN61" s="152"/>
      <c r="BO61" s="152"/>
      <c r="BP61" s="152"/>
      <c r="BS61" s="153"/>
      <c r="BT61" s="153"/>
    </row>
    <row r="62" spans="1:78" ht="18" customHeight="1">
      <c r="A62" s="148"/>
      <c r="B62" s="249"/>
      <c r="C62" s="1409"/>
      <c r="D62" s="1410"/>
      <c r="E62" s="1410"/>
      <c r="F62" s="1410"/>
      <c r="G62" s="1410"/>
      <c r="H62" s="1411"/>
      <c r="I62" s="1489"/>
      <c r="J62" s="1490"/>
      <c r="K62" s="1490"/>
      <c r="L62" s="1490"/>
      <c r="M62" s="1490"/>
      <c r="N62" s="1490"/>
      <c r="O62" s="1490"/>
      <c r="P62" s="1490"/>
      <c r="Q62" s="1490"/>
      <c r="R62" s="1490"/>
      <c r="S62" s="1490"/>
      <c r="T62" s="1490"/>
      <c r="U62" s="1490"/>
      <c r="V62" s="1490"/>
      <c r="W62" s="1490"/>
      <c r="X62" s="1490"/>
      <c r="Y62" s="1490"/>
      <c r="Z62" s="1490"/>
      <c r="AA62" s="1490"/>
      <c r="AB62" s="1490"/>
      <c r="AC62" s="1490"/>
      <c r="AD62" s="1490"/>
      <c r="AE62" s="1490"/>
      <c r="AF62" s="1490"/>
      <c r="AG62" s="1490"/>
      <c r="AH62" s="1490"/>
      <c r="AI62" s="1490"/>
      <c r="AJ62" s="1490"/>
      <c r="AK62" s="1490"/>
      <c r="AL62" s="1490"/>
      <c r="AM62" s="1490"/>
      <c r="AN62" s="1490"/>
      <c r="AO62" s="1490"/>
      <c r="AP62" s="1490"/>
      <c r="AQ62" s="1490"/>
      <c r="AR62" s="1490"/>
      <c r="AS62" s="1490"/>
      <c r="AT62" s="1491"/>
      <c r="AU62" s="160"/>
      <c r="AV62" s="627"/>
      <c r="AZ62" s="151"/>
      <c r="BA62" s="176"/>
      <c r="BB62" s="151"/>
      <c r="BC62" s="151"/>
      <c r="BD62" s="151"/>
      <c r="BE62" s="151"/>
      <c r="BF62" s="164"/>
      <c r="BG62" s="164"/>
      <c r="BH62" s="164"/>
      <c r="BI62" s="152"/>
      <c r="BJ62" s="152"/>
      <c r="BK62" s="152"/>
      <c r="BL62" s="152"/>
      <c r="BM62" s="152"/>
      <c r="BN62" s="152"/>
      <c r="BO62" s="152"/>
      <c r="BP62" s="152"/>
      <c r="BS62" s="153"/>
      <c r="BT62" s="153"/>
    </row>
    <row r="63" spans="1:78" ht="18" customHeight="1">
      <c r="A63" s="148"/>
      <c r="B63" s="249"/>
      <c r="C63" s="1409"/>
      <c r="D63" s="1410"/>
      <c r="E63" s="1410"/>
      <c r="F63" s="1410"/>
      <c r="G63" s="1410"/>
      <c r="H63" s="1411"/>
      <c r="I63" s="1844" t="s">
        <v>2031</v>
      </c>
      <c r="J63" s="1706"/>
      <c r="K63" s="1706"/>
      <c r="L63" s="1706"/>
      <c r="M63" s="1706"/>
      <c r="N63" s="1706"/>
      <c r="O63" s="1706"/>
      <c r="P63" s="1706"/>
      <c r="Q63" s="1706"/>
      <c r="R63" s="1706"/>
      <c r="S63" s="1706"/>
      <c r="T63" s="1706"/>
      <c r="U63" s="1706"/>
      <c r="V63" s="1706"/>
      <c r="W63" s="1706"/>
      <c r="X63" s="1706"/>
      <c r="Y63" s="1706"/>
      <c r="Z63" s="1706"/>
      <c r="AA63" s="1845"/>
      <c r="AB63" s="1846" t="s">
        <v>3819</v>
      </c>
      <c r="AC63" s="1846"/>
      <c r="AD63" s="1846"/>
      <c r="AE63" s="1846"/>
      <c r="AF63" s="1846"/>
      <c r="AG63" s="1846"/>
      <c r="AH63" s="1846"/>
      <c r="AI63" s="1846"/>
      <c r="AJ63" s="1846"/>
      <c r="AK63" s="1846"/>
      <c r="AL63" s="1846"/>
      <c r="AM63" s="1846"/>
      <c r="AN63" s="1846"/>
      <c r="AO63" s="1846"/>
      <c r="AP63" s="1846"/>
      <c r="AQ63" s="1846"/>
      <c r="AR63" s="1846"/>
      <c r="AS63" s="1846"/>
      <c r="AT63" s="1847"/>
      <c r="AU63" s="160"/>
      <c r="AV63" s="627"/>
      <c r="AZ63" s="151"/>
      <c r="BA63" s="176"/>
      <c r="BB63" s="151"/>
      <c r="BC63" s="151"/>
      <c r="BD63" s="151"/>
      <c r="BE63" s="151"/>
      <c r="BF63" s="164"/>
      <c r="BG63" s="164"/>
      <c r="BH63" s="164"/>
      <c r="BI63" s="152"/>
      <c r="BJ63" s="152"/>
      <c r="BK63" s="152"/>
      <c r="BL63" s="152"/>
      <c r="BM63" s="152"/>
      <c r="BN63" s="152"/>
      <c r="BO63" s="152"/>
      <c r="BP63" s="152"/>
      <c r="BS63" s="153"/>
      <c r="BT63" s="153"/>
    </row>
    <row r="64" spans="1:78" ht="18" customHeight="1">
      <c r="A64" s="148"/>
      <c r="B64" s="249"/>
      <c r="C64" s="1409"/>
      <c r="D64" s="1410"/>
      <c r="E64" s="1410"/>
      <c r="F64" s="1410"/>
      <c r="G64" s="1410"/>
      <c r="H64" s="1411"/>
      <c r="I64" s="1848" t="s">
        <v>2216</v>
      </c>
      <c r="J64" s="1849"/>
      <c r="K64" s="1849"/>
      <c r="L64" s="1849"/>
      <c r="M64" s="1849"/>
      <c r="N64" s="1849"/>
      <c r="O64" s="1849"/>
      <c r="P64" s="1849"/>
      <c r="Q64" s="1849"/>
      <c r="R64" s="1849"/>
      <c r="S64" s="1849"/>
      <c r="T64" s="1849"/>
      <c r="U64" s="1849"/>
      <c r="V64" s="1849"/>
      <c r="W64" s="1849"/>
      <c r="X64" s="1849"/>
      <c r="Y64" s="1849"/>
      <c r="Z64" s="1849"/>
      <c r="AA64" s="1850"/>
      <c r="AB64" s="1854" t="s">
        <v>3820</v>
      </c>
      <c r="AC64" s="1855"/>
      <c r="AD64" s="1855"/>
      <c r="AE64" s="1855"/>
      <c r="AF64" s="1855"/>
      <c r="AG64" s="1855"/>
      <c r="AH64" s="1855"/>
      <c r="AI64" s="1855"/>
      <c r="AJ64" s="1855"/>
      <c r="AK64" s="1855"/>
      <c r="AL64" s="1855"/>
      <c r="AM64" s="1855"/>
      <c r="AN64" s="1855"/>
      <c r="AO64" s="1855"/>
      <c r="AP64" s="1855"/>
      <c r="AQ64" s="1855"/>
      <c r="AR64" s="1855"/>
      <c r="AS64" s="1855"/>
      <c r="AT64" s="1856"/>
      <c r="AU64" s="160"/>
      <c r="AV64" s="627" t="str">
        <f>IF(AV2=FALSE,"OK",IF(AND(AV2=TRUE,AB64&lt;&gt;""),"OK","NG"))</f>
        <v>OK</v>
      </c>
      <c r="AZ64" s="151"/>
      <c r="BA64" s="176"/>
      <c r="BB64" s="151"/>
      <c r="BC64" s="151"/>
      <c r="BD64" s="151"/>
      <c r="BE64" s="151"/>
      <c r="BF64" s="164"/>
      <c r="BG64" s="164"/>
      <c r="BH64" s="164"/>
      <c r="BI64" s="152"/>
      <c r="BJ64" s="152"/>
      <c r="BK64" s="152"/>
      <c r="BL64" s="152"/>
      <c r="BM64" s="152"/>
      <c r="BN64" s="152"/>
      <c r="BO64" s="152"/>
      <c r="BP64" s="152"/>
      <c r="BS64" s="153"/>
      <c r="BT64" s="153"/>
    </row>
    <row r="65" spans="1:78" ht="18" customHeight="1">
      <c r="A65" s="148"/>
      <c r="B65" s="249"/>
      <c r="C65" s="1427"/>
      <c r="D65" s="1428"/>
      <c r="E65" s="1428"/>
      <c r="F65" s="1428"/>
      <c r="G65" s="1428"/>
      <c r="H65" s="1429"/>
      <c r="I65" s="1851"/>
      <c r="J65" s="1852"/>
      <c r="K65" s="1852"/>
      <c r="L65" s="1852"/>
      <c r="M65" s="1852"/>
      <c r="N65" s="1852"/>
      <c r="O65" s="1852"/>
      <c r="P65" s="1852"/>
      <c r="Q65" s="1852"/>
      <c r="R65" s="1852"/>
      <c r="S65" s="1852"/>
      <c r="T65" s="1852"/>
      <c r="U65" s="1852"/>
      <c r="V65" s="1852"/>
      <c r="W65" s="1852"/>
      <c r="X65" s="1852"/>
      <c r="Y65" s="1852"/>
      <c r="Z65" s="1852"/>
      <c r="AA65" s="1853"/>
      <c r="AB65" s="1854"/>
      <c r="AC65" s="1855"/>
      <c r="AD65" s="1855"/>
      <c r="AE65" s="1855"/>
      <c r="AF65" s="1855"/>
      <c r="AG65" s="1855"/>
      <c r="AH65" s="1855"/>
      <c r="AI65" s="1855"/>
      <c r="AJ65" s="1855"/>
      <c r="AK65" s="1855"/>
      <c r="AL65" s="1855"/>
      <c r="AM65" s="1855"/>
      <c r="AN65" s="1855"/>
      <c r="AO65" s="1855"/>
      <c r="AP65" s="1855"/>
      <c r="AQ65" s="1855"/>
      <c r="AR65" s="1855"/>
      <c r="AS65" s="1855"/>
      <c r="AT65" s="1856"/>
      <c r="AU65" s="160"/>
      <c r="AV65" s="627"/>
      <c r="AX65" s="151"/>
      <c r="AY65" s="151"/>
      <c r="BA65" s="151"/>
      <c r="BB65" s="151"/>
      <c r="BC65" s="151"/>
      <c r="BD65" s="151"/>
      <c r="BF65" s="164"/>
      <c r="BG65" s="164"/>
      <c r="BH65" s="164"/>
      <c r="BI65" s="152"/>
      <c r="BJ65" s="152"/>
      <c r="BK65" s="152"/>
      <c r="BL65" s="152"/>
      <c r="BM65" s="152"/>
      <c r="BN65" s="152"/>
      <c r="BO65" s="152"/>
      <c r="BP65" s="152"/>
      <c r="BS65" s="153"/>
      <c r="BT65" s="153"/>
    </row>
    <row r="66" spans="1:78" ht="18" customHeight="1">
      <c r="A66" s="148"/>
      <c r="B66" s="249"/>
      <c r="C66" s="1449" t="s">
        <v>2099</v>
      </c>
      <c r="D66" s="1450"/>
      <c r="E66" s="1450"/>
      <c r="F66" s="1450"/>
      <c r="G66" s="1450"/>
      <c r="H66" s="1451"/>
      <c r="I66" s="1703" t="s">
        <v>2219</v>
      </c>
      <c r="J66" s="1704"/>
      <c r="K66" s="1704"/>
      <c r="L66" s="1704"/>
      <c r="M66" s="1704"/>
      <c r="N66" s="1704"/>
      <c r="O66" s="1704"/>
      <c r="P66" s="1704"/>
      <c r="Q66" s="1704"/>
      <c r="R66" s="1704"/>
      <c r="S66" s="1704"/>
      <c r="T66" s="1704"/>
      <c r="U66" s="1704"/>
      <c r="V66" s="1704"/>
      <c r="W66" s="1704"/>
      <c r="X66" s="1704"/>
      <c r="Y66" s="1704"/>
      <c r="Z66" s="1704"/>
      <c r="AA66" s="1705"/>
      <c r="AB66" s="1706" t="s">
        <v>4089</v>
      </c>
      <c r="AC66" s="1706"/>
      <c r="AD66" s="1706"/>
      <c r="AE66" s="1706"/>
      <c r="AF66" s="1706"/>
      <c r="AG66" s="1706"/>
      <c r="AH66" s="1706"/>
      <c r="AI66" s="1706"/>
      <c r="AJ66" s="1706"/>
      <c r="AK66" s="1706"/>
      <c r="AL66" s="1706"/>
      <c r="AM66" s="1706"/>
      <c r="AN66" s="1706"/>
      <c r="AO66" s="1706"/>
      <c r="AP66" s="1706"/>
      <c r="AQ66" s="1706"/>
      <c r="AR66" s="1706"/>
      <c r="AS66" s="1706"/>
      <c r="AT66" s="1707"/>
      <c r="AU66" s="160"/>
      <c r="AV66" s="627"/>
      <c r="AW66" s="176"/>
      <c r="AX66" s="176"/>
      <c r="AY66" s="176"/>
      <c r="AZ66" s="151"/>
      <c r="BA66" s="151"/>
      <c r="BB66" s="151"/>
      <c r="BC66" s="151"/>
      <c r="BD66" s="151"/>
      <c r="BI66" s="152"/>
      <c r="BJ66" s="152"/>
      <c r="BK66" s="152"/>
      <c r="BL66" s="152"/>
      <c r="BM66" s="152"/>
      <c r="BN66" s="152"/>
      <c r="BO66" s="152"/>
      <c r="BP66" s="152"/>
      <c r="BS66" s="153"/>
      <c r="BT66" s="153"/>
    </row>
    <row r="67" spans="1:78" ht="18" customHeight="1">
      <c r="A67" s="148"/>
      <c r="B67" s="249"/>
      <c r="C67" s="1409" t="s">
        <v>3565</v>
      </c>
      <c r="D67" s="1410"/>
      <c r="E67" s="1410"/>
      <c r="F67" s="1410"/>
      <c r="G67" s="1410"/>
      <c r="H67" s="1411"/>
      <c r="I67" s="1708" t="s">
        <v>2217</v>
      </c>
      <c r="J67" s="1709"/>
      <c r="K67" s="1709"/>
      <c r="L67" s="1709"/>
      <c r="M67" s="1709"/>
      <c r="N67" s="1709"/>
      <c r="O67" s="1709"/>
      <c r="P67" s="1709"/>
      <c r="Q67" s="1709"/>
      <c r="R67" s="1709"/>
      <c r="S67" s="1709"/>
      <c r="T67" s="1709"/>
      <c r="U67" s="1709"/>
      <c r="V67" s="1709"/>
      <c r="W67" s="1709"/>
      <c r="X67" s="1709"/>
      <c r="Y67" s="1709"/>
      <c r="Z67" s="1709"/>
      <c r="AA67" s="1710"/>
      <c r="AB67" s="1708" t="s">
        <v>4094</v>
      </c>
      <c r="AC67" s="1709"/>
      <c r="AD67" s="1709"/>
      <c r="AE67" s="1709"/>
      <c r="AF67" s="1709"/>
      <c r="AG67" s="1709"/>
      <c r="AH67" s="1709"/>
      <c r="AI67" s="1709"/>
      <c r="AJ67" s="1709"/>
      <c r="AK67" s="1709"/>
      <c r="AL67" s="1709"/>
      <c r="AM67" s="1709"/>
      <c r="AN67" s="1709"/>
      <c r="AO67" s="1709"/>
      <c r="AP67" s="1709"/>
      <c r="AQ67" s="1709"/>
      <c r="AR67" s="1709"/>
      <c r="AS67" s="1709"/>
      <c r="AT67" s="1712"/>
      <c r="AU67" s="160"/>
      <c r="AV67" s="627" t="str">
        <f>IF(AV2=FALSE,"OK",IF(AND(AV2=TRUE,AB67&lt;&gt;""),"OK","NG"))</f>
        <v>OK</v>
      </c>
      <c r="AW67" s="151"/>
      <c r="AX67" s="176"/>
      <c r="AY67" s="176"/>
      <c r="AZ67" s="151"/>
      <c r="BA67" s="151"/>
      <c r="BB67" s="151"/>
      <c r="BC67" s="151"/>
      <c r="BD67" s="151"/>
      <c r="BI67" s="152"/>
      <c r="BJ67" s="152"/>
      <c r="BK67" s="152"/>
      <c r="BL67" s="152"/>
      <c r="BM67" s="152"/>
      <c r="BN67" s="152"/>
      <c r="BO67" s="152"/>
      <c r="BP67" s="152"/>
      <c r="BS67" s="153"/>
      <c r="BT67" s="153"/>
    </row>
    <row r="68" spans="1:78" ht="18" customHeight="1">
      <c r="A68" s="148"/>
      <c r="B68" s="249"/>
      <c r="C68" s="1427"/>
      <c r="D68" s="1428"/>
      <c r="E68" s="1428"/>
      <c r="F68" s="1428"/>
      <c r="G68" s="1428"/>
      <c r="H68" s="1429"/>
      <c r="I68" s="1489"/>
      <c r="J68" s="1490"/>
      <c r="K68" s="1490"/>
      <c r="L68" s="1490"/>
      <c r="M68" s="1490"/>
      <c r="N68" s="1490"/>
      <c r="O68" s="1490"/>
      <c r="P68" s="1490"/>
      <c r="Q68" s="1490"/>
      <c r="R68" s="1490"/>
      <c r="S68" s="1490"/>
      <c r="T68" s="1490"/>
      <c r="U68" s="1490"/>
      <c r="V68" s="1490"/>
      <c r="W68" s="1490"/>
      <c r="X68" s="1490"/>
      <c r="Y68" s="1490"/>
      <c r="Z68" s="1490"/>
      <c r="AA68" s="1711"/>
      <c r="AB68" s="1489"/>
      <c r="AC68" s="1490"/>
      <c r="AD68" s="1490"/>
      <c r="AE68" s="1490"/>
      <c r="AF68" s="1490"/>
      <c r="AG68" s="1490"/>
      <c r="AH68" s="1490"/>
      <c r="AI68" s="1490"/>
      <c r="AJ68" s="1490"/>
      <c r="AK68" s="1490"/>
      <c r="AL68" s="1490"/>
      <c r="AM68" s="1490"/>
      <c r="AN68" s="1490"/>
      <c r="AO68" s="1490"/>
      <c r="AP68" s="1490"/>
      <c r="AQ68" s="1490"/>
      <c r="AR68" s="1490"/>
      <c r="AS68" s="1490"/>
      <c r="AT68" s="1491"/>
      <c r="AU68" s="160"/>
      <c r="AW68" s="151"/>
      <c r="AX68" s="151"/>
      <c r="AY68" s="151"/>
      <c r="BA68" s="151"/>
      <c r="BI68" s="152"/>
      <c r="BJ68" s="152"/>
      <c r="BK68" s="152"/>
      <c r="BL68" s="152"/>
      <c r="BM68" s="152"/>
      <c r="BN68" s="152"/>
      <c r="BO68" s="152"/>
      <c r="BP68" s="152"/>
      <c r="BS68" s="153"/>
      <c r="BT68" s="153"/>
    </row>
    <row r="69" spans="1:78" ht="18" customHeight="1">
      <c r="A69" s="148"/>
      <c r="B69" s="249"/>
      <c r="C69" s="1857" t="s">
        <v>860</v>
      </c>
      <c r="D69" s="1858"/>
      <c r="E69" s="1858"/>
      <c r="F69" s="1858"/>
      <c r="G69" s="1858"/>
      <c r="H69" s="1859"/>
      <c r="I69" s="709"/>
      <c r="J69" s="1699" t="s">
        <v>818</v>
      </c>
      <c r="K69" s="1699"/>
      <c r="L69" s="1699"/>
      <c r="M69" s="1699"/>
      <c r="N69" s="1699"/>
      <c r="O69" s="1699"/>
      <c r="P69" s="1699"/>
      <c r="Q69" s="1699"/>
      <c r="R69" s="1699"/>
      <c r="S69" s="1699"/>
      <c r="T69" s="1699"/>
      <c r="U69" s="1699"/>
      <c r="V69" s="1699"/>
      <c r="W69" s="1699"/>
      <c r="X69" s="1699"/>
      <c r="Y69" s="1699"/>
      <c r="Z69" s="1699"/>
      <c r="AA69" s="1699"/>
      <c r="AB69" s="1699"/>
      <c r="AC69" s="1699"/>
      <c r="AD69" s="1699"/>
      <c r="AE69" s="1699"/>
      <c r="AF69" s="1699"/>
      <c r="AG69" s="1699"/>
      <c r="AH69" s="1699"/>
      <c r="AI69" s="1699"/>
      <c r="AJ69" s="1699"/>
      <c r="AK69" s="1699"/>
      <c r="AL69" s="1699"/>
      <c r="AM69" s="1699"/>
      <c r="AN69" s="1699"/>
      <c r="AO69" s="1699"/>
      <c r="AP69" s="1699"/>
      <c r="AQ69" s="1699"/>
      <c r="AR69" s="1699"/>
      <c r="AS69" s="1699"/>
      <c r="AT69" s="1700"/>
      <c r="AU69" s="160"/>
      <c r="AV69" s="151" t="b">
        <v>0</v>
      </c>
      <c r="AW69" s="151"/>
      <c r="AX69" s="151"/>
      <c r="AY69" s="151"/>
      <c r="BA69" s="151"/>
      <c r="BI69" s="152"/>
      <c r="BJ69" s="152"/>
      <c r="BK69" s="152"/>
      <c r="BL69" s="152"/>
      <c r="BM69" s="152"/>
      <c r="BN69" s="152"/>
      <c r="BO69" s="152"/>
      <c r="BP69" s="152"/>
      <c r="BS69" s="153"/>
      <c r="BT69" s="153"/>
    </row>
    <row r="70" spans="1:78" ht="18" customHeight="1">
      <c r="A70" s="148"/>
      <c r="B70" s="249"/>
      <c r="C70" s="192"/>
      <c r="D70" s="628"/>
      <c r="E70" s="1701" t="s">
        <v>2026</v>
      </c>
      <c r="F70" s="1450"/>
      <c r="G70" s="1450"/>
      <c r="H70" s="1451"/>
      <c r="I70" s="501"/>
      <c r="J70" s="1416" t="s">
        <v>1422</v>
      </c>
      <c r="K70" s="1416"/>
      <c r="L70" s="1416"/>
      <c r="M70" s="1702"/>
      <c r="N70" s="622"/>
      <c r="O70" s="1677" t="s">
        <v>4424</v>
      </c>
      <c r="P70" s="1677"/>
      <c r="Q70" s="1677"/>
      <c r="R70" s="1677"/>
      <c r="S70" s="1677"/>
      <c r="T70" s="1677"/>
      <c r="U70" s="1678"/>
      <c r="V70" s="622"/>
      <c r="W70" s="1677" t="s">
        <v>4425</v>
      </c>
      <c r="X70" s="1677"/>
      <c r="Y70" s="1677"/>
      <c r="Z70" s="1677"/>
      <c r="AA70" s="1677"/>
      <c r="AB70" s="1677"/>
      <c r="AC70" s="1678"/>
      <c r="AD70" s="622"/>
      <c r="AE70" s="1677" t="s">
        <v>4426</v>
      </c>
      <c r="AF70" s="1677"/>
      <c r="AG70" s="1677"/>
      <c r="AH70" s="1677"/>
      <c r="AI70" s="1677"/>
      <c r="AJ70" s="1677"/>
      <c r="AK70" s="1678"/>
      <c r="AL70" s="622"/>
      <c r="AM70" s="1679"/>
      <c r="AN70" s="1679"/>
      <c r="AO70" s="1679"/>
      <c r="AP70" s="1679"/>
      <c r="AQ70" s="1679"/>
      <c r="AR70" s="1679"/>
      <c r="AS70" s="1679"/>
      <c r="AT70" s="1680"/>
      <c r="AU70" s="160"/>
      <c r="AV70" s="627" t="str">
        <f>IF(ISERROR(FIND({"１","２","３","４","５","６","７","８","９","０","1","2","3","4","5","6","7","8","9","0","-","―","－","-","・","！","!","@","&amp;","."},O70&amp;Z70&amp;AK70)),"OK","NG")</f>
        <v>OK</v>
      </c>
      <c r="AW70" s="151"/>
      <c r="AX70" s="151"/>
      <c r="AY70" s="151"/>
      <c r="BA70" s="151"/>
      <c r="BI70" s="152"/>
      <c r="BJ70" s="152"/>
      <c r="BK70" s="152"/>
      <c r="BL70" s="152"/>
      <c r="BM70" s="152"/>
      <c r="BN70" s="152"/>
      <c r="BO70" s="152"/>
      <c r="BP70" s="152"/>
      <c r="BS70" s="153"/>
      <c r="BT70" s="153"/>
    </row>
    <row r="71" spans="1:78" ht="18" customHeight="1">
      <c r="A71" s="148"/>
      <c r="B71" s="249"/>
      <c r="C71" s="192"/>
      <c r="D71" s="628"/>
      <c r="E71" s="1692" t="s">
        <v>819</v>
      </c>
      <c r="F71" s="1459"/>
      <c r="G71" s="1459"/>
      <c r="H71" s="1460"/>
      <c r="I71" s="623" t="s">
        <v>2027</v>
      </c>
      <c r="J71" s="1693" t="s">
        <v>2220</v>
      </c>
      <c r="K71" s="1693"/>
      <c r="L71" s="624" t="s">
        <v>2028</v>
      </c>
      <c r="M71" s="1694" t="s">
        <v>2221</v>
      </c>
      <c r="N71" s="1694"/>
      <c r="O71" s="624"/>
      <c r="P71" s="624"/>
      <c r="Q71" s="625"/>
      <c r="R71" s="625"/>
      <c r="S71" s="625"/>
      <c r="T71" s="625"/>
      <c r="U71" s="625"/>
      <c r="V71" s="625"/>
      <c r="W71" s="625"/>
      <c r="X71" s="625"/>
      <c r="Y71" s="625"/>
      <c r="Z71" s="625"/>
      <c r="AA71" s="625"/>
      <c r="AB71" s="625"/>
      <c r="AC71" s="625"/>
      <c r="AD71" s="625"/>
      <c r="AE71" s="625"/>
      <c r="AF71" s="625"/>
      <c r="AG71" s="625"/>
      <c r="AH71" s="625"/>
      <c r="AI71" s="625"/>
      <c r="AJ71" s="625"/>
      <c r="AK71" s="625"/>
      <c r="AL71" s="625"/>
      <c r="AM71" s="625"/>
      <c r="AN71" s="625"/>
      <c r="AO71" s="625"/>
      <c r="AP71" s="625"/>
      <c r="AQ71" s="625"/>
      <c r="AR71" s="625"/>
      <c r="AS71" s="625"/>
      <c r="AT71" s="626"/>
      <c r="AU71" s="160"/>
      <c r="AV71" s="627" t="str">
        <f>IF(AND(AV69=FALSE,OR(O70="",Z70="",J71="",M71="",I72="",N72="",V72="",AD72)),"NG","OK")</f>
        <v>NG</v>
      </c>
      <c r="AW71" s="151"/>
      <c r="AX71" s="151"/>
      <c r="AY71" s="151"/>
      <c r="BA71" s="151"/>
      <c r="BI71" s="152"/>
      <c r="BJ71" s="152"/>
      <c r="BK71" s="152"/>
      <c r="BL71" s="152"/>
      <c r="BM71" s="152"/>
      <c r="BN71" s="152"/>
      <c r="BO71" s="152"/>
      <c r="BP71" s="152"/>
      <c r="BS71" s="153"/>
      <c r="BT71" s="153"/>
    </row>
    <row r="72" spans="1:78" ht="18" customHeight="1">
      <c r="A72" s="148"/>
      <c r="B72" s="249"/>
      <c r="C72" s="192"/>
      <c r="D72" s="628"/>
      <c r="E72" s="1534"/>
      <c r="F72" s="1483"/>
      <c r="G72" s="1483"/>
      <c r="H72" s="1484"/>
      <c r="I72" s="1695" t="s">
        <v>1196</v>
      </c>
      <c r="J72" s="1696"/>
      <c r="K72" s="1696"/>
      <c r="L72" s="1696"/>
      <c r="M72" s="1696"/>
      <c r="N72" s="1673" t="s">
        <v>2222</v>
      </c>
      <c r="O72" s="1673"/>
      <c r="P72" s="1673"/>
      <c r="Q72" s="1673"/>
      <c r="R72" s="1673"/>
      <c r="S72" s="1673"/>
      <c r="T72" s="1673"/>
      <c r="U72" s="1673"/>
      <c r="V72" s="1673" t="s">
        <v>2223</v>
      </c>
      <c r="W72" s="1673"/>
      <c r="X72" s="1673"/>
      <c r="Y72" s="1673"/>
      <c r="Z72" s="1673"/>
      <c r="AA72" s="1673"/>
      <c r="AB72" s="1673"/>
      <c r="AC72" s="1673"/>
      <c r="AD72" s="1671" t="s">
        <v>2224</v>
      </c>
      <c r="AE72" s="1671"/>
      <c r="AF72" s="1671"/>
      <c r="AG72" s="1671"/>
      <c r="AH72" s="1671"/>
      <c r="AI72" s="1671"/>
      <c r="AJ72" s="1671"/>
      <c r="AK72" s="1671"/>
      <c r="AL72" s="1673"/>
      <c r="AM72" s="1673"/>
      <c r="AN72" s="1673"/>
      <c r="AO72" s="1673"/>
      <c r="AP72" s="1673"/>
      <c r="AQ72" s="1673"/>
      <c r="AR72" s="1673"/>
      <c r="AS72" s="1673"/>
      <c r="AT72" s="1674"/>
      <c r="AU72" s="160"/>
      <c r="AV72" s="627" t="str">
        <f>LEFT(I72,2)</f>
        <v>13</v>
      </c>
      <c r="AW72" s="151" t="str">
        <f>MID(I72,4,LEN(I72)-3)</f>
        <v>東京都</v>
      </c>
      <c r="AX72" s="151"/>
      <c r="AY72" s="151"/>
      <c r="BA72" s="151"/>
      <c r="BE72" s="151"/>
      <c r="BI72" s="152"/>
      <c r="BJ72" s="152"/>
      <c r="BK72" s="152"/>
      <c r="BL72" s="152"/>
      <c r="BM72" s="152"/>
      <c r="BN72" s="152"/>
      <c r="BO72" s="152"/>
      <c r="BP72" s="152"/>
      <c r="BS72" s="153"/>
      <c r="BT72" s="153"/>
    </row>
    <row r="73" spans="1:78" ht="18" customHeight="1">
      <c r="A73" s="148"/>
      <c r="B73" s="249"/>
      <c r="C73" s="192"/>
      <c r="D73" s="628"/>
      <c r="E73" s="1535"/>
      <c r="F73" s="1462"/>
      <c r="G73" s="1462"/>
      <c r="H73" s="1463"/>
      <c r="I73" s="1697"/>
      <c r="J73" s="1698"/>
      <c r="K73" s="1698"/>
      <c r="L73" s="1698"/>
      <c r="M73" s="1698"/>
      <c r="N73" s="1675"/>
      <c r="O73" s="1675"/>
      <c r="P73" s="1675"/>
      <c r="Q73" s="1675"/>
      <c r="R73" s="1675"/>
      <c r="S73" s="1675"/>
      <c r="T73" s="1675"/>
      <c r="U73" s="1675"/>
      <c r="V73" s="1675"/>
      <c r="W73" s="1675"/>
      <c r="X73" s="1675"/>
      <c r="Y73" s="1675"/>
      <c r="Z73" s="1675"/>
      <c r="AA73" s="1675"/>
      <c r="AB73" s="1675"/>
      <c r="AC73" s="1675"/>
      <c r="AD73" s="1672"/>
      <c r="AE73" s="1672"/>
      <c r="AF73" s="1672"/>
      <c r="AG73" s="1672"/>
      <c r="AH73" s="1672"/>
      <c r="AI73" s="1672"/>
      <c r="AJ73" s="1672"/>
      <c r="AK73" s="1672"/>
      <c r="AL73" s="1675"/>
      <c r="AM73" s="1675"/>
      <c r="AN73" s="1675"/>
      <c r="AO73" s="1675"/>
      <c r="AP73" s="1675"/>
      <c r="AQ73" s="1675"/>
      <c r="AR73" s="1675"/>
      <c r="AS73" s="1675"/>
      <c r="AT73" s="1676"/>
      <c r="AU73" s="160"/>
      <c r="AV73" s="627"/>
      <c r="AW73" s="151"/>
      <c r="AX73" s="151"/>
      <c r="AY73" s="151"/>
      <c r="BA73" s="151"/>
      <c r="BE73" s="151"/>
      <c r="BF73" s="152"/>
      <c r="BG73" s="152"/>
      <c r="BH73" s="152"/>
      <c r="BI73" s="152"/>
      <c r="BJ73" s="152"/>
      <c r="BK73" s="152"/>
      <c r="BL73" s="152"/>
      <c r="BM73" s="152"/>
      <c r="BN73" s="152"/>
      <c r="BO73" s="152"/>
      <c r="BP73" s="152"/>
      <c r="BQ73" s="294"/>
      <c r="BR73" s="178"/>
      <c r="BS73" s="153"/>
      <c r="BT73" s="153"/>
    </row>
    <row r="74" spans="1:78" ht="18" hidden="1" customHeight="1">
      <c r="A74" s="148"/>
      <c r="B74" s="249"/>
      <c r="C74" s="192"/>
      <c r="D74" s="628"/>
      <c r="E74" s="1681" t="s">
        <v>2032</v>
      </c>
      <c r="F74" s="1406"/>
      <c r="G74" s="1406"/>
      <c r="H74" s="1407"/>
      <c r="I74" s="1682" t="s">
        <v>2225</v>
      </c>
      <c r="J74" s="1683"/>
      <c r="K74" s="1683"/>
      <c r="L74" s="1683"/>
      <c r="M74" s="1683"/>
      <c r="N74" s="1683"/>
      <c r="O74" s="1683"/>
      <c r="P74" s="1683"/>
      <c r="Q74" s="1683"/>
      <c r="R74" s="1683"/>
      <c r="S74" s="1683"/>
      <c r="T74" s="1683"/>
      <c r="U74" s="1683"/>
      <c r="V74" s="1683"/>
      <c r="W74" s="1683"/>
      <c r="X74" s="1683"/>
      <c r="Y74" s="1683"/>
      <c r="Z74" s="1683"/>
      <c r="AA74" s="1683"/>
      <c r="AB74" s="1683"/>
      <c r="AC74" s="1683"/>
      <c r="AD74" s="1683"/>
      <c r="AE74" s="1683"/>
      <c r="AF74" s="1683"/>
      <c r="AG74" s="1683"/>
      <c r="AH74" s="1683"/>
      <c r="AI74" s="1683"/>
      <c r="AJ74" s="1683"/>
      <c r="AK74" s="1683"/>
      <c r="AL74" s="1683"/>
      <c r="AM74" s="1683"/>
      <c r="AN74" s="1683"/>
      <c r="AO74" s="1683"/>
      <c r="AP74" s="1683"/>
      <c r="AQ74" s="1683"/>
      <c r="AR74" s="1683"/>
      <c r="AS74" s="1683"/>
      <c r="AT74" s="1684"/>
      <c r="AU74" s="160"/>
      <c r="AV74" s="627" t="str">
        <f>IF(AV2=FALSE,"OK",IF(AND(AV2=TRUE,I74&lt;&gt;""),"OK","NG"))</f>
        <v>OK</v>
      </c>
      <c r="AW74" s="151"/>
      <c r="AX74" s="151"/>
      <c r="AY74" s="151"/>
      <c r="BA74" s="151"/>
      <c r="BE74" s="151"/>
      <c r="BF74" s="152"/>
      <c r="BG74" s="152"/>
      <c r="BH74" s="152"/>
      <c r="BI74" s="152"/>
      <c r="BJ74" s="152"/>
      <c r="BK74" s="152"/>
      <c r="BL74" s="152"/>
      <c r="BM74" s="152"/>
      <c r="BN74" s="152"/>
      <c r="BO74" s="152"/>
      <c r="BP74" s="152"/>
      <c r="BQ74" s="294"/>
      <c r="BR74" s="178"/>
      <c r="BS74" s="153"/>
      <c r="BT74" s="153"/>
    </row>
    <row r="75" spans="1:78" ht="18" hidden="1" customHeight="1">
      <c r="A75" s="148"/>
      <c r="B75" s="249"/>
      <c r="C75" s="193"/>
      <c r="D75" s="629"/>
      <c r="E75" s="1602"/>
      <c r="F75" s="1428"/>
      <c r="G75" s="1428"/>
      <c r="H75" s="1429"/>
      <c r="I75" s="1685"/>
      <c r="J75" s="1686"/>
      <c r="K75" s="1686"/>
      <c r="L75" s="1686"/>
      <c r="M75" s="1686"/>
      <c r="N75" s="1686"/>
      <c r="O75" s="1686"/>
      <c r="P75" s="1686"/>
      <c r="Q75" s="1686"/>
      <c r="R75" s="1686"/>
      <c r="S75" s="1686"/>
      <c r="T75" s="1686"/>
      <c r="U75" s="1686"/>
      <c r="V75" s="1686"/>
      <c r="W75" s="1686"/>
      <c r="X75" s="1686"/>
      <c r="Y75" s="1686"/>
      <c r="Z75" s="1686"/>
      <c r="AA75" s="1686"/>
      <c r="AB75" s="1686"/>
      <c r="AC75" s="1686"/>
      <c r="AD75" s="1686"/>
      <c r="AE75" s="1686"/>
      <c r="AF75" s="1686"/>
      <c r="AG75" s="1686"/>
      <c r="AH75" s="1686"/>
      <c r="AI75" s="1686"/>
      <c r="AJ75" s="1686"/>
      <c r="AK75" s="1686"/>
      <c r="AL75" s="1686"/>
      <c r="AM75" s="1686"/>
      <c r="AN75" s="1686"/>
      <c r="AO75" s="1686"/>
      <c r="AP75" s="1686"/>
      <c r="AQ75" s="1686"/>
      <c r="AR75" s="1686"/>
      <c r="AS75" s="1686"/>
      <c r="AT75" s="1687"/>
      <c r="AU75" s="160"/>
      <c r="AV75" s="627"/>
      <c r="AW75" s="151"/>
      <c r="AX75" s="151"/>
      <c r="AY75" s="151"/>
      <c r="BA75" s="151"/>
      <c r="BE75" s="151"/>
      <c r="BF75" s="152"/>
      <c r="BG75" s="152"/>
      <c r="BH75" s="152"/>
      <c r="BI75" s="152"/>
      <c r="BJ75" s="152"/>
      <c r="BK75" s="152"/>
      <c r="BL75" s="152"/>
      <c r="BM75" s="152"/>
      <c r="BN75" s="152"/>
      <c r="BO75" s="152"/>
      <c r="BP75" s="152"/>
      <c r="BQ75" s="294"/>
      <c r="BR75" s="178"/>
      <c r="BS75" s="153"/>
      <c r="BT75" s="153"/>
    </row>
    <row r="76" spans="1:78" ht="18" customHeight="1">
      <c r="A76" s="148"/>
      <c r="B76" s="249"/>
      <c r="C76" s="1688" t="s">
        <v>820</v>
      </c>
      <c r="D76" s="1689"/>
      <c r="E76" s="1689"/>
      <c r="F76" s="1689"/>
      <c r="G76" s="1689"/>
      <c r="H76" s="1690"/>
      <c r="I76" s="1430" t="s">
        <v>2199</v>
      </c>
      <c r="J76" s="1431"/>
      <c r="K76" s="1431"/>
      <c r="L76" s="1431"/>
      <c r="M76" s="1431"/>
      <c r="N76" s="442" t="s">
        <v>1231</v>
      </c>
      <c r="O76" s="1431" t="s">
        <v>2226</v>
      </c>
      <c r="P76" s="1431"/>
      <c r="Q76" s="1431"/>
      <c r="R76" s="1431"/>
      <c r="S76" s="442" t="s">
        <v>1182</v>
      </c>
      <c r="T76" s="1431" t="s">
        <v>2226</v>
      </c>
      <c r="U76" s="1431"/>
      <c r="V76" s="1431"/>
      <c r="W76" s="1431"/>
      <c r="X76" s="1691"/>
      <c r="Y76" s="599"/>
      <c r="Z76" s="599"/>
      <c r="AA76" s="599"/>
      <c r="AB76" s="599"/>
      <c r="AC76" s="599"/>
      <c r="AD76" s="599"/>
      <c r="AE76" s="599"/>
      <c r="AF76" s="599"/>
      <c r="AG76" s="599"/>
      <c r="AH76" s="599"/>
      <c r="AI76" s="599"/>
      <c r="AJ76" s="599"/>
      <c r="AK76" s="599"/>
      <c r="AL76" s="599"/>
      <c r="AM76" s="599"/>
      <c r="AN76" s="599"/>
      <c r="AO76" s="599"/>
      <c r="AP76" s="599"/>
      <c r="AQ76" s="599"/>
      <c r="AR76" s="599"/>
      <c r="AS76" s="599"/>
      <c r="AT76" s="600"/>
      <c r="AU76" s="160"/>
      <c r="AV76" s="151" t="str">
        <f>IF(AND(I76&lt;&gt;"",O76&lt;&gt;"",T76&lt;&gt;""),IF(LENB(I76)+LENB(O76)+LENB(T76)&lt;13,"OK","NG"),"OK")</f>
        <v>OK</v>
      </c>
      <c r="AW76" s="151"/>
      <c r="AX76" s="151"/>
      <c r="AY76" s="151"/>
      <c r="BA76" s="151"/>
      <c r="BE76" s="151"/>
      <c r="BF76" s="152"/>
      <c r="BG76" s="152"/>
      <c r="BH76" s="152"/>
      <c r="BI76" s="152"/>
      <c r="BJ76" s="152"/>
      <c r="BK76" s="152"/>
      <c r="BL76" s="152"/>
      <c r="BM76" s="152"/>
      <c r="BN76" s="152"/>
      <c r="BO76" s="152"/>
      <c r="BP76" s="152"/>
      <c r="BQ76" s="294"/>
      <c r="BR76" s="178"/>
      <c r="BS76" s="153"/>
      <c r="BT76" s="153"/>
    </row>
    <row r="77" spans="1:78" s="154" customFormat="1" ht="18" customHeight="1">
      <c r="A77" s="148"/>
      <c r="B77" s="249"/>
      <c r="C77" s="1580" t="s">
        <v>821</v>
      </c>
      <c r="D77" s="1581"/>
      <c r="E77" s="1581"/>
      <c r="F77" s="1581"/>
      <c r="G77" s="1581"/>
      <c r="H77" s="1582"/>
      <c r="I77" s="1654" t="s">
        <v>2227</v>
      </c>
      <c r="J77" s="1655"/>
      <c r="K77" s="1655"/>
      <c r="L77" s="1655"/>
      <c r="M77" s="1655"/>
      <c r="N77" s="1655"/>
      <c r="O77" s="1655"/>
      <c r="P77" s="1655"/>
      <c r="Q77" s="1655"/>
      <c r="R77" s="1655"/>
      <c r="S77" s="1655"/>
      <c r="T77" s="1655"/>
      <c r="U77" s="1655"/>
      <c r="V77" s="1655"/>
      <c r="W77" s="1655"/>
      <c r="X77" s="1655"/>
      <c r="Y77" s="1655"/>
      <c r="Z77" s="1655"/>
      <c r="AA77" s="1655"/>
      <c r="AB77" s="1655"/>
      <c r="AC77" s="1655"/>
      <c r="AD77" s="1655"/>
      <c r="AE77" s="1655"/>
      <c r="AF77" s="1655"/>
      <c r="AG77" s="1655"/>
      <c r="AH77" s="1655"/>
      <c r="AI77" s="1655"/>
      <c r="AJ77" s="1655"/>
      <c r="AK77" s="1655"/>
      <c r="AL77" s="1655"/>
      <c r="AM77" s="1655"/>
      <c r="AN77" s="1655"/>
      <c r="AO77" s="1655"/>
      <c r="AP77" s="1655"/>
      <c r="AQ77" s="1655"/>
      <c r="AR77" s="1655"/>
      <c r="AS77" s="1655"/>
      <c r="AT77" s="1656"/>
      <c r="AU77" s="160"/>
      <c r="AV77" s="151"/>
      <c r="AW77" s="151"/>
      <c r="AX77" s="151"/>
      <c r="AY77" s="151"/>
      <c r="AZ77" s="151"/>
      <c r="BA77" s="166"/>
      <c r="BB77" s="151"/>
      <c r="BC77" s="151"/>
      <c r="BD77" s="151"/>
      <c r="BE77" s="401"/>
      <c r="BF77" s="402"/>
      <c r="BG77" s="403"/>
      <c r="BH77" s="403"/>
      <c r="BI77" s="403"/>
      <c r="BJ77" s="152"/>
      <c r="BK77" s="152"/>
      <c r="BL77" s="152"/>
      <c r="BM77" s="152"/>
      <c r="BN77" s="152"/>
      <c r="BO77" s="152"/>
      <c r="BP77" s="152"/>
      <c r="BQ77" s="294"/>
      <c r="BR77" s="178"/>
      <c r="BS77" s="153"/>
      <c r="BT77" s="153"/>
      <c r="BU77" s="153"/>
      <c r="BV77" s="153"/>
      <c r="BW77" s="153"/>
      <c r="BX77" s="153"/>
      <c r="BY77" s="153"/>
      <c r="BZ77" s="153"/>
    </row>
    <row r="78" spans="1:78" s="154" customFormat="1" ht="18" customHeight="1">
      <c r="A78" s="148"/>
      <c r="B78" s="249"/>
      <c r="C78" s="1427"/>
      <c r="D78" s="1428"/>
      <c r="E78" s="1428"/>
      <c r="F78" s="1428"/>
      <c r="G78" s="1428"/>
      <c r="H78" s="1429"/>
      <c r="I78" s="1657"/>
      <c r="J78" s="1658"/>
      <c r="K78" s="1658"/>
      <c r="L78" s="1658"/>
      <c r="M78" s="1658"/>
      <c r="N78" s="1658"/>
      <c r="O78" s="1658"/>
      <c r="P78" s="1658"/>
      <c r="Q78" s="1658"/>
      <c r="R78" s="1658"/>
      <c r="S78" s="1658"/>
      <c r="T78" s="1658"/>
      <c r="U78" s="1658"/>
      <c r="V78" s="1658"/>
      <c r="W78" s="1658"/>
      <c r="X78" s="1658"/>
      <c r="Y78" s="1658"/>
      <c r="Z78" s="1658"/>
      <c r="AA78" s="1658"/>
      <c r="AB78" s="1658"/>
      <c r="AC78" s="1658"/>
      <c r="AD78" s="1658"/>
      <c r="AE78" s="1658"/>
      <c r="AF78" s="1658"/>
      <c r="AG78" s="1658"/>
      <c r="AH78" s="1658"/>
      <c r="AI78" s="1658"/>
      <c r="AJ78" s="1658"/>
      <c r="AK78" s="1658"/>
      <c r="AL78" s="1658"/>
      <c r="AM78" s="1658"/>
      <c r="AN78" s="1658"/>
      <c r="AO78" s="1658"/>
      <c r="AP78" s="1658"/>
      <c r="AQ78" s="1658"/>
      <c r="AR78" s="1658"/>
      <c r="AS78" s="1658"/>
      <c r="AT78" s="1659"/>
      <c r="AU78" s="160"/>
      <c r="AV78" s="151"/>
      <c r="AW78" s="151"/>
      <c r="AX78" s="151"/>
      <c r="AY78" s="151"/>
      <c r="AZ78" s="151"/>
      <c r="BA78" s="151"/>
      <c r="BB78" s="151"/>
      <c r="BC78" s="151"/>
      <c r="BD78" s="151"/>
      <c r="BE78" s="151"/>
      <c r="BF78" s="152"/>
      <c r="BG78" s="152"/>
      <c r="BH78" s="152"/>
      <c r="BI78" s="152"/>
      <c r="BJ78" s="152"/>
      <c r="BK78" s="152"/>
      <c r="BL78" s="152"/>
      <c r="BM78" s="152"/>
      <c r="BN78" s="152"/>
      <c r="BO78" s="152"/>
      <c r="BP78" s="152"/>
      <c r="BQ78" s="294"/>
      <c r="BR78" s="178"/>
      <c r="BS78" s="153"/>
      <c r="BT78" s="153"/>
      <c r="BU78" s="153"/>
      <c r="BV78" s="153"/>
      <c r="BW78" s="153"/>
      <c r="BX78" s="153"/>
      <c r="BY78" s="153"/>
      <c r="BZ78" s="153"/>
    </row>
    <row r="79" spans="1:78" s="154" customFormat="1" ht="18.649999999999999" customHeight="1">
      <c r="A79" s="148"/>
      <c r="B79" s="249"/>
      <c r="C79" s="1580" t="s">
        <v>822</v>
      </c>
      <c r="D79" s="1581"/>
      <c r="E79" s="1581"/>
      <c r="F79" s="1581"/>
      <c r="G79" s="1581"/>
      <c r="H79" s="1582"/>
      <c r="I79" s="1660" t="s">
        <v>801</v>
      </c>
      <c r="J79" s="1661"/>
      <c r="K79" s="1664" t="s">
        <v>823</v>
      </c>
      <c r="L79" s="1655" t="s">
        <v>794</v>
      </c>
      <c r="M79" s="1655"/>
      <c r="N79" s="1664" t="s">
        <v>824</v>
      </c>
      <c r="O79" s="1661" t="s">
        <v>812</v>
      </c>
      <c r="P79" s="1661"/>
      <c r="Q79" s="1664" t="s">
        <v>823</v>
      </c>
      <c r="R79" s="1655" t="s">
        <v>788</v>
      </c>
      <c r="S79" s="1666"/>
      <c r="T79" s="1601" t="s">
        <v>825</v>
      </c>
      <c r="U79" s="1581"/>
      <c r="V79" s="1581"/>
      <c r="W79" s="1581"/>
      <c r="X79" s="1581"/>
      <c r="Y79" s="1582"/>
      <c r="Z79" s="1668" t="s">
        <v>826</v>
      </c>
      <c r="AA79" s="1668"/>
      <c r="AB79" s="1668" t="s">
        <v>827</v>
      </c>
      <c r="AC79" s="1668"/>
      <c r="AD79" s="1668" t="s">
        <v>828</v>
      </c>
      <c r="AE79" s="1668"/>
      <c r="AF79" s="1668" t="s">
        <v>829</v>
      </c>
      <c r="AG79" s="1668"/>
      <c r="AH79" s="1668" t="s">
        <v>830</v>
      </c>
      <c r="AI79" s="1668"/>
      <c r="AJ79" s="1668" t="s">
        <v>831</v>
      </c>
      <c r="AK79" s="1668"/>
      <c r="AL79" s="1668" t="s">
        <v>832</v>
      </c>
      <c r="AM79" s="1668"/>
      <c r="AN79" s="1668" t="s">
        <v>833</v>
      </c>
      <c r="AO79" s="1668"/>
      <c r="AP79" s="267"/>
      <c r="AQ79" s="267"/>
      <c r="AR79" s="267"/>
      <c r="AS79" s="267"/>
      <c r="AT79" s="268"/>
      <c r="AU79" s="160"/>
      <c r="AV79" s="266" t="str">
        <f>IF(AV80=TRUE,"月","")</f>
        <v/>
      </c>
      <c r="AW79" s="266" t="str">
        <f>IF(AW80=TRUE,"火","")</f>
        <v/>
      </c>
      <c r="AX79" s="266" t="str">
        <f>IF(AX80=TRUE,"水","")</f>
        <v/>
      </c>
      <c r="AY79" s="266" t="str">
        <f>IF(AY80=TRUE,"木","")</f>
        <v/>
      </c>
      <c r="AZ79" s="266" t="str">
        <f>IF(AZ80=TRUE,"金","")</f>
        <v/>
      </c>
      <c r="BA79" s="266" t="str">
        <f>IF(BA80=TRUE,"土","")</f>
        <v/>
      </c>
      <c r="BB79" s="266" t="str">
        <f>IF(BB80=TRUE,"日","")</f>
        <v>日</v>
      </c>
      <c r="BC79" s="266" t="str">
        <f>IF(BC80=TRUE,"祝","")</f>
        <v/>
      </c>
      <c r="BD79" s="151" t="str">
        <f>AV79&amp;AW79&amp;AX79&amp;AY79&amp;AZ79&amp;BA79&amp;BB79&amp;BC79</f>
        <v>日</v>
      </c>
      <c r="BE79" s="151"/>
      <c r="BF79" s="152"/>
      <c r="BG79" s="152"/>
      <c r="BH79" s="152"/>
      <c r="BI79" s="152"/>
      <c r="BJ79" s="152"/>
      <c r="BK79" s="152"/>
      <c r="BL79" s="152"/>
      <c r="BM79" s="152"/>
      <c r="BN79" s="152"/>
      <c r="BO79" s="152"/>
      <c r="BP79" s="152"/>
      <c r="BQ79" s="297"/>
      <c r="BR79" s="158"/>
      <c r="BS79" s="153"/>
      <c r="BT79" s="153"/>
      <c r="BU79" s="153"/>
      <c r="BV79" s="153"/>
      <c r="BW79" s="153"/>
      <c r="BX79" s="153"/>
      <c r="BY79" s="153"/>
      <c r="BZ79" s="153"/>
    </row>
    <row r="80" spans="1:78" ht="18.649999999999999" customHeight="1">
      <c r="A80" s="148"/>
      <c r="B80" s="249"/>
      <c r="C80" s="1427"/>
      <c r="D80" s="1428"/>
      <c r="E80" s="1428"/>
      <c r="F80" s="1428"/>
      <c r="G80" s="1428"/>
      <c r="H80" s="1429"/>
      <c r="I80" s="1662"/>
      <c r="J80" s="1663"/>
      <c r="K80" s="1665"/>
      <c r="L80" s="1658"/>
      <c r="M80" s="1658"/>
      <c r="N80" s="1665"/>
      <c r="O80" s="1663"/>
      <c r="P80" s="1663"/>
      <c r="Q80" s="1665"/>
      <c r="R80" s="1658"/>
      <c r="S80" s="1667"/>
      <c r="T80" s="1602"/>
      <c r="U80" s="1428"/>
      <c r="V80" s="1428"/>
      <c r="W80" s="1428"/>
      <c r="X80" s="1428"/>
      <c r="Y80" s="1429"/>
      <c r="Z80" s="1669"/>
      <c r="AA80" s="1669"/>
      <c r="AB80" s="1669"/>
      <c r="AC80" s="1669"/>
      <c r="AD80" s="1669"/>
      <c r="AE80" s="1669"/>
      <c r="AF80" s="1669"/>
      <c r="AG80" s="1669"/>
      <c r="AH80" s="1670"/>
      <c r="AI80" s="1670"/>
      <c r="AJ80" s="1670" t="s">
        <v>2018</v>
      </c>
      <c r="AK80" s="1670"/>
      <c r="AL80" s="1670"/>
      <c r="AM80" s="1670"/>
      <c r="AN80" s="1670"/>
      <c r="AO80" s="1670"/>
      <c r="AP80" s="269"/>
      <c r="AQ80" s="269"/>
      <c r="AR80" s="269"/>
      <c r="AS80" s="269"/>
      <c r="AT80" s="270"/>
      <c r="AU80" s="160"/>
      <c r="AV80" s="151" t="b">
        <v>0</v>
      </c>
      <c r="AW80" s="151" t="b">
        <v>0</v>
      </c>
      <c r="AX80" s="151" t="b">
        <v>0</v>
      </c>
      <c r="AY80" s="151" t="b">
        <v>0</v>
      </c>
      <c r="AZ80" s="151" t="b">
        <v>0</v>
      </c>
      <c r="BA80" s="151" t="b">
        <v>0</v>
      </c>
      <c r="BB80" s="151" t="b">
        <v>1</v>
      </c>
      <c r="BC80" s="151" t="b">
        <v>0</v>
      </c>
      <c r="BD80" s="271" t="str">
        <f>I79&amp;K79&amp;L79&amp;N79&amp;O79&amp;Q79&amp;R79&amp;"  休業日"&amp;"（"&amp;BD79&amp;"）"</f>
        <v>08：30～22：00  休業日（日）</v>
      </c>
      <c r="BE80" s="272"/>
      <c r="BF80" s="271"/>
      <c r="BG80" s="271"/>
      <c r="BH80" s="271"/>
      <c r="BI80" s="271"/>
      <c r="BJ80" s="152"/>
      <c r="BK80" s="152"/>
      <c r="BL80" s="152"/>
      <c r="BM80" s="152"/>
      <c r="BN80" s="152"/>
      <c r="BO80" s="152"/>
      <c r="BP80" s="152"/>
      <c r="BQ80" s="294"/>
      <c r="BR80" s="152"/>
      <c r="BS80" s="153"/>
      <c r="BT80" s="153"/>
    </row>
    <row r="81" spans="1:78" ht="18.649999999999999" customHeight="1">
      <c r="A81" s="179"/>
      <c r="B81" s="249"/>
      <c r="C81" s="1580" t="s">
        <v>835</v>
      </c>
      <c r="D81" s="1581"/>
      <c r="E81" s="1581"/>
      <c r="F81" s="1581"/>
      <c r="G81" s="1581"/>
      <c r="H81" s="1582"/>
      <c r="I81" s="1630" t="s">
        <v>2229</v>
      </c>
      <c r="J81" s="1631"/>
      <c r="K81" s="1631"/>
      <c r="L81" s="1631"/>
      <c r="M81" s="1631"/>
      <c r="N81" s="1631"/>
      <c r="O81" s="1631"/>
      <c r="P81" s="1631"/>
      <c r="Q81" s="1631"/>
      <c r="R81" s="1631"/>
      <c r="S81" s="1631"/>
      <c r="T81" s="1631"/>
      <c r="U81" s="1631"/>
      <c r="V81" s="1631"/>
      <c r="W81" s="1631"/>
      <c r="X81" s="1631"/>
      <c r="Y81" s="1631"/>
      <c r="Z81" s="1631"/>
      <c r="AA81" s="1631"/>
      <c r="AB81" s="1631"/>
      <c r="AC81" s="1631"/>
      <c r="AD81" s="1631"/>
      <c r="AE81" s="1631"/>
      <c r="AF81" s="1631"/>
      <c r="AG81" s="1631"/>
      <c r="AH81" s="1631"/>
      <c r="AI81" s="1631"/>
      <c r="AJ81" s="1631"/>
      <c r="AK81" s="1631"/>
      <c r="AL81" s="1631"/>
      <c r="AM81" s="1631"/>
      <c r="AN81" s="1631"/>
      <c r="AO81" s="1631"/>
      <c r="AP81" s="1631"/>
      <c r="AQ81" s="1631"/>
      <c r="AR81" s="1631"/>
      <c r="AS81" s="1631"/>
      <c r="AT81" s="1632"/>
      <c r="AU81" s="160"/>
      <c r="AW81" s="151"/>
      <c r="AY81" s="151"/>
      <c r="AZ81" s="151"/>
      <c r="BA81" s="151"/>
      <c r="BB81" s="151"/>
      <c r="BC81" s="151"/>
      <c r="BD81" s="151"/>
      <c r="BE81" s="151"/>
      <c r="BF81" s="152"/>
      <c r="BG81" s="152"/>
      <c r="BH81" s="152"/>
      <c r="BI81" s="152"/>
      <c r="BJ81" s="152"/>
      <c r="BK81" s="152"/>
      <c r="BL81" s="152"/>
      <c r="BM81" s="152"/>
      <c r="BN81" s="152"/>
      <c r="BO81" s="152"/>
      <c r="BP81" s="152"/>
      <c r="BQ81" s="294"/>
      <c r="BR81" s="152"/>
      <c r="BS81" s="153"/>
      <c r="BT81" s="153"/>
    </row>
    <row r="82" spans="1:78" ht="18.649999999999999" customHeight="1">
      <c r="A82" s="179"/>
      <c r="B82" s="249"/>
      <c r="C82" s="1427"/>
      <c r="D82" s="1428"/>
      <c r="E82" s="1428"/>
      <c r="F82" s="1428"/>
      <c r="G82" s="1428"/>
      <c r="H82" s="1429"/>
      <c r="I82" s="1633"/>
      <c r="J82" s="1634"/>
      <c r="K82" s="1634"/>
      <c r="L82" s="1634"/>
      <c r="M82" s="1634"/>
      <c r="N82" s="1634"/>
      <c r="O82" s="1634"/>
      <c r="P82" s="1634"/>
      <c r="Q82" s="1634"/>
      <c r="R82" s="1634"/>
      <c r="S82" s="1634"/>
      <c r="T82" s="1634"/>
      <c r="U82" s="1634"/>
      <c r="V82" s="1634"/>
      <c r="W82" s="1634"/>
      <c r="X82" s="1634"/>
      <c r="Y82" s="1634"/>
      <c r="Z82" s="1634"/>
      <c r="AA82" s="1634"/>
      <c r="AB82" s="1634"/>
      <c r="AC82" s="1634"/>
      <c r="AD82" s="1634"/>
      <c r="AE82" s="1634"/>
      <c r="AF82" s="1634"/>
      <c r="AG82" s="1634"/>
      <c r="AH82" s="1634"/>
      <c r="AI82" s="1634"/>
      <c r="AJ82" s="1634"/>
      <c r="AK82" s="1634"/>
      <c r="AL82" s="1634"/>
      <c r="AM82" s="1634"/>
      <c r="AN82" s="1634"/>
      <c r="AO82" s="1634"/>
      <c r="AP82" s="1634"/>
      <c r="AQ82" s="1634"/>
      <c r="AR82" s="1634"/>
      <c r="AS82" s="1634"/>
      <c r="AT82" s="1635"/>
      <c r="AU82" s="160"/>
      <c r="AW82" s="151"/>
      <c r="AX82" s="151"/>
      <c r="AY82" s="151"/>
      <c r="AZ82" s="151"/>
      <c r="BA82" s="151"/>
      <c r="BB82" s="151"/>
      <c r="BC82" s="151"/>
      <c r="BD82" s="151"/>
      <c r="BE82" s="151"/>
      <c r="BF82" s="152"/>
      <c r="BG82" s="152"/>
      <c r="BH82" s="152"/>
      <c r="BI82" s="152"/>
      <c r="BJ82" s="152"/>
      <c r="BK82" s="152"/>
      <c r="BL82" s="152"/>
      <c r="BM82" s="152"/>
      <c r="BN82" s="152"/>
      <c r="BO82" s="152"/>
      <c r="BP82" s="152"/>
      <c r="BQ82" s="294"/>
      <c r="BR82" s="152"/>
      <c r="BS82" s="153"/>
      <c r="BT82" s="153"/>
    </row>
    <row r="83" spans="1:78" ht="18.649999999999999" customHeight="1">
      <c r="A83" s="179"/>
      <c r="B83" s="249"/>
      <c r="C83" s="1636" t="s">
        <v>3572</v>
      </c>
      <c r="D83" s="1637"/>
      <c r="E83" s="1637"/>
      <c r="F83" s="1637"/>
      <c r="G83" s="1637"/>
      <c r="H83" s="1638"/>
      <c r="I83" s="1639" t="s">
        <v>2228</v>
      </c>
      <c r="J83" s="1640"/>
      <c r="K83" s="1640"/>
      <c r="L83" s="1640"/>
      <c r="M83" s="1640"/>
      <c r="N83" s="1640"/>
      <c r="O83" s="1640"/>
      <c r="P83" s="1640"/>
      <c r="Q83" s="1640"/>
      <c r="R83" s="1640"/>
      <c r="S83" s="1640"/>
      <c r="T83" s="1640"/>
      <c r="U83" s="1640"/>
      <c r="V83" s="1640"/>
      <c r="W83" s="1640"/>
      <c r="X83" s="1640"/>
      <c r="Y83" s="1640"/>
      <c r="Z83" s="1640"/>
      <c r="AA83" s="1640"/>
      <c r="AB83" s="1640"/>
      <c r="AC83" s="1640"/>
      <c r="AD83" s="1640"/>
      <c r="AE83" s="1640"/>
      <c r="AF83" s="1640"/>
      <c r="AG83" s="1640"/>
      <c r="AH83" s="1640"/>
      <c r="AI83" s="1640"/>
      <c r="AJ83" s="1640"/>
      <c r="AK83" s="1640"/>
      <c r="AL83" s="1640"/>
      <c r="AM83" s="1640"/>
      <c r="AN83" s="1640"/>
      <c r="AO83" s="1640"/>
      <c r="AP83" s="1640"/>
      <c r="AQ83" s="1640"/>
      <c r="AR83" s="1640"/>
      <c r="AS83" s="1640"/>
      <c r="AT83" s="1641"/>
      <c r="AU83" s="160"/>
      <c r="AV83" s="627" t="str">
        <f>IF(AV2=FALSE,"OK",IF(AND(AV2=TRUE,I83&lt;&gt;""),"OK","NG"))</f>
        <v>OK</v>
      </c>
      <c r="AW83" s="151"/>
      <c r="AX83" s="151"/>
      <c r="AY83" s="151"/>
      <c r="AZ83" s="151"/>
      <c r="BA83" s="151"/>
      <c r="BB83" s="151"/>
      <c r="BC83" s="151"/>
      <c r="BD83" s="151"/>
      <c r="BE83" s="151"/>
      <c r="BF83" s="152"/>
      <c r="BG83" s="152"/>
      <c r="BH83" s="152"/>
      <c r="BI83" s="152"/>
      <c r="BJ83" s="152"/>
      <c r="BK83" s="152"/>
      <c r="BL83" s="152"/>
      <c r="BM83" s="152"/>
      <c r="BN83" s="152"/>
      <c r="BO83" s="152"/>
      <c r="BP83" s="152"/>
      <c r="BQ83" s="294"/>
      <c r="BR83" s="152"/>
      <c r="BS83" s="153"/>
      <c r="BT83" s="153"/>
    </row>
    <row r="84" spans="1:78" ht="18.649999999999999" customHeight="1">
      <c r="A84" s="179"/>
      <c r="B84" s="249"/>
      <c r="C84" s="1636"/>
      <c r="D84" s="1637"/>
      <c r="E84" s="1637"/>
      <c r="F84" s="1637"/>
      <c r="G84" s="1637"/>
      <c r="H84" s="1638"/>
      <c r="I84" s="1642"/>
      <c r="J84" s="1643"/>
      <c r="K84" s="1643"/>
      <c r="L84" s="1643"/>
      <c r="M84" s="1643"/>
      <c r="N84" s="1643"/>
      <c r="O84" s="1643"/>
      <c r="P84" s="1643"/>
      <c r="Q84" s="1643"/>
      <c r="R84" s="1643"/>
      <c r="S84" s="1643"/>
      <c r="T84" s="1643"/>
      <c r="U84" s="1643"/>
      <c r="V84" s="1643"/>
      <c r="W84" s="1643"/>
      <c r="X84" s="1643"/>
      <c r="Y84" s="1643"/>
      <c r="Z84" s="1643"/>
      <c r="AA84" s="1643"/>
      <c r="AB84" s="1643"/>
      <c r="AC84" s="1643"/>
      <c r="AD84" s="1643"/>
      <c r="AE84" s="1643"/>
      <c r="AF84" s="1643"/>
      <c r="AG84" s="1643"/>
      <c r="AH84" s="1643"/>
      <c r="AI84" s="1643"/>
      <c r="AJ84" s="1643"/>
      <c r="AK84" s="1643"/>
      <c r="AL84" s="1643"/>
      <c r="AM84" s="1643"/>
      <c r="AN84" s="1643"/>
      <c r="AO84" s="1643"/>
      <c r="AP84" s="1643"/>
      <c r="AQ84" s="1643"/>
      <c r="AR84" s="1643"/>
      <c r="AS84" s="1643"/>
      <c r="AT84" s="1644"/>
      <c r="AU84" s="160"/>
      <c r="AV84" s="627"/>
      <c r="AW84" s="151"/>
      <c r="AX84" s="151"/>
      <c r="AY84" s="151"/>
      <c r="AZ84" s="151"/>
      <c r="BA84" s="151"/>
      <c r="BB84" s="151"/>
      <c r="BC84" s="151"/>
      <c r="BD84" s="151"/>
      <c r="BE84" s="151"/>
      <c r="BF84" s="152"/>
      <c r="BG84" s="152"/>
      <c r="BH84" s="152"/>
      <c r="BI84" s="152"/>
      <c r="BJ84" s="152"/>
      <c r="BK84" s="152"/>
      <c r="BL84" s="152"/>
      <c r="BM84" s="152"/>
      <c r="BN84" s="152"/>
      <c r="BO84" s="152"/>
      <c r="BP84" s="152"/>
      <c r="BQ84" s="295"/>
      <c r="BR84" s="152"/>
      <c r="BS84" s="153"/>
      <c r="BT84" s="153"/>
    </row>
    <row r="85" spans="1:78" ht="18.649999999999999" customHeight="1">
      <c r="A85" s="179"/>
      <c r="B85" s="249"/>
      <c r="C85" s="1405" t="s">
        <v>1087</v>
      </c>
      <c r="D85" s="1406"/>
      <c r="E85" s="1406"/>
      <c r="F85" s="1406"/>
      <c r="G85" s="1406"/>
      <c r="H85" s="1407"/>
      <c r="I85" s="1645" t="s">
        <v>2230</v>
      </c>
      <c r="J85" s="1646"/>
      <c r="K85" s="1646"/>
      <c r="L85" s="1646"/>
      <c r="M85" s="1646"/>
      <c r="N85" s="1646"/>
      <c r="O85" s="1646"/>
      <c r="P85" s="1646"/>
      <c r="Q85" s="1646"/>
      <c r="R85" s="1646"/>
      <c r="S85" s="1646"/>
      <c r="T85" s="1646"/>
      <c r="U85" s="1646"/>
      <c r="V85" s="1646"/>
      <c r="W85" s="1646"/>
      <c r="X85" s="1646"/>
      <c r="Y85" s="1646"/>
      <c r="Z85" s="1646"/>
      <c r="AA85" s="1647"/>
      <c r="AB85" s="1649" t="s">
        <v>1092</v>
      </c>
      <c r="AC85" s="1650"/>
      <c r="AD85" s="1650"/>
      <c r="AE85" s="1650"/>
      <c r="AF85" s="1651"/>
      <c r="AG85" s="1547" t="s">
        <v>1091</v>
      </c>
      <c r="AH85" s="1547"/>
      <c r="AI85" s="1549">
        <v>2000</v>
      </c>
      <c r="AJ85" s="1549"/>
      <c r="AK85" s="1547" t="s">
        <v>1090</v>
      </c>
      <c r="AL85" s="1547"/>
      <c r="AM85" s="1549">
        <v>2</v>
      </c>
      <c r="AN85" s="1549"/>
      <c r="AO85" s="1547" t="s">
        <v>1089</v>
      </c>
      <c r="AP85" s="1547"/>
      <c r="AQ85" s="1549">
        <v>1</v>
      </c>
      <c r="AR85" s="1549"/>
      <c r="AS85" s="1547" t="s">
        <v>1088</v>
      </c>
      <c r="AT85" s="1652"/>
      <c r="AU85" s="160"/>
      <c r="AW85" s="151"/>
      <c r="AX85" s="151"/>
      <c r="AY85" s="151"/>
      <c r="AZ85" s="151"/>
      <c r="BA85" s="151"/>
      <c r="BB85" s="151"/>
      <c r="BC85" s="151"/>
      <c r="BD85" s="151"/>
      <c r="BE85" s="151"/>
      <c r="BF85" s="152"/>
      <c r="BG85" s="152"/>
      <c r="BH85" s="152"/>
      <c r="BI85" s="152"/>
      <c r="BJ85" s="152"/>
      <c r="BK85" s="152"/>
      <c r="BL85" s="152"/>
      <c r="BM85" s="152"/>
      <c r="BN85" s="152"/>
      <c r="BO85" s="152"/>
      <c r="BP85" s="152"/>
      <c r="BQ85" s="294"/>
      <c r="BR85" s="152"/>
      <c r="BS85" s="153"/>
      <c r="BT85" s="153"/>
    </row>
    <row r="86" spans="1:78" ht="18.649999999999999" customHeight="1">
      <c r="A86" s="179"/>
      <c r="B86" s="249"/>
      <c r="C86" s="1427"/>
      <c r="D86" s="1428"/>
      <c r="E86" s="1428"/>
      <c r="F86" s="1428"/>
      <c r="G86" s="1428"/>
      <c r="H86" s="1429"/>
      <c r="I86" s="1633"/>
      <c r="J86" s="1634"/>
      <c r="K86" s="1634"/>
      <c r="L86" s="1634"/>
      <c r="M86" s="1634"/>
      <c r="N86" s="1634"/>
      <c r="O86" s="1634"/>
      <c r="P86" s="1634"/>
      <c r="Q86" s="1634"/>
      <c r="R86" s="1634"/>
      <c r="S86" s="1634"/>
      <c r="T86" s="1634"/>
      <c r="U86" s="1634"/>
      <c r="V86" s="1634"/>
      <c r="W86" s="1634"/>
      <c r="X86" s="1634"/>
      <c r="Y86" s="1634"/>
      <c r="Z86" s="1634"/>
      <c r="AA86" s="1648"/>
      <c r="AB86" s="1649"/>
      <c r="AC86" s="1650"/>
      <c r="AD86" s="1650"/>
      <c r="AE86" s="1650"/>
      <c r="AF86" s="1651"/>
      <c r="AG86" s="1548"/>
      <c r="AH86" s="1548"/>
      <c r="AI86" s="1550"/>
      <c r="AJ86" s="1550"/>
      <c r="AK86" s="1548"/>
      <c r="AL86" s="1548"/>
      <c r="AM86" s="1550"/>
      <c r="AN86" s="1550"/>
      <c r="AO86" s="1548"/>
      <c r="AP86" s="1548"/>
      <c r="AQ86" s="1550"/>
      <c r="AR86" s="1550"/>
      <c r="AS86" s="1548"/>
      <c r="AT86" s="1653"/>
      <c r="AU86" s="160"/>
      <c r="AW86" s="151"/>
      <c r="AX86" s="151"/>
      <c r="AY86" s="151"/>
      <c r="AZ86" s="151"/>
      <c r="BA86" s="151"/>
      <c r="BB86" s="151"/>
      <c r="BC86" s="151"/>
      <c r="BD86" s="151"/>
      <c r="BE86" s="151"/>
      <c r="BF86" s="152"/>
      <c r="BG86" s="152"/>
      <c r="BH86" s="152"/>
      <c r="BI86" s="152"/>
      <c r="BJ86" s="152"/>
      <c r="BK86" s="152"/>
      <c r="BL86" s="152"/>
      <c r="BM86" s="152"/>
      <c r="BN86" s="152"/>
      <c r="BO86" s="152"/>
      <c r="BP86" s="152"/>
      <c r="BQ86" s="294"/>
      <c r="BR86" s="152"/>
      <c r="BS86" s="153"/>
      <c r="BT86" s="153"/>
    </row>
    <row r="87" spans="1:78" ht="18.649999999999999" customHeight="1">
      <c r="A87" s="179"/>
      <c r="B87" s="249"/>
      <c r="C87" s="1580" t="s">
        <v>836</v>
      </c>
      <c r="D87" s="1581"/>
      <c r="E87" s="1581"/>
      <c r="F87" s="1581"/>
      <c r="G87" s="1581"/>
      <c r="H87" s="1582"/>
      <c r="I87" s="1595" t="s">
        <v>1052</v>
      </c>
      <c r="J87" s="1596"/>
      <c r="K87" s="1596"/>
      <c r="L87" s="1596"/>
      <c r="M87" s="1596"/>
      <c r="N87" s="1596"/>
      <c r="O87" s="1596"/>
      <c r="P87" s="1596"/>
      <c r="Q87" s="1596"/>
      <c r="R87" s="1596"/>
      <c r="S87" s="1597"/>
      <c r="T87" s="1601" t="s">
        <v>834</v>
      </c>
      <c r="U87" s="1581"/>
      <c r="V87" s="1581"/>
      <c r="W87" s="1581"/>
      <c r="X87" s="1581"/>
      <c r="Y87" s="1582"/>
      <c r="Z87" s="1603"/>
      <c r="AA87" s="1604"/>
      <c r="AB87" s="1604"/>
      <c r="AC87" s="1604"/>
      <c r="AD87" s="1604"/>
      <c r="AE87" s="1604"/>
      <c r="AF87" s="1604"/>
      <c r="AG87" s="1604"/>
      <c r="AH87" s="1604"/>
      <c r="AI87" s="1604"/>
      <c r="AJ87" s="1604"/>
      <c r="AK87" s="1605"/>
      <c r="AL87" s="1609" t="s">
        <v>780</v>
      </c>
      <c r="AM87" s="1609"/>
      <c r="AN87" s="1609"/>
      <c r="AO87" s="1609"/>
      <c r="AP87" s="1609"/>
      <c r="AQ87" s="1609"/>
      <c r="AR87" s="1609"/>
      <c r="AS87" s="1609"/>
      <c r="AT87" s="1610"/>
      <c r="AU87" s="160"/>
      <c r="AV87" s="151" t="str">
        <f>IF(AL88="00：選択して下さい","NG","OK")</f>
        <v>OK</v>
      </c>
      <c r="AW87" s="151" t="str">
        <f>IF(AND(AV88="05",Z87=""),"NG","OK")</f>
        <v>OK</v>
      </c>
      <c r="AX87" s="151"/>
      <c r="AY87" s="151"/>
      <c r="AZ87" s="151"/>
      <c r="BA87" s="151"/>
      <c r="BB87" s="151"/>
      <c r="BC87" s="151"/>
      <c r="BD87" s="151"/>
      <c r="BE87" s="151"/>
      <c r="BF87" s="152"/>
      <c r="BG87" s="152"/>
      <c r="BH87" s="152"/>
      <c r="BI87" s="152"/>
      <c r="BJ87" s="152"/>
      <c r="BK87" s="152"/>
      <c r="BL87" s="152"/>
      <c r="BM87" s="152"/>
      <c r="BN87" s="152"/>
      <c r="BO87" s="152"/>
      <c r="BP87" s="152"/>
      <c r="BQ87" s="295"/>
      <c r="BR87" s="152"/>
      <c r="BS87" s="153"/>
      <c r="BT87" s="153"/>
    </row>
    <row r="88" spans="1:78" ht="18.649999999999999" customHeight="1">
      <c r="A88" s="179"/>
      <c r="B88" s="249"/>
      <c r="C88" s="1427"/>
      <c r="D88" s="1428"/>
      <c r="E88" s="1428"/>
      <c r="F88" s="1428"/>
      <c r="G88" s="1428"/>
      <c r="H88" s="1429"/>
      <c r="I88" s="1598"/>
      <c r="J88" s="1599"/>
      <c r="K88" s="1599"/>
      <c r="L88" s="1599"/>
      <c r="M88" s="1599"/>
      <c r="N88" s="1599"/>
      <c r="O88" s="1599"/>
      <c r="P88" s="1599"/>
      <c r="Q88" s="1599"/>
      <c r="R88" s="1599"/>
      <c r="S88" s="1600"/>
      <c r="T88" s="1602"/>
      <c r="U88" s="1428"/>
      <c r="V88" s="1428"/>
      <c r="W88" s="1428"/>
      <c r="X88" s="1428"/>
      <c r="Y88" s="1429"/>
      <c r="Z88" s="1606"/>
      <c r="AA88" s="1607"/>
      <c r="AB88" s="1607"/>
      <c r="AC88" s="1607"/>
      <c r="AD88" s="1607"/>
      <c r="AE88" s="1607"/>
      <c r="AF88" s="1607"/>
      <c r="AG88" s="1607"/>
      <c r="AH88" s="1607"/>
      <c r="AI88" s="1607"/>
      <c r="AJ88" s="1607"/>
      <c r="AK88" s="1608"/>
      <c r="AL88" s="1611" t="s">
        <v>331</v>
      </c>
      <c r="AM88" s="1611"/>
      <c r="AN88" s="1611"/>
      <c r="AO88" s="1611"/>
      <c r="AP88" s="1611"/>
      <c r="AQ88" s="1611"/>
      <c r="AR88" s="1611"/>
      <c r="AS88" s="1611"/>
      <c r="AT88" s="1612"/>
      <c r="AU88" s="160"/>
      <c r="AV88" s="151" t="str">
        <f>LEFT(I87,2)</f>
        <v>01</v>
      </c>
      <c r="AW88" s="548" t="str">
        <f>LEFT(VLOOKUP(AL88,AZ2:BA18,2,FALSE),1)</f>
        <v>1</v>
      </c>
      <c r="AX88" s="631" t="str">
        <f>IF(AV88="00","",LEFT(VLOOKUP(AV88,BK15:BL21,2,FALSE),2))</f>
        <v>01</v>
      </c>
      <c r="AY88" s="631" t="str">
        <f>IF(AV88="07",T(Z87),IF(AV88="05","電話勧誘販売",IF(AV88="06","連鎖販売","")))</f>
        <v/>
      </c>
      <c r="AZ88" s="631" t="str">
        <f>IF(AV88="00","",LEFT(VLOOKUP(AV88,BK24:BL30,2,FALSE),2))</f>
        <v>01</v>
      </c>
      <c r="BA88" s="151"/>
      <c r="BB88" s="151"/>
      <c r="BC88" s="151"/>
      <c r="BD88" s="151"/>
      <c r="BE88" s="151"/>
      <c r="BF88" s="152"/>
      <c r="BG88" s="152"/>
      <c r="BH88" s="152"/>
      <c r="BI88" s="152"/>
      <c r="BJ88" s="152"/>
      <c r="BK88" s="152"/>
      <c r="BL88" s="152"/>
      <c r="BM88" s="152"/>
      <c r="BN88" s="152"/>
      <c r="BO88" s="152"/>
      <c r="BP88" s="152"/>
      <c r="BQ88" s="295"/>
      <c r="BR88" s="152"/>
      <c r="BS88" s="153"/>
      <c r="BT88" s="153"/>
    </row>
    <row r="89" spans="1:78" ht="18.649999999999999" customHeight="1">
      <c r="A89" s="179"/>
      <c r="B89" s="249"/>
      <c r="C89" s="1580" t="s">
        <v>864</v>
      </c>
      <c r="D89" s="1581"/>
      <c r="E89" s="1581"/>
      <c r="F89" s="1581"/>
      <c r="G89" s="1581"/>
      <c r="H89" s="1582"/>
      <c r="I89" s="1613">
        <v>5000000</v>
      </c>
      <c r="J89" s="1614"/>
      <c r="K89" s="1614"/>
      <c r="L89" s="1614"/>
      <c r="M89" s="1614"/>
      <c r="N89" s="1614"/>
      <c r="O89" s="1614"/>
      <c r="P89" s="1614"/>
      <c r="Q89" s="1614"/>
      <c r="R89" s="1614"/>
      <c r="S89" s="1617" t="s">
        <v>837</v>
      </c>
      <c r="T89" s="1433" t="s">
        <v>436</v>
      </c>
      <c r="U89" s="1433"/>
      <c r="V89" s="1433"/>
      <c r="W89" s="1433"/>
      <c r="X89" s="1433"/>
      <c r="Y89" s="1433"/>
      <c r="Z89" s="1618">
        <v>1000</v>
      </c>
      <c r="AA89" s="1619"/>
      <c r="AB89" s="1619"/>
      <c r="AC89" s="1619"/>
      <c r="AD89" s="1619"/>
      <c r="AE89" s="1622" t="s">
        <v>837</v>
      </c>
      <c r="AF89" s="1624" t="s">
        <v>438</v>
      </c>
      <c r="AG89" s="1619">
        <v>10000</v>
      </c>
      <c r="AH89" s="1619"/>
      <c r="AI89" s="1619"/>
      <c r="AJ89" s="1619"/>
      <c r="AK89" s="1626" t="s">
        <v>437</v>
      </c>
      <c r="AL89" s="1433" t="s">
        <v>439</v>
      </c>
      <c r="AM89" s="1433"/>
      <c r="AN89" s="1433"/>
      <c r="AO89" s="1433"/>
      <c r="AP89" s="1618">
        <v>1000</v>
      </c>
      <c r="AQ89" s="1619"/>
      <c r="AR89" s="1619"/>
      <c r="AS89" s="1619"/>
      <c r="AT89" s="1628" t="s">
        <v>437</v>
      </c>
      <c r="AU89" s="160"/>
      <c r="AV89" s="151"/>
      <c r="AW89" s="151"/>
      <c r="AX89" s="151"/>
      <c r="AY89" s="151"/>
      <c r="AZ89" s="151"/>
      <c r="BA89" s="151"/>
      <c r="BB89" s="151"/>
      <c r="BC89" s="151"/>
      <c r="BD89" s="151"/>
      <c r="BE89" s="151"/>
      <c r="BF89" s="152"/>
      <c r="BG89" s="152"/>
      <c r="BH89" s="152"/>
      <c r="BI89" s="152"/>
      <c r="BJ89" s="152"/>
      <c r="BK89" s="152"/>
      <c r="BL89" s="152"/>
      <c r="BM89" s="152"/>
      <c r="BN89" s="152"/>
      <c r="BO89" s="152"/>
      <c r="BP89" s="152"/>
      <c r="BQ89" s="295"/>
      <c r="BR89" s="152"/>
      <c r="BS89" s="153"/>
      <c r="BT89" s="153"/>
    </row>
    <row r="90" spans="1:78" ht="18.649999999999999" customHeight="1">
      <c r="A90" s="179"/>
      <c r="B90" s="249"/>
      <c r="C90" s="1427"/>
      <c r="D90" s="1428"/>
      <c r="E90" s="1428"/>
      <c r="F90" s="1428"/>
      <c r="G90" s="1428"/>
      <c r="H90" s="1429"/>
      <c r="I90" s="1615"/>
      <c r="J90" s="1616"/>
      <c r="K90" s="1616"/>
      <c r="L90" s="1616"/>
      <c r="M90" s="1616"/>
      <c r="N90" s="1616"/>
      <c r="O90" s="1616"/>
      <c r="P90" s="1616"/>
      <c r="Q90" s="1616"/>
      <c r="R90" s="1616"/>
      <c r="S90" s="1548"/>
      <c r="T90" s="1433"/>
      <c r="U90" s="1433"/>
      <c r="V90" s="1433"/>
      <c r="W90" s="1433"/>
      <c r="X90" s="1433"/>
      <c r="Y90" s="1433"/>
      <c r="Z90" s="1620"/>
      <c r="AA90" s="1621"/>
      <c r="AB90" s="1621"/>
      <c r="AC90" s="1621"/>
      <c r="AD90" s="1621"/>
      <c r="AE90" s="1623"/>
      <c r="AF90" s="1625"/>
      <c r="AG90" s="1621"/>
      <c r="AH90" s="1621"/>
      <c r="AI90" s="1621"/>
      <c r="AJ90" s="1621"/>
      <c r="AK90" s="1627"/>
      <c r="AL90" s="1433"/>
      <c r="AM90" s="1433"/>
      <c r="AN90" s="1433"/>
      <c r="AO90" s="1433"/>
      <c r="AP90" s="1620"/>
      <c r="AQ90" s="1621"/>
      <c r="AR90" s="1621"/>
      <c r="AS90" s="1621"/>
      <c r="AT90" s="1629"/>
      <c r="AU90" s="160"/>
      <c r="AV90" s="266" t="s">
        <v>869</v>
      </c>
      <c r="AW90" s="266" t="s">
        <v>868</v>
      </c>
      <c r="AX90" s="266" t="s">
        <v>867</v>
      </c>
      <c r="AY90" s="266" t="s">
        <v>834</v>
      </c>
      <c r="AZ90" s="266" t="s">
        <v>874</v>
      </c>
      <c r="BA90" s="266" t="s">
        <v>872</v>
      </c>
      <c r="BB90" s="266" t="s">
        <v>873</v>
      </c>
      <c r="BC90" s="266" t="s">
        <v>878</v>
      </c>
      <c r="BD90" s="151"/>
      <c r="BE90" s="151"/>
      <c r="BF90" s="152"/>
      <c r="BG90" s="152"/>
      <c r="BH90" s="152"/>
      <c r="BI90" s="152"/>
      <c r="BJ90" s="152"/>
      <c r="BK90" s="152"/>
      <c r="BL90" s="152"/>
      <c r="BM90" s="152"/>
      <c r="BN90" s="152"/>
      <c r="BO90" s="152"/>
      <c r="BP90" s="152"/>
      <c r="BQ90" s="295"/>
      <c r="BR90" s="152"/>
      <c r="BS90" s="153"/>
      <c r="BT90" s="153"/>
    </row>
    <row r="91" spans="1:78" ht="18.649999999999999" customHeight="1">
      <c r="A91" s="179"/>
      <c r="B91" s="249"/>
      <c r="C91" s="1580" t="s">
        <v>443</v>
      </c>
      <c r="D91" s="1581"/>
      <c r="E91" s="1581"/>
      <c r="F91" s="1581"/>
      <c r="G91" s="1581"/>
      <c r="H91" s="1582"/>
      <c r="I91" s="257"/>
      <c r="J91" s="716"/>
      <c r="K91" s="260" t="s">
        <v>871</v>
      </c>
      <c r="L91" s="260"/>
      <c r="M91" s="261"/>
      <c r="N91" s="262"/>
      <c r="O91" s="260" t="s">
        <v>872</v>
      </c>
      <c r="P91" s="260"/>
      <c r="Q91" s="259"/>
      <c r="R91" s="259"/>
      <c r="S91" s="260" t="s">
        <v>873</v>
      </c>
      <c r="T91" s="260"/>
      <c r="U91" s="260"/>
      <c r="V91" s="261"/>
      <c r="W91" s="260"/>
      <c r="X91" s="260" t="s">
        <v>870</v>
      </c>
      <c r="Y91" s="260"/>
      <c r="Z91" s="263"/>
      <c r="AA91" s="261"/>
      <c r="AB91" s="260" t="s">
        <v>876</v>
      </c>
      <c r="AC91" s="260"/>
      <c r="AD91" s="260"/>
      <c r="AE91" s="264"/>
      <c r="AF91" s="260"/>
      <c r="AG91" s="260" t="s">
        <v>444</v>
      </c>
      <c r="AH91" s="265"/>
      <c r="AI91" s="1583" t="s">
        <v>445</v>
      </c>
      <c r="AJ91" s="1584"/>
      <c r="AK91" s="1584"/>
      <c r="AL91" s="1584"/>
      <c r="AM91" s="1584"/>
      <c r="AN91" s="1584"/>
      <c r="AO91" s="1584"/>
      <c r="AP91" s="1584"/>
      <c r="AQ91" s="1584"/>
      <c r="AR91" s="1584"/>
      <c r="AS91" s="1584"/>
      <c r="AT91" s="1585"/>
      <c r="AU91" s="160"/>
      <c r="AV91" s="151" t="b">
        <v>0</v>
      </c>
      <c r="AW91" s="151" t="b">
        <v>0</v>
      </c>
      <c r="AX91" s="151" t="b">
        <v>0</v>
      </c>
      <c r="AY91" s="151" t="b">
        <v>0</v>
      </c>
      <c r="AZ91" s="151" t="b">
        <v>0</v>
      </c>
      <c r="BA91" s="151" t="b">
        <v>1</v>
      </c>
      <c r="BB91" s="151" t="b">
        <v>0</v>
      </c>
      <c r="BC91" s="151" t="b">
        <v>0</v>
      </c>
      <c r="BD91" s="151"/>
      <c r="BE91" s="151"/>
      <c r="BF91" s="152"/>
      <c r="BG91" s="152"/>
      <c r="BH91" s="152"/>
      <c r="BI91" s="152"/>
      <c r="BJ91" s="152"/>
      <c r="BK91" s="152"/>
      <c r="BL91" s="152"/>
      <c r="BM91" s="152"/>
      <c r="BN91" s="152"/>
      <c r="BO91" s="152"/>
      <c r="BP91" s="152"/>
      <c r="BQ91" s="295"/>
      <c r="BR91" s="152"/>
      <c r="BS91" s="153"/>
      <c r="BT91" s="153"/>
    </row>
    <row r="92" spans="1:78" ht="18.649999999999999" customHeight="1">
      <c r="A92" s="179"/>
      <c r="B92" s="249"/>
      <c r="C92" s="1409"/>
      <c r="D92" s="1410"/>
      <c r="E92" s="1410"/>
      <c r="F92" s="1410"/>
      <c r="G92" s="1410"/>
      <c r="H92" s="1411"/>
      <c r="I92" s="1586" t="s">
        <v>762</v>
      </c>
      <c r="J92" s="1587"/>
      <c r="K92" s="1587"/>
      <c r="L92" s="1587"/>
      <c r="M92" s="1588"/>
      <c r="N92" s="1589" t="s">
        <v>2231</v>
      </c>
      <c r="O92" s="1590"/>
      <c r="P92" s="1590"/>
      <c r="Q92" s="1590"/>
      <c r="R92" s="1590"/>
      <c r="S92" s="1590"/>
      <c r="T92" s="1590"/>
      <c r="U92" s="1590"/>
      <c r="V92" s="1591"/>
      <c r="W92" s="1586" t="s">
        <v>447</v>
      </c>
      <c r="X92" s="1587"/>
      <c r="Y92" s="1587"/>
      <c r="Z92" s="1587"/>
      <c r="AA92" s="1588"/>
      <c r="AB92" s="1592" t="s">
        <v>2232</v>
      </c>
      <c r="AC92" s="1593"/>
      <c r="AD92" s="1593"/>
      <c r="AE92" s="1593"/>
      <c r="AF92" s="1593"/>
      <c r="AG92" s="1593"/>
      <c r="AH92" s="1594"/>
      <c r="AI92" s="1586" t="s">
        <v>764</v>
      </c>
      <c r="AJ92" s="1587"/>
      <c r="AK92" s="1587"/>
      <c r="AL92" s="1587"/>
      <c r="AM92" s="1588"/>
      <c r="AN92" s="1589">
        <v>1966</v>
      </c>
      <c r="AO92" s="1590"/>
      <c r="AP92" s="405" t="s">
        <v>765</v>
      </c>
      <c r="AQ92" s="406">
        <v>6</v>
      </c>
      <c r="AR92" s="405" t="s">
        <v>766</v>
      </c>
      <c r="AS92" s="406">
        <v>6</v>
      </c>
      <c r="AT92" s="407" t="s">
        <v>767</v>
      </c>
      <c r="AU92" s="160"/>
      <c r="AV92" s="166" t="str">
        <f>IF(OR(AV91=TRUE,AW91=TRUE,AX91=TRUE,AY91=TRUE,AZ91=TRUE,BA91=TRUE,BB91=TRUE),"免許有","免許無")</f>
        <v>免許有</v>
      </c>
      <c r="AW92" s="166" t="str">
        <f>IF(OR(AV92="免許無",AND(AV92="免許有",N92&lt;&gt;"",AB92&lt;&gt;"",AN92&lt;&gt;"",AQ92&lt;&gt;"",AS92&lt;&gt;"")),"OK","NG")</f>
        <v>OK</v>
      </c>
      <c r="AZ92" s="151"/>
      <c r="BA92" s="151"/>
      <c r="BB92" s="151"/>
      <c r="BC92" s="151"/>
      <c r="BD92" s="151"/>
      <c r="BE92" s="151"/>
      <c r="BF92" s="152"/>
      <c r="BG92" s="152"/>
      <c r="BH92" s="152"/>
      <c r="BI92" s="152"/>
      <c r="BJ92" s="152"/>
      <c r="BK92" s="152"/>
      <c r="BL92" s="152"/>
      <c r="BM92" s="152"/>
      <c r="BN92" s="152"/>
      <c r="BO92" s="152"/>
      <c r="BP92" s="152"/>
      <c r="BQ92" s="294"/>
      <c r="BR92" s="152"/>
      <c r="BS92" s="153"/>
      <c r="BT92" s="153"/>
    </row>
    <row r="93" spans="1:78" ht="18.649999999999999" customHeight="1">
      <c r="A93" s="179"/>
      <c r="B93" s="249"/>
      <c r="C93" s="1571" t="s">
        <v>1077</v>
      </c>
      <c r="D93" s="1572"/>
      <c r="E93" s="1572"/>
      <c r="F93" s="1572"/>
      <c r="G93" s="1572"/>
      <c r="H93" s="1572"/>
      <c r="I93" s="412"/>
      <c r="J93" s="413"/>
      <c r="K93" s="1573" t="s">
        <v>1093</v>
      </c>
      <c r="L93" s="1573"/>
      <c r="M93" s="413"/>
      <c r="N93" s="413"/>
      <c r="O93" s="1573" t="s">
        <v>1094</v>
      </c>
      <c r="P93" s="1573"/>
      <c r="Q93" s="414"/>
      <c r="R93" s="1433" t="s">
        <v>1078</v>
      </c>
      <c r="S93" s="1433"/>
      <c r="T93" s="1433"/>
      <c r="U93" s="1433"/>
      <c r="V93" s="1433"/>
      <c r="W93" s="1433"/>
      <c r="X93" s="412"/>
      <c r="Y93" s="413"/>
      <c r="Z93" s="1573" t="s">
        <v>1093</v>
      </c>
      <c r="AA93" s="1573"/>
      <c r="AB93" s="413"/>
      <c r="AC93" s="413"/>
      <c r="AD93" s="1573" t="s">
        <v>1094</v>
      </c>
      <c r="AE93" s="1573"/>
      <c r="AF93" s="414"/>
      <c r="AG93" s="1433" t="s">
        <v>1079</v>
      </c>
      <c r="AH93" s="1433"/>
      <c r="AI93" s="1433"/>
      <c r="AJ93" s="1433"/>
      <c r="AK93" s="1433"/>
      <c r="AL93" s="1433"/>
      <c r="AM93" s="408"/>
      <c r="AN93" s="409"/>
      <c r="AO93" s="1576" t="s">
        <v>1093</v>
      </c>
      <c r="AP93" s="1576"/>
      <c r="AQ93" s="409"/>
      <c r="AR93" s="409"/>
      <c r="AS93" s="1576" t="s">
        <v>1095</v>
      </c>
      <c r="AT93" s="1578"/>
      <c r="AU93" s="160"/>
      <c r="AV93" s="433" t="s">
        <v>1082</v>
      </c>
      <c r="AW93" s="266" t="s">
        <v>1083</v>
      </c>
      <c r="AX93" s="433" t="s">
        <v>1084</v>
      </c>
      <c r="AY93" s="151" t="str">
        <f>IF(OR(AV94=0,AW94=0,AX94=0,AV96=0,AW96=0,AX96=0),"NG","OK")</f>
        <v>OK</v>
      </c>
      <c r="AZ93" s="432"/>
      <c r="BA93" s="151"/>
      <c r="BB93" s="151"/>
      <c r="BC93" s="151"/>
      <c r="BD93" s="151"/>
      <c r="BE93" s="151"/>
      <c r="BF93" s="152"/>
      <c r="BG93" s="152"/>
      <c r="BH93" s="152"/>
      <c r="BI93" s="152"/>
      <c r="BJ93" s="152"/>
      <c r="BK93" s="152"/>
      <c r="BL93" s="152"/>
      <c r="BM93" s="152"/>
      <c r="BN93" s="152"/>
      <c r="BO93" s="152"/>
      <c r="BP93" s="152"/>
      <c r="BQ93" s="295"/>
      <c r="BR93" s="178"/>
      <c r="BS93" s="153"/>
      <c r="BT93" s="153"/>
    </row>
    <row r="94" spans="1:78" ht="18.649999999999999" customHeight="1">
      <c r="A94" s="179"/>
      <c r="B94" s="249"/>
      <c r="C94" s="1571"/>
      <c r="D94" s="1572"/>
      <c r="E94" s="1572"/>
      <c r="F94" s="1572"/>
      <c r="G94" s="1572"/>
      <c r="H94" s="1572"/>
      <c r="I94" s="415"/>
      <c r="J94" s="416"/>
      <c r="K94" s="1574"/>
      <c r="L94" s="1574"/>
      <c r="M94" s="416"/>
      <c r="N94" s="416"/>
      <c r="O94" s="1574"/>
      <c r="P94" s="1574"/>
      <c r="Q94" s="417"/>
      <c r="R94" s="1433"/>
      <c r="S94" s="1433"/>
      <c r="T94" s="1433"/>
      <c r="U94" s="1433"/>
      <c r="V94" s="1433"/>
      <c r="W94" s="1433"/>
      <c r="X94" s="415"/>
      <c r="Y94" s="416"/>
      <c r="Z94" s="1574"/>
      <c r="AA94" s="1574"/>
      <c r="AB94" s="416"/>
      <c r="AC94" s="416"/>
      <c r="AD94" s="1574"/>
      <c r="AE94" s="1574"/>
      <c r="AF94" s="417"/>
      <c r="AG94" s="1433"/>
      <c r="AH94" s="1433"/>
      <c r="AI94" s="1433"/>
      <c r="AJ94" s="1433"/>
      <c r="AK94" s="1433"/>
      <c r="AL94" s="1433"/>
      <c r="AM94" s="410"/>
      <c r="AN94" s="411"/>
      <c r="AO94" s="1577"/>
      <c r="AP94" s="1577"/>
      <c r="AQ94" s="411"/>
      <c r="AR94" s="411"/>
      <c r="AS94" s="1577"/>
      <c r="AT94" s="1579"/>
      <c r="AU94" s="160"/>
      <c r="AV94" s="151">
        <v>1</v>
      </c>
      <c r="AW94" s="151">
        <v>1</v>
      </c>
      <c r="AX94" s="166">
        <v>1</v>
      </c>
      <c r="AY94" s="151"/>
      <c r="AZ94" s="432"/>
      <c r="BA94" s="151"/>
      <c r="BB94" s="151"/>
      <c r="BC94" s="151"/>
      <c r="BD94" s="151"/>
      <c r="BE94" s="151"/>
      <c r="BF94" s="152"/>
      <c r="BG94" s="152"/>
      <c r="BH94" s="152"/>
      <c r="BI94" s="152"/>
      <c r="BJ94" s="152"/>
      <c r="BK94" s="152"/>
      <c r="BL94" s="152"/>
      <c r="BM94" s="152"/>
      <c r="BN94" s="152"/>
      <c r="BO94" s="152"/>
      <c r="BP94" s="152"/>
      <c r="BS94" s="153"/>
      <c r="BT94" s="153"/>
    </row>
    <row r="95" spans="1:78" s="154" customFormat="1" ht="18.649999999999999" customHeight="1">
      <c r="A95" s="179"/>
      <c r="B95" s="249"/>
      <c r="C95" s="1571" t="s">
        <v>1080</v>
      </c>
      <c r="D95" s="1572"/>
      <c r="E95" s="1572"/>
      <c r="F95" s="1572"/>
      <c r="G95" s="1572"/>
      <c r="H95" s="1572"/>
      <c r="I95" s="412"/>
      <c r="J95" s="413"/>
      <c r="K95" s="1573" t="s">
        <v>1093</v>
      </c>
      <c r="L95" s="1573"/>
      <c r="M95" s="413"/>
      <c r="N95" s="413"/>
      <c r="O95" s="1573" t="s">
        <v>1094</v>
      </c>
      <c r="P95" s="1573"/>
      <c r="Q95" s="414"/>
      <c r="R95" s="1575" t="s">
        <v>1081</v>
      </c>
      <c r="S95" s="1433"/>
      <c r="T95" s="1433"/>
      <c r="U95" s="1433"/>
      <c r="V95" s="1433"/>
      <c r="W95" s="1433"/>
      <c r="X95" s="412"/>
      <c r="Y95" s="413"/>
      <c r="Z95" s="1573" t="s">
        <v>1093</v>
      </c>
      <c r="AA95" s="1573"/>
      <c r="AB95" s="413"/>
      <c r="AC95" s="413"/>
      <c r="AD95" s="1573" t="s">
        <v>1094</v>
      </c>
      <c r="AE95" s="1573"/>
      <c r="AF95" s="414"/>
      <c r="AG95" s="1433" t="s">
        <v>1177</v>
      </c>
      <c r="AH95" s="1433"/>
      <c r="AI95" s="1433"/>
      <c r="AJ95" s="1433"/>
      <c r="AK95" s="1433"/>
      <c r="AL95" s="1433"/>
      <c r="AM95" s="408"/>
      <c r="AN95" s="409"/>
      <c r="AO95" s="1576" t="s">
        <v>1093</v>
      </c>
      <c r="AP95" s="1576"/>
      <c r="AQ95" s="409"/>
      <c r="AR95" s="409"/>
      <c r="AS95" s="1576" t="s">
        <v>1094</v>
      </c>
      <c r="AT95" s="1578"/>
      <c r="AU95" s="160"/>
      <c r="AV95" s="433" t="s">
        <v>1085</v>
      </c>
      <c r="AW95" s="266" t="s">
        <v>1086</v>
      </c>
      <c r="AX95" s="433" t="s">
        <v>1178</v>
      </c>
      <c r="AY95" s="151"/>
      <c r="AZ95" s="432"/>
      <c r="BA95" s="151"/>
      <c r="BB95" s="151"/>
      <c r="BC95" s="151"/>
      <c r="BD95" s="151"/>
      <c r="BE95" s="151"/>
      <c r="BF95" s="152"/>
      <c r="BG95" s="152"/>
      <c r="BH95" s="152"/>
      <c r="BI95" s="152"/>
      <c r="BJ95" s="152"/>
      <c r="BK95" s="152"/>
      <c r="BL95" s="152"/>
      <c r="BM95" s="152"/>
      <c r="BN95" s="152"/>
      <c r="BO95" s="152"/>
      <c r="BP95" s="152"/>
      <c r="BQ95" s="297"/>
      <c r="BR95" s="158"/>
      <c r="BS95" s="153"/>
      <c r="BT95" s="153"/>
      <c r="BU95" s="153"/>
      <c r="BV95" s="153"/>
      <c r="BW95" s="153"/>
      <c r="BX95" s="153"/>
      <c r="BY95" s="153"/>
      <c r="BZ95" s="153"/>
    </row>
    <row r="96" spans="1:78" s="154" customFormat="1" ht="18.649999999999999" customHeight="1">
      <c r="A96" s="179"/>
      <c r="B96" s="249"/>
      <c r="C96" s="1571"/>
      <c r="D96" s="1572"/>
      <c r="E96" s="1572"/>
      <c r="F96" s="1572"/>
      <c r="G96" s="1572"/>
      <c r="H96" s="1572"/>
      <c r="I96" s="415"/>
      <c r="J96" s="416"/>
      <c r="K96" s="1574"/>
      <c r="L96" s="1574"/>
      <c r="M96" s="416"/>
      <c r="N96" s="416"/>
      <c r="O96" s="1574"/>
      <c r="P96" s="1574"/>
      <c r="Q96" s="417"/>
      <c r="R96" s="1433"/>
      <c r="S96" s="1433"/>
      <c r="T96" s="1433"/>
      <c r="U96" s="1433"/>
      <c r="V96" s="1433"/>
      <c r="W96" s="1433"/>
      <c r="X96" s="415"/>
      <c r="Y96" s="416"/>
      <c r="Z96" s="1574"/>
      <c r="AA96" s="1574"/>
      <c r="AB96" s="416"/>
      <c r="AC96" s="416"/>
      <c r="AD96" s="1574"/>
      <c r="AE96" s="1574"/>
      <c r="AF96" s="417"/>
      <c r="AG96" s="1433"/>
      <c r="AH96" s="1433"/>
      <c r="AI96" s="1433"/>
      <c r="AJ96" s="1433"/>
      <c r="AK96" s="1433"/>
      <c r="AL96" s="1433"/>
      <c r="AM96" s="410"/>
      <c r="AN96" s="411"/>
      <c r="AO96" s="1577"/>
      <c r="AP96" s="1577"/>
      <c r="AQ96" s="411"/>
      <c r="AR96" s="411"/>
      <c r="AS96" s="1577"/>
      <c r="AT96" s="1579"/>
      <c r="AU96" s="160"/>
      <c r="AV96" s="166">
        <v>1</v>
      </c>
      <c r="AW96" s="151">
        <v>1</v>
      </c>
      <c r="AX96" s="166">
        <v>1</v>
      </c>
      <c r="AY96" s="151"/>
      <c r="AZ96" s="432"/>
      <c r="BA96" s="151"/>
      <c r="BB96" s="151"/>
      <c r="BC96" s="151"/>
      <c r="BD96" s="151"/>
      <c r="BE96" s="151"/>
      <c r="BF96" s="152"/>
      <c r="BG96" s="152"/>
      <c r="BH96" s="152"/>
      <c r="BI96" s="152"/>
      <c r="BJ96" s="152"/>
      <c r="BK96" s="152"/>
      <c r="BL96" s="152"/>
      <c r="BM96" s="152"/>
      <c r="BN96" s="152"/>
      <c r="BO96" s="152"/>
      <c r="BP96" s="152"/>
      <c r="BQ96" s="297"/>
      <c r="BR96" s="158"/>
      <c r="BS96" s="153"/>
      <c r="BT96" s="153"/>
      <c r="BU96" s="153"/>
      <c r="BV96" s="153"/>
      <c r="BW96" s="153"/>
      <c r="BX96" s="153"/>
      <c r="BY96" s="153"/>
      <c r="BZ96" s="153"/>
    </row>
    <row r="97" spans="1:78" s="154" customFormat="1" ht="18.649999999999999" customHeight="1">
      <c r="A97" s="179"/>
      <c r="B97" s="249"/>
      <c r="C97" s="1405" t="s">
        <v>1097</v>
      </c>
      <c r="D97" s="1406"/>
      <c r="E97" s="1406"/>
      <c r="F97" s="1406"/>
      <c r="G97" s="1406"/>
      <c r="H97" s="1406"/>
      <c r="I97" s="1406"/>
      <c r="J97" s="1406"/>
      <c r="K97" s="1407"/>
      <c r="L97" s="1539" t="s">
        <v>1109</v>
      </c>
      <c r="M97" s="1539"/>
      <c r="N97" s="1539"/>
      <c r="O97" s="1539"/>
      <c r="P97" s="1539"/>
      <c r="Q97" s="1539"/>
      <c r="R97" s="1539"/>
      <c r="S97" s="1539"/>
      <c r="T97" s="1539"/>
      <c r="U97" s="1539"/>
      <c r="V97" s="1541" t="s">
        <v>1098</v>
      </c>
      <c r="W97" s="1542"/>
      <c r="X97" s="1542"/>
      <c r="Y97" s="1542"/>
      <c r="Z97" s="1542"/>
      <c r="AA97" s="1542"/>
      <c r="AB97" s="1542"/>
      <c r="AC97" s="1543"/>
      <c r="AD97" s="1547" t="s">
        <v>1091</v>
      </c>
      <c r="AE97" s="1547"/>
      <c r="AF97" s="1549"/>
      <c r="AG97" s="1549"/>
      <c r="AH97" s="1547" t="s">
        <v>1090</v>
      </c>
      <c r="AI97" s="1547"/>
      <c r="AJ97" s="1549"/>
      <c r="AK97" s="1549"/>
      <c r="AL97" s="1547" t="s">
        <v>1089</v>
      </c>
      <c r="AM97" s="1547"/>
      <c r="AN97" s="1565" t="s">
        <v>5668</v>
      </c>
      <c r="AO97" s="1566"/>
      <c r="AP97" s="1566"/>
      <c r="AQ97" s="1567"/>
      <c r="AR97" s="437"/>
      <c r="AS97" s="422"/>
      <c r="AT97" s="423"/>
      <c r="AU97" s="160"/>
      <c r="AV97" s="166">
        <f>IF(L97="",0,VALUE(LEFT(L97,2)))</f>
        <v>2</v>
      </c>
      <c r="AW97" s="151"/>
      <c r="AX97" s="166"/>
      <c r="AY97" s="151"/>
      <c r="AZ97" s="432"/>
      <c r="BA97" s="151"/>
      <c r="BB97" s="151"/>
      <c r="BC97" s="151"/>
      <c r="BD97" s="151"/>
      <c r="BE97" s="151"/>
      <c r="BF97" s="152"/>
      <c r="BG97" s="152"/>
      <c r="BH97" s="152"/>
      <c r="BI97" s="152"/>
      <c r="BJ97" s="152"/>
      <c r="BK97" s="152"/>
      <c r="BL97" s="152"/>
      <c r="BM97" s="152"/>
      <c r="BN97" s="152"/>
      <c r="BO97" s="152"/>
      <c r="BP97" s="152"/>
      <c r="BQ97" s="297"/>
      <c r="BR97" s="158"/>
      <c r="BS97" s="153"/>
      <c r="BT97" s="153"/>
      <c r="BU97" s="153"/>
      <c r="BV97" s="153"/>
      <c r="BW97" s="153"/>
      <c r="BX97" s="153"/>
      <c r="BY97" s="153"/>
      <c r="BZ97" s="153"/>
    </row>
    <row r="98" spans="1:78" s="154" customFormat="1" ht="18.649999999999999" customHeight="1">
      <c r="A98" s="179"/>
      <c r="B98" s="249"/>
      <c r="C98" s="1427"/>
      <c r="D98" s="1428"/>
      <c r="E98" s="1428"/>
      <c r="F98" s="1428"/>
      <c r="G98" s="1428"/>
      <c r="H98" s="1428"/>
      <c r="I98" s="1428"/>
      <c r="J98" s="1428"/>
      <c r="K98" s="1429"/>
      <c r="L98" s="1540"/>
      <c r="M98" s="1540"/>
      <c r="N98" s="1540"/>
      <c r="O98" s="1540"/>
      <c r="P98" s="1540"/>
      <c r="Q98" s="1540"/>
      <c r="R98" s="1540"/>
      <c r="S98" s="1540"/>
      <c r="T98" s="1540"/>
      <c r="U98" s="1540"/>
      <c r="V98" s="1544"/>
      <c r="W98" s="1545"/>
      <c r="X98" s="1545"/>
      <c r="Y98" s="1545"/>
      <c r="Z98" s="1545"/>
      <c r="AA98" s="1545"/>
      <c r="AB98" s="1545"/>
      <c r="AC98" s="1546"/>
      <c r="AD98" s="1548"/>
      <c r="AE98" s="1548"/>
      <c r="AF98" s="1550"/>
      <c r="AG98" s="1550"/>
      <c r="AH98" s="1548"/>
      <c r="AI98" s="1548"/>
      <c r="AJ98" s="1550"/>
      <c r="AK98" s="1550"/>
      <c r="AL98" s="1548"/>
      <c r="AM98" s="1548"/>
      <c r="AN98" s="1568"/>
      <c r="AO98" s="1569"/>
      <c r="AP98" s="1569"/>
      <c r="AQ98" s="1570"/>
      <c r="AR98" s="434"/>
      <c r="AS98" s="424"/>
      <c r="AT98" s="425"/>
      <c r="AU98" s="160"/>
      <c r="AV98" s="166" t="str">
        <f>IF(AV97=3,IF(OR(AF97="",AJ97=""),"NG","OK"),IF(AV97=0,"NG","OK"))</f>
        <v>OK</v>
      </c>
      <c r="AW98" s="151"/>
      <c r="AX98" s="166"/>
      <c r="AY98" s="151"/>
      <c r="AZ98" s="432"/>
      <c r="BA98" s="151"/>
      <c r="BB98" s="151"/>
      <c r="BC98" s="151"/>
      <c r="BD98" s="151"/>
      <c r="BE98" s="151"/>
      <c r="BF98" s="152"/>
      <c r="BG98" s="152"/>
      <c r="BH98" s="152"/>
      <c r="BI98" s="152"/>
      <c r="BJ98" s="152"/>
      <c r="BK98" s="152"/>
      <c r="BL98" s="152"/>
      <c r="BM98" s="152"/>
      <c r="BN98" s="152"/>
      <c r="BO98" s="152"/>
      <c r="BP98" s="152"/>
      <c r="BQ98" s="297"/>
      <c r="BR98" s="158"/>
      <c r="BS98" s="153"/>
      <c r="BT98" s="153"/>
      <c r="BU98" s="153"/>
      <c r="BV98" s="153"/>
      <c r="BW98" s="153"/>
      <c r="BX98" s="153"/>
      <c r="BY98" s="153"/>
      <c r="BZ98" s="153"/>
    </row>
    <row r="99" spans="1:78" ht="18.649999999999999" customHeight="1">
      <c r="A99" s="179"/>
      <c r="B99" s="249"/>
      <c r="C99" s="1409" t="s">
        <v>1179</v>
      </c>
      <c r="D99" s="1410"/>
      <c r="E99" s="1410"/>
      <c r="F99" s="1410"/>
      <c r="G99" s="1410"/>
      <c r="H99" s="1410"/>
      <c r="I99" s="1410"/>
      <c r="J99" s="1410"/>
      <c r="K99" s="1411"/>
      <c r="L99" s="1732" t="s">
        <v>2233</v>
      </c>
      <c r="M99" s="1732"/>
      <c r="N99" s="1732"/>
      <c r="O99" s="1732"/>
      <c r="P99" s="1732"/>
      <c r="Q99" s="1732"/>
      <c r="R99" s="1732"/>
      <c r="S99" s="1732"/>
      <c r="T99" s="1732"/>
      <c r="U99" s="1732"/>
      <c r="V99" s="1649" t="s">
        <v>1180</v>
      </c>
      <c r="W99" s="1650"/>
      <c r="X99" s="1650"/>
      <c r="Y99" s="1650"/>
      <c r="Z99" s="1650"/>
      <c r="AA99" s="1650"/>
      <c r="AB99" s="1650"/>
      <c r="AC99" s="1651"/>
      <c r="AD99" s="1547" t="s">
        <v>1091</v>
      </c>
      <c r="AE99" s="1547"/>
      <c r="AF99" s="1549"/>
      <c r="AG99" s="1549"/>
      <c r="AH99" s="1547" t="s">
        <v>1090</v>
      </c>
      <c r="AI99" s="1547"/>
      <c r="AJ99" s="1549"/>
      <c r="AK99" s="1549"/>
      <c r="AL99" s="1547" t="s">
        <v>1089</v>
      </c>
      <c r="AM99" s="1547"/>
      <c r="AN99" s="440"/>
      <c r="AO99" s="438"/>
      <c r="AP99" s="438"/>
      <c r="AQ99" s="438"/>
      <c r="AR99" s="435"/>
      <c r="AS99" s="426"/>
      <c r="AT99" s="427"/>
      <c r="AU99" s="160"/>
      <c r="AV99" s="166">
        <f>IF(L99="",0,VALUE(LEFT(L99,2)))</f>
        <v>3</v>
      </c>
      <c r="AW99" s="151"/>
      <c r="AY99" s="151"/>
      <c r="AZ99" s="432"/>
      <c r="BA99" s="151"/>
      <c r="BB99" s="151"/>
      <c r="BC99" s="151"/>
      <c r="BD99" s="151"/>
      <c r="BE99" s="151"/>
      <c r="BF99" s="152"/>
      <c r="BG99" s="152"/>
      <c r="BH99" s="152"/>
      <c r="BI99" s="152"/>
      <c r="BJ99" s="152"/>
      <c r="BK99" s="152"/>
      <c r="BL99" s="152"/>
      <c r="BM99" s="152"/>
      <c r="BN99" s="152"/>
      <c r="BO99" s="152"/>
      <c r="BP99" s="152"/>
      <c r="BS99" s="153"/>
      <c r="BT99" s="153"/>
    </row>
    <row r="100" spans="1:78" ht="18.649999999999999" customHeight="1" thickBot="1">
      <c r="A100" s="179"/>
      <c r="B100" s="249"/>
      <c r="C100" s="1412"/>
      <c r="D100" s="1413"/>
      <c r="E100" s="1413"/>
      <c r="F100" s="1413"/>
      <c r="G100" s="1413"/>
      <c r="H100" s="1413"/>
      <c r="I100" s="1413"/>
      <c r="J100" s="1413"/>
      <c r="K100" s="1414"/>
      <c r="L100" s="1837"/>
      <c r="M100" s="1837"/>
      <c r="N100" s="1837"/>
      <c r="O100" s="1837"/>
      <c r="P100" s="1837"/>
      <c r="Q100" s="1837"/>
      <c r="R100" s="1837"/>
      <c r="S100" s="1837"/>
      <c r="T100" s="1837"/>
      <c r="U100" s="1837"/>
      <c r="V100" s="1838"/>
      <c r="W100" s="1839"/>
      <c r="X100" s="1839"/>
      <c r="Y100" s="1839"/>
      <c r="Z100" s="1839"/>
      <c r="AA100" s="1839"/>
      <c r="AB100" s="1839"/>
      <c r="AC100" s="1840"/>
      <c r="AD100" s="1548"/>
      <c r="AE100" s="1548"/>
      <c r="AF100" s="1550"/>
      <c r="AG100" s="1550"/>
      <c r="AH100" s="1548"/>
      <c r="AI100" s="1548"/>
      <c r="AJ100" s="1550"/>
      <c r="AK100" s="1550"/>
      <c r="AL100" s="1548"/>
      <c r="AM100" s="1548"/>
      <c r="AN100" s="441"/>
      <c r="AO100" s="439"/>
      <c r="AP100" s="439"/>
      <c r="AQ100" s="439"/>
      <c r="AR100" s="436"/>
      <c r="AS100" s="428"/>
      <c r="AT100" s="429"/>
      <c r="AU100" s="160"/>
      <c r="AV100" s="166" t="str">
        <f>IF(AV99=2,IF(OR(AF99="",AJ99=""),"NG","OK"),IF(AV99=0,"NG","OK"))</f>
        <v>OK</v>
      </c>
      <c r="AW100" s="151"/>
      <c r="AY100" s="151"/>
      <c r="AZ100" s="432"/>
      <c r="BA100" s="151"/>
      <c r="BB100" s="151"/>
      <c r="BC100" s="151"/>
      <c r="BD100" s="151"/>
      <c r="BE100" s="151"/>
      <c r="BF100" s="152"/>
      <c r="BG100" s="152"/>
      <c r="BH100" s="152"/>
      <c r="BI100" s="152"/>
      <c r="BJ100" s="152"/>
      <c r="BK100" s="152"/>
      <c r="BL100" s="152"/>
      <c r="BM100" s="152"/>
      <c r="BN100" s="152"/>
      <c r="BO100" s="152"/>
      <c r="BP100" s="152"/>
      <c r="BS100" s="153"/>
      <c r="BT100" s="153"/>
    </row>
    <row r="101" spans="1:78" s="154" customFormat="1" ht="18.649999999999999" customHeight="1">
      <c r="A101" s="179"/>
      <c r="B101" s="249"/>
      <c r="C101" s="165"/>
      <c r="D101" s="180"/>
      <c r="E101" s="180"/>
      <c r="F101" s="180"/>
      <c r="G101" s="180"/>
      <c r="H101" s="180"/>
      <c r="I101" s="180"/>
      <c r="J101" s="180"/>
      <c r="K101" s="180"/>
      <c r="L101" s="180"/>
      <c r="M101" s="180"/>
      <c r="N101" s="180"/>
      <c r="O101" s="180"/>
      <c r="P101" s="180"/>
      <c r="Q101" s="180"/>
      <c r="R101" s="180"/>
      <c r="S101" s="180"/>
      <c r="T101" s="180"/>
      <c r="U101" s="180"/>
      <c r="V101" s="180"/>
      <c r="W101" s="180"/>
      <c r="X101" s="180"/>
      <c r="Y101" s="180"/>
      <c r="Z101" s="180"/>
      <c r="AA101" s="180"/>
      <c r="AB101" s="180"/>
      <c r="AC101" s="180"/>
      <c r="AD101" s="180"/>
      <c r="AE101" s="180"/>
      <c r="AF101" s="180"/>
      <c r="AG101" s="180"/>
      <c r="AH101" s="180"/>
      <c r="AI101" s="180"/>
      <c r="AJ101" s="180"/>
      <c r="AK101" s="180"/>
      <c r="AL101" s="180"/>
      <c r="AM101" s="180"/>
      <c r="AN101" s="180"/>
      <c r="AO101" s="180"/>
      <c r="AP101" s="180"/>
      <c r="AQ101" s="180"/>
      <c r="AR101" s="180"/>
      <c r="AS101" s="180"/>
      <c r="AT101" s="180"/>
      <c r="AU101" s="160"/>
      <c r="AV101" s="151"/>
      <c r="AW101" s="151"/>
      <c r="AX101" s="151"/>
      <c r="AY101" s="151"/>
      <c r="AZ101" s="151"/>
      <c r="BA101" s="151"/>
      <c r="BB101" s="151"/>
      <c r="BC101" s="151"/>
      <c r="BD101" s="151"/>
      <c r="BE101" s="151"/>
      <c r="BF101" s="152"/>
      <c r="BG101" s="152"/>
      <c r="BH101" s="152"/>
      <c r="BI101" s="152"/>
      <c r="BJ101" s="152"/>
      <c r="BK101" s="152"/>
      <c r="BL101" s="152"/>
      <c r="BM101" s="152"/>
      <c r="BN101" s="152"/>
      <c r="BO101" s="152"/>
      <c r="BP101" s="152"/>
      <c r="BQ101" s="297"/>
      <c r="BR101" s="158"/>
      <c r="BS101" s="152"/>
      <c r="BT101" s="152"/>
      <c r="BU101" s="153"/>
      <c r="BV101" s="153"/>
      <c r="BW101" s="153"/>
      <c r="BX101" s="153"/>
      <c r="BY101" s="153"/>
      <c r="BZ101" s="153"/>
    </row>
    <row r="102" spans="1:78" ht="18.649999999999999" customHeight="1">
      <c r="A102" s="179"/>
      <c r="B102" s="249"/>
      <c r="C102" s="148"/>
      <c r="D102" s="148"/>
      <c r="E102" s="148"/>
      <c r="F102" s="148"/>
      <c r="G102" s="148"/>
      <c r="H102" s="148"/>
      <c r="I102" s="148"/>
      <c r="J102" s="148"/>
      <c r="K102" s="148"/>
      <c r="L102" s="148"/>
      <c r="M102" s="1395" t="s">
        <v>948</v>
      </c>
      <c r="N102" s="1474"/>
      <c r="O102" s="1474"/>
      <c r="P102" s="1474"/>
      <c r="Q102" s="1474"/>
      <c r="R102" s="1474"/>
      <c r="S102" s="1474"/>
      <c r="T102" s="1474"/>
      <c r="U102" s="1474"/>
      <c r="V102" s="1474"/>
      <c r="W102" s="1474"/>
      <c r="X102" s="1474"/>
      <c r="Y102" s="1474"/>
      <c r="Z102" s="1474"/>
      <c r="AA102" s="1474"/>
      <c r="AB102" s="1474"/>
      <c r="AC102" s="1474"/>
      <c r="AD102" s="1474"/>
      <c r="AE102" s="1474"/>
      <c r="AF102" s="1474"/>
      <c r="AG102" s="1474"/>
      <c r="AH102" s="1474"/>
      <c r="AI102" s="1474"/>
      <c r="AJ102" s="1474"/>
      <c r="AK102" s="1474"/>
      <c r="AL102" s="1474"/>
      <c r="AM102" s="1474"/>
      <c r="AN102" s="1474"/>
      <c r="AO102" s="1474"/>
      <c r="AP102" s="1474"/>
      <c r="AQ102" s="1474"/>
      <c r="AR102" s="1474"/>
      <c r="AS102" s="1474"/>
      <c r="AT102" s="1474"/>
      <c r="AU102" s="160"/>
      <c r="AV102" s="151"/>
      <c r="AW102" s="151"/>
      <c r="AX102" s="151"/>
      <c r="AY102" s="151"/>
      <c r="AZ102" s="151"/>
      <c r="BA102" s="151"/>
      <c r="BB102" s="151"/>
      <c r="BC102" s="151"/>
      <c r="BD102" s="151"/>
      <c r="BE102" s="151"/>
      <c r="BF102" s="152"/>
      <c r="BG102" s="152"/>
      <c r="BH102" s="152"/>
      <c r="BI102" s="152"/>
      <c r="BJ102" s="152"/>
      <c r="BK102" s="152"/>
      <c r="BL102" s="152"/>
      <c r="BM102" s="152"/>
      <c r="BN102" s="152"/>
      <c r="BO102" s="152"/>
      <c r="BP102" s="152"/>
      <c r="BS102" s="152"/>
      <c r="BT102" s="152"/>
    </row>
    <row r="103" spans="1:78" ht="18.649999999999999" customHeight="1" thickBot="1">
      <c r="A103" s="179"/>
      <c r="B103" s="249"/>
      <c r="C103" s="148"/>
      <c r="D103" s="148"/>
      <c r="E103" s="148"/>
      <c r="F103" s="148"/>
      <c r="G103" s="148"/>
      <c r="H103" s="148"/>
      <c r="I103" s="148"/>
      <c r="J103" s="148"/>
      <c r="K103" s="148"/>
      <c r="L103" s="148"/>
      <c r="M103" s="1475"/>
      <c r="N103" s="1475"/>
      <c r="O103" s="1475"/>
      <c r="P103" s="1475"/>
      <c r="Q103" s="1475"/>
      <c r="R103" s="1475"/>
      <c r="S103" s="1475"/>
      <c r="T103" s="1475"/>
      <c r="U103" s="1475"/>
      <c r="V103" s="1475"/>
      <c r="W103" s="1475"/>
      <c r="X103" s="1475"/>
      <c r="Y103" s="1475"/>
      <c r="Z103" s="1475"/>
      <c r="AA103" s="1475"/>
      <c r="AB103" s="1475"/>
      <c r="AC103" s="1475"/>
      <c r="AD103" s="1475"/>
      <c r="AE103" s="1475"/>
      <c r="AF103" s="1475"/>
      <c r="AG103" s="1475"/>
      <c r="AH103" s="1475"/>
      <c r="AI103" s="1475"/>
      <c r="AJ103" s="1475"/>
      <c r="AK103" s="1475"/>
      <c r="AL103" s="1475"/>
      <c r="AM103" s="1475"/>
      <c r="AN103" s="1475"/>
      <c r="AO103" s="1475"/>
      <c r="AP103" s="1475"/>
      <c r="AQ103" s="1475"/>
      <c r="AR103" s="1475"/>
      <c r="AS103" s="1475"/>
      <c r="AT103" s="1475"/>
      <c r="AU103" s="160"/>
      <c r="AV103" s="151"/>
      <c r="AW103" s="151"/>
      <c r="AX103" s="151"/>
      <c r="AY103" s="151"/>
      <c r="AZ103" s="151"/>
      <c r="BA103" s="151"/>
      <c r="BB103" s="151"/>
      <c r="BC103" s="151"/>
      <c r="BD103" s="151"/>
      <c r="BE103" s="151"/>
      <c r="BF103" s="152"/>
      <c r="BG103" s="152"/>
      <c r="BH103" s="152"/>
      <c r="BI103" s="152"/>
      <c r="BJ103" s="152"/>
      <c r="BK103" s="152"/>
      <c r="BL103" s="152"/>
      <c r="BM103" s="152"/>
      <c r="BN103" s="152"/>
      <c r="BO103" s="152"/>
      <c r="BP103" s="152"/>
      <c r="BS103" s="152"/>
      <c r="BT103" s="152"/>
    </row>
    <row r="104" spans="1:78" ht="18.649999999999999" customHeight="1">
      <c r="A104" s="148"/>
      <c r="B104" s="249">
        <f>IF(OR(I104="",AV104=0,AG104="",AV105=0,I106="",K106="",M106="",O106="",V106="",X106="",Z106="",AV108=0,V108="",X108="",Z108="",AB108="",AD108="",AF108="",AH108="",I110="",I112=""),1,0)</f>
        <v>0</v>
      </c>
      <c r="C104" s="1551" t="s">
        <v>563</v>
      </c>
      <c r="D104" s="1552"/>
      <c r="E104" s="1552"/>
      <c r="F104" s="1552"/>
      <c r="G104" s="1552"/>
      <c r="H104" s="1553"/>
      <c r="I104" s="1554" t="s">
        <v>1965</v>
      </c>
      <c r="J104" s="1555"/>
      <c r="K104" s="1555"/>
      <c r="L104" s="1555"/>
      <c r="M104" s="1555"/>
      <c r="N104" s="1555"/>
      <c r="O104" s="1555"/>
      <c r="P104" s="1555"/>
      <c r="Q104" s="1555"/>
      <c r="R104" s="1556"/>
      <c r="S104" s="354"/>
      <c r="T104" s="1557" t="s">
        <v>564</v>
      </c>
      <c r="U104" s="1557"/>
      <c r="V104" s="181"/>
      <c r="W104" s="1557" t="s">
        <v>565</v>
      </c>
      <c r="X104" s="1557"/>
      <c r="Y104" s="181"/>
      <c r="Z104" s="1557" t="s">
        <v>566</v>
      </c>
      <c r="AA104" s="1558"/>
      <c r="AB104" s="1552" t="s">
        <v>567</v>
      </c>
      <c r="AC104" s="1552"/>
      <c r="AD104" s="1552"/>
      <c r="AE104" s="1552"/>
      <c r="AF104" s="1553"/>
      <c r="AG104" s="1559" t="s">
        <v>1966</v>
      </c>
      <c r="AH104" s="1559"/>
      <c r="AI104" s="1559"/>
      <c r="AJ104" s="1559"/>
      <c r="AK104" s="1559"/>
      <c r="AL104" s="1559"/>
      <c r="AM104" s="1559"/>
      <c r="AN104" s="1559"/>
      <c r="AO104" s="354"/>
      <c r="AP104" s="1557" t="s">
        <v>568</v>
      </c>
      <c r="AQ104" s="1557"/>
      <c r="AR104" s="181"/>
      <c r="AS104" s="1557" t="s">
        <v>569</v>
      </c>
      <c r="AT104" s="1561"/>
      <c r="AU104" s="160"/>
      <c r="AV104" s="151">
        <v>1</v>
      </c>
      <c r="AW104" s="151"/>
      <c r="AX104" s="151"/>
      <c r="AY104" s="151"/>
      <c r="AZ104" s="151"/>
      <c r="BA104" s="151"/>
      <c r="BB104" s="151"/>
      <c r="BC104" s="151"/>
      <c r="BD104" s="151"/>
      <c r="BE104" s="151"/>
      <c r="BF104" s="152"/>
      <c r="BG104" s="152"/>
      <c r="BH104" s="152"/>
      <c r="BI104" s="152"/>
      <c r="BJ104" s="152"/>
      <c r="BK104" s="152"/>
      <c r="BL104" s="152"/>
      <c r="BM104" s="152"/>
      <c r="BN104" s="152"/>
      <c r="BO104" s="152"/>
      <c r="BP104" s="152"/>
      <c r="BS104" s="152" t="s">
        <v>1064</v>
      </c>
      <c r="BT104" s="152"/>
    </row>
    <row r="105" spans="1:78" ht="18.649999999999999" customHeight="1">
      <c r="A105" s="148"/>
      <c r="B105" s="249"/>
      <c r="C105" s="1427"/>
      <c r="D105" s="1428"/>
      <c r="E105" s="1428"/>
      <c r="F105" s="1428"/>
      <c r="G105" s="1428"/>
      <c r="H105" s="1429"/>
      <c r="I105" s="1440"/>
      <c r="J105" s="1441"/>
      <c r="K105" s="1441"/>
      <c r="L105" s="1441"/>
      <c r="M105" s="1441"/>
      <c r="N105" s="1441"/>
      <c r="O105" s="1441"/>
      <c r="P105" s="1441"/>
      <c r="Q105" s="1441"/>
      <c r="R105" s="1445"/>
      <c r="S105" s="355"/>
      <c r="T105" s="1562" t="s">
        <v>570</v>
      </c>
      <c r="U105" s="1562"/>
      <c r="V105" s="356"/>
      <c r="W105" s="1562" t="s">
        <v>571</v>
      </c>
      <c r="X105" s="1562"/>
      <c r="Y105" s="356"/>
      <c r="Z105" s="1562" t="s">
        <v>572</v>
      </c>
      <c r="AA105" s="1563"/>
      <c r="AB105" s="1428"/>
      <c r="AC105" s="1428"/>
      <c r="AD105" s="1428"/>
      <c r="AE105" s="1428"/>
      <c r="AF105" s="1429"/>
      <c r="AG105" s="1560"/>
      <c r="AH105" s="1560"/>
      <c r="AI105" s="1560"/>
      <c r="AJ105" s="1560"/>
      <c r="AK105" s="1560"/>
      <c r="AL105" s="1560"/>
      <c r="AM105" s="1560"/>
      <c r="AN105" s="1560"/>
      <c r="AO105" s="355"/>
      <c r="AP105" s="1562" t="s">
        <v>573</v>
      </c>
      <c r="AQ105" s="1562"/>
      <c r="AR105" s="356"/>
      <c r="AS105" s="1562" t="s">
        <v>574</v>
      </c>
      <c r="AT105" s="1564"/>
      <c r="AU105" s="160"/>
      <c r="AV105" s="151">
        <v>2</v>
      </c>
      <c r="AX105" s="151"/>
      <c r="AY105" s="151"/>
      <c r="AZ105" s="151"/>
      <c r="BA105" s="151"/>
      <c r="BB105" s="151"/>
      <c r="BC105" s="151"/>
      <c r="BD105" s="151"/>
      <c r="BE105" s="151"/>
      <c r="BF105" s="152"/>
      <c r="BG105" s="152"/>
      <c r="BH105" s="152"/>
      <c r="BI105" s="152"/>
      <c r="BJ105" s="152"/>
      <c r="BK105" s="152"/>
      <c r="BL105" s="152"/>
      <c r="BM105" s="152"/>
      <c r="BN105" s="152"/>
      <c r="BO105" s="152"/>
      <c r="BP105" s="152"/>
      <c r="BS105" s="152"/>
      <c r="BT105" s="152"/>
    </row>
    <row r="106" spans="1:78" ht="18.649999999999999" customHeight="1">
      <c r="A106" s="148"/>
      <c r="B106" s="249"/>
      <c r="C106" s="1492" t="s">
        <v>768</v>
      </c>
      <c r="D106" s="1493"/>
      <c r="E106" s="1493"/>
      <c r="F106" s="1493"/>
      <c r="G106" s="1493"/>
      <c r="H106" s="1494"/>
      <c r="I106" s="1530">
        <v>1</v>
      </c>
      <c r="J106" s="1531"/>
      <c r="K106" s="1531">
        <v>2</v>
      </c>
      <c r="L106" s="1531"/>
      <c r="M106" s="1531">
        <v>3</v>
      </c>
      <c r="N106" s="1531"/>
      <c r="O106" s="1531">
        <v>4</v>
      </c>
      <c r="P106" s="1533"/>
      <c r="Q106" s="1534" t="s">
        <v>769</v>
      </c>
      <c r="R106" s="1483"/>
      <c r="S106" s="1483"/>
      <c r="T106" s="1483"/>
      <c r="U106" s="1484"/>
      <c r="V106" s="1437">
        <v>1</v>
      </c>
      <c r="W106" s="1439"/>
      <c r="X106" s="1536">
        <v>2</v>
      </c>
      <c r="Y106" s="1439"/>
      <c r="Z106" s="1537">
        <v>3</v>
      </c>
      <c r="AA106" s="1538"/>
      <c r="AB106" s="1508" t="s">
        <v>575</v>
      </c>
      <c r="AC106" s="1509"/>
      <c r="AD106" s="1509"/>
      <c r="AE106" s="1509"/>
      <c r="AF106" s="1509"/>
      <c r="AG106" s="1509"/>
      <c r="AH106" s="1509"/>
      <c r="AI106" s="1509"/>
      <c r="AJ106" s="1509"/>
      <c r="AK106" s="1509"/>
      <c r="AL106" s="1509"/>
      <c r="AM106" s="1509"/>
      <c r="AN106" s="1509"/>
      <c r="AO106" s="1509"/>
      <c r="AP106" s="1509"/>
      <c r="AQ106" s="1509"/>
      <c r="AR106" s="1509"/>
      <c r="AS106" s="1509"/>
      <c r="AT106" s="1510"/>
      <c r="AU106" s="160"/>
      <c r="AV106" s="151"/>
      <c r="AW106" s="151"/>
      <c r="AX106" s="151"/>
      <c r="AY106" s="151"/>
      <c r="AZ106" s="151"/>
      <c r="BA106" s="151"/>
      <c r="BB106" s="151"/>
      <c r="BC106" s="151"/>
      <c r="BD106" s="151"/>
      <c r="BE106" s="151"/>
      <c r="BF106" s="152"/>
      <c r="BG106" s="152"/>
      <c r="BH106" s="152"/>
      <c r="BI106" s="152"/>
      <c r="BJ106" s="152"/>
      <c r="BK106" s="152"/>
      <c r="BL106" s="152"/>
      <c r="BM106" s="152"/>
      <c r="BN106" s="152"/>
      <c r="BO106" s="152"/>
      <c r="BP106" s="152"/>
      <c r="BS106" s="152"/>
      <c r="BT106" s="152"/>
    </row>
    <row r="107" spans="1:78" ht="18.649999999999999" customHeight="1">
      <c r="A107" s="148"/>
      <c r="B107" s="249"/>
      <c r="C107" s="1461"/>
      <c r="D107" s="1462"/>
      <c r="E107" s="1462"/>
      <c r="F107" s="1462"/>
      <c r="G107" s="1462"/>
      <c r="H107" s="1463"/>
      <c r="I107" s="1532"/>
      <c r="J107" s="1522"/>
      <c r="K107" s="1522"/>
      <c r="L107" s="1522"/>
      <c r="M107" s="1522"/>
      <c r="N107" s="1522"/>
      <c r="O107" s="1522"/>
      <c r="P107" s="1523"/>
      <c r="Q107" s="1535"/>
      <c r="R107" s="1462"/>
      <c r="S107" s="1462"/>
      <c r="T107" s="1462"/>
      <c r="U107" s="1463"/>
      <c r="V107" s="1440"/>
      <c r="W107" s="1442"/>
      <c r="X107" s="1507"/>
      <c r="Y107" s="1442"/>
      <c r="Z107" s="1522"/>
      <c r="AA107" s="1523"/>
      <c r="AB107" s="1511"/>
      <c r="AC107" s="1512"/>
      <c r="AD107" s="1512"/>
      <c r="AE107" s="1512"/>
      <c r="AF107" s="1512"/>
      <c r="AG107" s="1512"/>
      <c r="AH107" s="1512"/>
      <c r="AI107" s="1512"/>
      <c r="AJ107" s="1512"/>
      <c r="AK107" s="1512"/>
      <c r="AL107" s="1512"/>
      <c r="AM107" s="1512"/>
      <c r="AN107" s="1512"/>
      <c r="AO107" s="1512"/>
      <c r="AP107" s="1512"/>
      <c r="AQ107" s="1512"/>
      <c r="AR107" s="1512"/>
      <c r="AS107" s="1512"/>
      <c r="AT107" s="1513"/>
      <c r="AU107" s="160"/>
      <c r="AV107" s="151"/>
      <c r="AW107" s="151"/>
      <c r="AX107" s="151"/>
      <c r="AY107" s="151"/>
      <c r="AZ107" s="151"/>
      <c r="BA107" s="151"/>
      <c r="BB107" s="151"/>
      <c r="BC107" s="151"/>
      <c r="BD107" s="151"/>
      <c r="BE107" s="151"/>
      <c r="BF107" s="152"/>
      <c r="BG107" s="152"/>
      <c r="BH107" s="152"/>
      <c r="BI107" s="152"/>
      <c r="BJ107" s="152"/>
      <c r="BK107" s="152"/>
      <c r="BL107" s="152"/>
      <c r="BM107" s="152"/>
      <c r="BN107" s="152"/>
      <c r="BO107" s="152"/>
      <c r="BP107" s="152"/>
      <c r="BS107" s="152"/>
      <c r="BT107" s="152"/>
    </row>
    <row r="108" spans="1:78" ht="18.649999999999999" customHeight="1">
      <c r="A108" s="148"/>
      <c r="B108" s="249"/>
      <c r="C108" s="1492" t="s">
        <v>576</v>
      </c>
      <c r="D108" s="1493"/>
      <c r="E108" s="1493"/>
      <c r="F108" s="1493"/>
      <c r="G108" s="1493"/>
      <c r="H108" s="1493"/>
      <c r="I108" s="1514"/>
      <c r="J108" s="1516" t="s">
        <v>577</v>
      </c>
      <c r="K108" s="1516"/>
      <c r="L108" s="419"/>
      <c r="M108" s="1516"/>
      <c r="N108" s="1516" t="s">
        <v>578</v>
      </c>
      <c r="O108" s="1516"/>
      <c r="P108" s="1518"/>
      <c r="Q108" s="1493" t="s">
        <v>770</v>
      </c>
      <c r="R108" s="1493"/>
      <c r="S108" s="1493"/>
      <c r="T108" s="1493"/>
      <c r="U108" s="1494"/>
      <c r="V108" s="1504">
        <v>0</v>
      </c>
      <c r="W108" s="1505"/>
      <c r="X108" s="1506">
        <v>1</v>
      </c>
      <c r="Y108" s="1505"/>
      <c r="Z108" s="1506">
        <v>2</v>
      </c>
      <c r="AA108" s="1505"/>
      <c r="AB108" s="1506">
        <v>3</v>
      </c>
      <c r="AC108" s="1505"/>
      <c r="AD108" s="1506">
        <v>4</v>
      </c>
      <c r="AE108" s="1505"/>
      <c r="AF108" s="1506">
        <v>5</v>
      </c>
      <c r="AG108" s="1505"/>
      <c r="AH108" s="1520">
        <v>6</v>
      </c>
      <c r="AI108" s="1521"/>
      <c r="AJ108" s="1524" t="s">
        <v>1233</v>
      </c>
      <c r="AK108" s="1525"/>
      <c r="AL108" s="1525"/>
      <c r="AM108" s="1525"/>
      <c r="AN108" s="1525"/>
      <c r="AO108" s="1525"/>
      <c r="AP108" s="1525"/>
      <c r="AQ108" s="1525"/>
      <c r="AR108" s="1525"/>
      <c r="AS108" s="1525"/>
      <c r="AT108" s="1526"/>
      <c r="AU108" s="160"/>
      <c r="AV108" s="151">
        <v>1</v>
      </c>
      <c r="AW108" s="151"/>
      <c r="AX108" s="151"/>
      <c r="AY108" s="151"/>
      <c r="AZ108" s="151"/>
      <c r="BA108" s="151"/>
      <c r="BB108" s="151"/>
      <c r="BC108" s="151"/>
      <c r="BD108" s="151"/>
      <c r="BE108" s="151"/>
      <c r="BF108" s="152"/>
      <c r="BG108" s="152"/>
      <c r="BH108" s="152"/>
      <c r="BI108" s="152"/>
      <c r="BJ108" s="152"/>
      <c r="BK108" s="152"/>
      <c r="BL108" s="152"/>
      <c r="BM108" s="152"/>
      <c r="BN108" s="152"/>
      <c r="BO108" s="152"/>
      <c r="BP108" s="152"/>
      <c r="BS108" s="152"/>
      <c r="BT108" s="152"/>
    </row>
    <row r="109" spans="1:78" ht="18.649999999999999" customHeight="1">
      <c r="A109" s="148"/>
      <c r="B109" s="249"/>
      <c r="C109" s="1461"/>
      <c r="D109" s="1462"/>
      <c r="E109" s="1462"/>
      <c r="F109" s="1462"/>
      <c r="G109" s="1462"/>
      <c r="H109" s="1462"/>
      <c r="I109" s="1515"/>
      <c r="J109" s="1517"/>
      <c r="K109" s="1517"/>
      <c r="L109" s="418"/>
      <c r="M109" s="1517"/>
      <c r="N109" s="1517"/>
      <c r="O109" s="1517"/>
      <c r="P109" s="1519"/>
      <c r="Q109" s="1462"/>
      <c r="R109" s="1462"/>
      <c r="S109" s="1462"/>
      <c r="T109" s="1462"/>
      <c r="U109" s="1463"/>
      <c r="V109" s="1440"/>
      <c r="W109" s="1442"/>
      <c r="X109" s="1507"/>
      <c r="Y109" s="1442"/>
      <c r="Z109" s="1507"/>
      <c r="AA109" s="1442"/>
      <c r="AB109" s="1507"/>
      <c r="AC109" s="1442"/>
      <c r="AD109" s="1507"/>
      <c r="AE109" s="1442"/>
      <c r="AF109" s="1507"/>
      <c r="AG109" s="1442"/>
      <c r="AH109" s="1522"/>
      <c r="AI109" s="1523"/>
      <c r="AJ109" s="1527"/>
      <c r="AK109" s="1528"/>
      <c r="AL109" s="1528"/>
      <c r="AM109" s="1528"/>
      <c r="AN109" s="1528"/>
      <c r="AO109" s="1528"/>
      <c r="AP109" s="1528"/>
      <c r="AQ109" s="1528"/>
      <c r="AR109" s="1528"/>
      <c r="AS109" s="1528"/>
      <c r="AT109" s="1529"/>
      <c r="AU109" s="160"/>
      <c r="AV109" s="151"/>
      <c r="AW109" s="151"/>
      <c r="AX109" s="151"/>
      <c r="AY109" s="151"/>
      <c r="AZ109" s="151"/>
      <c r="BA109" s="151"/>
      <c r="BB109" s="151"/>
      <c r="BC109" s="151"/>
      <c r="BD109" s="151"/>
      <c r="BE109" s="151"/>
      <c r="BF109" s="152"/>
      <c r="BG109" s="152"/>
      <c r="BH109" s="152"/>
      <c r="BI109" s="152"/>
      <c r="BJ109" s="152"/>
      <c r="BK109" s="152"/>
      <c r="BL109" s="152"/>
      <c r="BM109" s="152"/>
      <c r="BN109" s="152"/>
      <c r="BO109" s="152"/>
      <c r="BP109" s="152"/>
      <c r="BS109" s="152"/>
      <c r="BT109" s="152"/>
    </row>
    <row r="110" spans="1:78" ht="18.649999999999999" customHeight="1">
      <c r="A110" s="148"/>
      <c r="B110" s="249"/>
      <c r="C110" s="1409" t="s">
        <v>579</v>
      </c>
      <c r="D110" s="1410"/>
      <c r="E110" s="1410"/>
      <c r="F110" s="1410"/>
      <c r="G110" s="1410"/>
      <c r="H110" s="1411"/>
      <c r="I110" s="1418" t="s">
        <v>2234</v>
      </c>
      <c r="J110" s="1419"/>
      <c r="K110" s="1419"/>
      <c r="L110" s="1419"/>
      <c r="M110" s="1419"/>
      <c r="N110" s="1419"/>
      <c r="O110" s="1419"/>
      <c r="P110" s="1419"/>
      <c r="Q110" s="1419"/>
      <c r="R110" s="1419"/>
      <c r="S110" s="1419"/>
      <c r="T110" s="1419"/>
      <c r="U110" s="1419"/>
      <c r="V110" s="1419"/>
      <c r="W110" s="1419"/>
      <c r="X110" s="1419"/>
      <c r="Y110" s="1419"/>
      <c r="Z110" s="1419"/>
      <c r="AA110" s="1419"/>
      <c r="AB110" s="1419"/>
      <c r="AC110" s="1419"/>
      <c r="AD110" s="1419"/>
      <c r="AE110" s="1419"/>
      <c r="AF110" s="1419"/>
      <c r="AG110" s="1419"/>
      <c r="AH110" s="1419"/>
      <c r="AI110" s="1419"/>
      <c r="AJ110" s="1419"/>
      <c r="AK110" s="1419"/>
      <c r="AL110" s="1419"/>
      <c r="AM110" s="1419"/>
      <c r="AN110" s="1419"/>
      <c r="AO110" s="1419"/>
      <c r="AP110" s="1419"/>
      <c r="AQ110" s="1419"/>
      <c r="AR110" s="1419"/>
      <c r="AS110" s="1419"/>
      <c r="AT110" s="1420"/>
      <c r="AU110" s="160"/>
      <c r="AV110" s="151"/>
      <c r="AW110" s="151"/>
      <c r="AX110" s="151"/>
      <c r="AY110" s="151"/>
      <c r="AZ110" s="151"/>
      <c r="BA110" s="151"/>
      <c r="BB110" s="151"/>
      <c r="BC110" s="151"/>
      <c r="BD110" s="151"/>
      <c r="BE110" s="151"/>
      <c r="BF110" s="152"/>
      <c r="BG110" s="152"/>
      <c r="BH110" s="152"/>
      <c r="BI110" s="152"/>
      <c r="BJ110" s="152"/>
      <c r="BK110" s="152"/>
      <c r="BL110" s="152"/>
      <c r="BM110" s="152"/>
      <c r="BN110" s="152"/>
      <c r="BO110" s="152"/>
      <c r="BS110" s="152"/>
      <c r="BT110" s="152"/>
    </row>
    <row r="111" spans="1:78" ht="18.649999999999999" customHeight="1">
      <c r="A111" s="148"/>
      <c r="B111" s="249"/>
      <c r="C111" s="1427"/>
      <c r="D111" s="1428"/>
      <c r="E111" s="1428"/>
      <c r="F111" s="1428"/>
      <c r="G111" s="1428"/>
      <c r="H111" s="1429"/>
      <c r="I111" s="1489"/>
      <c r="J111" s="1490"/>
      <c r="K111" s="1490"/>
      <c r="L111" s="1490"/>
      <c r="M111" s="1490"/>
      <c r="N111" s="1490"/>
      <c r="O111" s="1490"/>
      <c r="P111" s="1490"/>
      <c r="Q111" s="1490"/>
      <c r="R111" s="1490"/>
      <c r="S111" s="1490"/>
      <c r="T111" s="1490"/>
      <c r="U111" s="1490"/>
      <c r="V111" s="1490"/>
      <c r="W111" s="1490"/>
      <c r="X111" s="1490"/>
      <c r="Y111" s="1490"/>
      <c r="Z111" s="1490"/>
      <c r="AA111" s="1490"/>
      <c r="AB111" s="1490"/>
      <c r="AC111" s="1490"/>
      <c r="AD111" s="1490"/>
      <c r="AE111" s="1490"/>
      <c r="AF111" s="1490"/>
      <c r="AG111" s="1490"/>
      <c r="AH111" s="1490"/>
      <c r="AI111" s="1490"/>
      <c r="AJ111" s="1490"/>
      <c r="AK111" s="1490"/>
      <c r="AL111" s="1490"/>
      <c r="AM111" s="1490"/>
      <c r="AN111" s="1490"/>
      <c r="AO111" s="1490"/>
      <c r="AP111" s="1490"/>
      <c r="AQ111" s="1490"/>
      <c r="AR111" s="1490"/>
      <c r="AS111" s="1490"/>
      <c r="AT111" s="1491"/>
      <c r="AU111" s="160"/>
      <c r="AV111" s="151"/>
      <c r="AW111" s="151"/>
      <c r="AX111" s="151"/>
      <c r="AY111" s="151"/>
      <c r="AZ111" s="151"/>
      <c r="BA111" s="151"/>
      <c r="BB111" s="151"/>
      <c r="BC111" s="151"/>
      <c r="BD111" s="151"/>
      <c r="BE111" s="151"/>
      <c r="BF111" s="152"/>
      <c r="BG111" s="152"/>
      <c r="BH111" s="152"/>
      <c r="BI111" s="152"/>
      <c r="BJ111" s="152"/>
      <c r="BK111" s="152"/>
      <c r="BL111" s="152"/>
      <c r="BM111" s="152"/>
      <c r="BN111" s="152"/>
      <c r="BS111" s="152"/>
      <c r="BT111" s="152"/>
    </row>
    <row r="112" spans="1:78" ht="18.649999999999999" customHeight="1">
      <c r="A112" s="148"/>
      <c r="B112" s="249"/>
      <c r="C112" s="1492" t="s">
        <v>771</v>
      </c>
      <c r="D112" s="1493"/>
      <c r="E112" s="1493"/>
      <c r="F112" s="1493"/>
      <c r="G112" s="1493"/>
      <c r="H112" s="1494"/>
      <c r="I112" s="1498" t="s">
        <v>2235</v>
      </c>
      <c r="J112" s="1499"/>
      <c r="K112" s="1499"/>
      <c r="L112" s="1499"/>
      <c r="M112" s="1499"/>
      <c r="N112" s="1499"/>
      <c r="O112" s="1499"/>
      <c r="P112" s="1499"/>
      <c r="Q112" s="1499"/>
      <c r="R112" s="1499"/>
      <c r="S112" s="1499"/>
      <c r="T112" s="1499"/>
      <c r="U112" s="1499"/>
      <c r="V112" s="1499"/>
      <c r="W112" s="1499"/>
      <c r="X112" s="1499"/>
      <c r="Y112" s="1499"/>
      <c r="Z112" s="1499"/>
      <c r="AA112" s="1499"/>
      <c r="AB112" s="1499"/>
      <c r="AC112" s="1499"/>
      <c r="AD112" s="1499"/>
      <c r="AE112" s="1499"/>
      <c r="AF112" s="1499"/>
      <c r="AG112" s="1499"/>
      <c r="AH112" s="1499"/>
      <c r="AI112" s="1499"/>
      <c r="AJ112" s="1499"/>
      <c r="AK112" s="1499"/>
      <c r="AL112" s="1499"/>
      <c r="AM112" s="1499"/>
      <c r="AN112" s="1499"/>
      <c r="AO112" s="1499"/>
      <c r="AP112" s="1499"/>
      <c r="AQ112" s="1499"/>
      <c r="AR112" s="1499"/>
      <c r="AS112" s="1499"/>
      <c r="AT112" s="1500"/>
      <c r="AU112" s="160"/>
      <c r="AV112" s="151"/>
      <c r="AW112" s="151"/>
      <c r="AX112" s="151"/>
      <c r="AY112" s="151"/>
      <c r="AZ112" s="151"/>
      <c r="BA112" s="151"/>
      <c r="BB112" s="151"/>
      <c r="BC112" s="151"/>
      <c r="BD112" s="151"/>
      <c r="BE112" s="151"/>
      <c r="BF112" s="152"/>
      <c r="BG112" s="152"/>
      <c r="BH112" s="152"/>
      <c r="BI112" s="152"/>
      <c r="BJ112" s="152"/>
      <c r="BK112" s="152"/>
      <c r="BL112" s="152"/>
      <c r="BM112" s="152"/>
      <c r="BN112" s="152"/>
      <c r="BS112" s="152"/>
      <c r="BT112" s="152"/>
    </row>
    <row r="113" spans="1:72" ht="18.649999999999999" customHeight="1" thickBot="1">
      <c r="A113" s="148"/>
      <c r="B113" s="249"/>
      <c r="C113" s="1495"/>
      <c r="D113" s="1496"/>
      <c r="E113" s="1496"/>
      <c r="F113" s="1496"/>
      <c r="G113" s="1496"/>
      <c r="H113" s="1497"/>
      <c r="I113" s="1501"/>
      <c r="J113" s="1502"/>
      <c r="K113" s="1502"/>
      <c r="L113" s="1502"/>
      <c r="M113" s="1502"/>
      <c r="N113" s="1502"/>
      <c r="O113" s="1502"/>
      <c r="P113" s="1502"/>
      <c r="Q113" s="1502"/>
      <c r="R113" s="1502"/>
      <c r="S113" s="1502"/>
      <c r="T113" s="1502"/>
      <c r="U113" s="1502"/>
      <c r="V113" s="1502"/>
      <c r="W113" s="1502"/>
      <c r="X113" s="1502"/>
      <c r="Y113" s="1502"/>
      <c r="Z113" s="1502"/>
      <c r="AA113" s="1502"/>
      <c r="AB113" s="1502"/>
      <c r="AC113" s="1502"/>
      <c r="AD113" s="1502"/>
      <c r="AE113" s="1502"/>
      <c r="AF113" s="1502"/>
      <c r="AG113" s="1502"/>
      <c r="AH113" s="1502"/>
      <c r="AI113" s="1502"/>
      <c r="AJ113" s="1502"/>
      <c r="AK113" s="1502"/>
      <c r="AL113" s="1502"/>
      <c r="AM113" s="1502"/>
      <c r="AN113" s="1502"/>
      <c r="AO113" s="1502"/>
      <c r="AP113" s="1502"/>
      <c r="AQ113" s="1502"/>
      <c r="AR113" s="1502"/>
      <c r="AS113" s="1502"/>
      <c r="AT113" s="1503"/>
      <c r="AU113" s="160"/>
      <c r="AV113" s="151"/>
      <c r="AW113" s="151"/>
      <c r="AX113" s="151"/>
      <c r="AY113" s="151"/>
      <c r="AZ113" s="151"/>
      <c r="BA113" s="151"/>
      <c r="BB113" s="151"/>
      <c r="BC113" s="151"/>
      <c r="BD113" s="151"/>
      <c r="BE113" s="151"/>
      <c r="BF113" s="152"/>
      <c r="BG113" s="152"/>
      <c r="BH113" s="152"/>
      <c r="BS113" s="152"/>
      <c r="BT113" s="152"/>
    </row>
    <row r="114" spans="1:72" ht="18.649999999999999" customHeight="1">
      <c r="A114" s="179"/>
      <c r="B114" s="249"/>
      <c r="C114" s="148"/>
      <c r="D114" s="148"/>
      <c r="E114" s="148"/>
      <c r="F114" s="148"/>
      <c r="G114" s="148"/>
      <c r="H114" s="148"/>
      <c r="I114" s="148"/>
      <c r="J114" s="148"/>
      <c r="K114" s="148"/>
      <c r="L114" s="148"/>
      <c r="M114" s="148"/>
      <c r="N114" s="148"/>
      <c r="O114" s="148"/>
      <c r="P114" s="148"/>
      <c r="Q114" s="148"/>
      <c r="R114" s="148"/>
      <c r="S114" s="148"/>
      <c r="T114" s="148"/>
      <c r="U114" s="148"/>
      <c r="V114" s="148"/>
      <c r="W114" s="148"/>
      <c r="X114" s="148"/>
      <c r="Y114" s="148"/>
      <c r="Z114" s="148"/>
      <c r="AA114" s="148"/>
      <c r="AB114" s="148"/>
      <c r="AC114" s="148"/>
      <c r="AD114" s="148"/>
      <c r="AE114" s="148"/>
      <c r="AF114" s="148"/>
      <c r="AG114" s="148"/>
      <c r="AH114" s="148"/>
      <c r="AI114" s="148"/>
      <c r="AJ114" s="148"/>
      <c r="AK114" s="148"/>
      <c r="AL114" s="148"/>
      <c r="AM114" s="148"/>
      <c r="AN114" s="148"/>
      <c r="AO114" s="148"/>
      <c r="AP114" s="148"/>
      <c r="AQ114" s="148"/>
      <c r="AR114" s="148"/>
      <c r="AS114" s="148"/>
      <c r="AT114" s="148"/>
      <c r="AU114" s="160"/>
      <c r="AV114" s="151"/>
      <c r="AW114" s="151"/>
      <c r="AX114" s="151"/>
      <c r="AY114" s="151"/>
      <c r="AZ114" s="151"/>
      <c r="BA114" s="151"/>
      <c r="BB114" s="151"/>
      <c r="BC114" s="151"/>
      <c r="BD114" s="151"/>
      <c r="BE114" s="151"/>
      <c r="BF114" s="152"/>
      <c r="BG114" s="152"/>
      <c r="BH114" s="152"/>
      <c r="BS114" s="152"/>
      <c r="BT114" s="152"/>
    </row>
    <row r="115" spans="1:72" ht="18.649999999999999" customHeight="1">
      <c r="A115" s="179"/>
      <c r="B115" s="249"/>
      <c r="C115" s="148"/>
      <c r="D115" s="148"/>
      <c r="E115" s="148"/>
      <c r="F115" s="148"/>
      <c r="G115" s="148"/>
      <c r="H115" s="148"/>
      <c r="I115" s="148"/>
      <c r="J115" s="148"/>
      <c r="K115" s="148"/>
      <c r="L115" s="148"/>
      <c r="M115" s="1395" t="s">
        <v>947</v>
      </c>
      <c r="N115" s="1474"/>
      <c r="O115" s="1474"/>
      <c r="P115" s="1474"/>
      <c r="Q115" s="1474"/>
      <c r="R115" s="1474"/>
      <c r="S115" s="1474"/>
      <c r="T115" s="1474"/>
      <c r="U115" s="1474"/>
      <c r="V115" s="1474"/>
      <c r="W115" s="1474"/>
      <c r="X115" s="1474"/>
      <c r="Y115" s="1474"/>
      <c r="Z115" s="1474"/>
      <c r="AA115" s="1474"/>
      <c r="AB115" s="1474"/>
      <c r="AC115" s="1474"/>
      <c r="AD115" s="1474"/>
      <c r="AE115" s="1474"/>
      <c r="AF115" s="1474"/>
      <c r="AG115" s="1474"/>
      <c r="AH115" s="1474"/>
      <c r="AI115" s="1474"/>
      <c r="AJ115" s="1474"/>
      <c r="AK115" s="1474"/>
      <c r="AL115" s="1474"/>
      <c r="AM115" s="1474"/>
      <c r="AN115" s="1474"/>
      <c r="AO115" s="1474"/>
      <c r="AP115" s="1474"/>
      <c r="AQ115" s="1474"/>
      <c r="AR115" s="1474"/>
      <c r="AS115" s="1474"/>
      <c r="AT115" s="1474"/>
      <c r="AU115" s="160"/>
      <c r="AV115" s="151"/>
      <c r="AW115" s="151"/>
      <c r="AX115" s="151"/>
      <c r="AY115" s="151"/>
      <c r="AZ115" s="151"/>
      <c r="BA115" s="151"/>
      <c r="BB115" s="151"/>
      <c r="BC115" s="151"/>
      <c r="BD115" s="151"/>
      <c r="BE115" s="151"/>
      <c r="BF115" s="152"/>
      <c r="BG115" s="152"/>
      <c r="BH115" s="152"/>
      <c r="BS115" s="152"/>
      <c r="BT115" s="152"/>
    </row>
    <row r="116" spans="1:72" ht="18.649999999999999" customHeight="1" thickBot="1">
      <c r="A116" s="179"/>
      <c r="B116" s="249"/>
      <c r="C116" s="148"/>
      <c r="D116" s="148"/>
      <c r="E116" s="148"/>
      <c r="F116" s="148"/>
      <c r="G116" s="148"/>
      <c r="H116" s="148"/>
      <c r="I116" s="148"/>
      <c r="J116" s="148"/>
      <c r="K116" s="148"/>
      <c r="L116" s="148"/>
      <c r="M116" s="1475"/>
      <c r="N116" s="1475"/>
      <c r="O116" s="1475"/>
      <c r="P116" s="1475"/>
      <c r="Q116" s="1475"/>
      <c r="R116" s="1475"/>
      <c r="S116" s="1475"/>
      <c r="T116" s="1475"/>
      <c r="U116" s="1475"/>
      <c r="V116" s="1475"/>
      <c r="W116" s="1475"/>
      <c r="X116" s="1475"/>
      <c r="Y116" s="1475"/>
      <c r="Z116" s="1475"/>
      <c r="AA116" s="1475"/>
      <c r="AB116" s="1475"/>
      <c r="AC116" s="1475"/>
      <c r="AD116" s="1475"/>
      <c r="AE116" s="1475"/>
      <c r="AF116" s="1475"/>
      <c r="AG116" s="1475"/>
      <c r="AH116" s="1475"/>
      <c r="AI116" s="1475"/>
      <c r="AJ116" s="1475"/>
      <c r="AK116" s="1475"/>
      <c r="AL116" s="1475"/>
      <c r="AM116" s="1475"/>
      <c r="AN116" s="1475"/>
      <c r="AO116" s="1475"/>
      <c r="AP116" s="1475"/>
      <c r="AQ116" s="1475"/>
      <c r="AR116" s="1475"/>
      <c r="AS116" s="1475"/>
      <c r="AT116" s="1475"/>
      <c r="AU116" s="160"/>
      <c r="AV116" s="151"/>
      <c r="AW116" s="151"/>
      <c r="AX116" s="151"/>
      <c r="AY116" s="151"/>
      <c r="AZ116" s="151"/>
      <c r="BA116" s="151"/>
      <c r="BB116" s="151"/>
      <c r="BC116" s="151"/>
      <c r="BD116" s="151"/>
      <c r="BE116" s="151"/>
      <c r="BF116" s="152"/>
      <c r="BG116" s="152"/>
      <c r="BH116" s="152"/>
      <c r="BS116" s="152"/>
      <c r="BT116" s="152"/>
    </row>
    <row r="117" spans="1:72" ht="18.649999999999999" customHeight="1">
      <c r="A117" s="179"/>
      <c r="B117" s="249">
        <f>IF(OR(I117="",I118="",AE118="",AK118="",AP118="",AE120="",I124="",I125="",AE125="",AK125="",AP125="",AE127="",AV127="NG",AV120="NG",AV128=0),1,0)</f>
        <v>0</v>
      </c>
      <c r="C117" s="1476" t="s">
        <v>772</v>
      </c>
      <c r="D117" s="1477"/>
      <c r="E117" s="1477"/>
      <c r="F117" s="1477"/>
      <c r="G117" s="1477"/>
      <c r="H117" s="1478"/>
      <c r="I117" s="1485" t="s">
        <v>4427</v>
      </c>
      <c r="J117" s="1486"/>
      <c r="K117" s="1486"/>
      <c r="L117" s="1486"/>
      <c r="M117" s="1486"/>
      <c r="N117" s="1486"/>
      <c r="O117" s="1486"/>
      <c r="P117" s="1487"/>
      <c r="Q117" s="1486" t="s">
        <v>4428</v>
      </c>
      <c r="R117" s="1486"/>
      <c r="S117" s="1486"/>
      <c r="T117" s="1486"/>
      <c r="U117" s="1486"/>
      <c r="V117" s="1486"/>
      <c r="W117" s="1486"/>
      <c r="X117" s="1486"/>
      <c r="Y117" s="1488"/>
      <c r="Z117" s="1479" t="s">
        <v>555</v>
      </c>
      <c r="AA117" s="1479"/>
      <c r="AB117" s="1479"/>
      <c r="AC117" s="1479"/>
      <c r="AD117" s="1479"/>
      <c r="AE117" s="1480"/>
      <c r="AF117" s="1480"/>
      <c r="AG117" s="1480"/>
      <c r="AH117" s="1480"/>
      <c r="AI117" s="1480"/>
      <c r="AJ117" s="1480"/>
      <c r="AK117" s="1480"/>
      <c r="AL117" s="1480"/>
      <c r="AM117" s="1480"/>
      <c r="AN117" s="1480"/>
      <c r="AO117" s="1480"/>
      <c r="AP117" s="1480"/>
      <c r="AQ117" s="1480"/>
      <c r="AR117" s="1480"/>
      <c r="AS117" s="1480"/>
      <c r="AT117" s="1481"/>
      <c r="AU117" s="160"/>
      <c r="AV117" s="151"/>
      <c r="AW117" s="151"/>
      <c r="AX117" s="151"/>
      <c r="AY117" s="151"/>
      <c r="AZ117" s="151"/>
      <c r="BA117" s="151"/>
      <c r="BB117" s="151"/>
      <c r="BC117" s="151"/>
      <c r="BD117" s="151"/>
      <c r="BE117" s="151"/>
      <c r="BF117" s="152"/>
      <c r="BG117" s="152"/>
      <c r="BH117" s="152"/>
    </row>
    <row r="118" spans="1:72" ht="18.649999999999999" customHeight="1">
      <c r="A118" s="179"/>
      <c r="B118" s="249"/>
      <c r="C118" s="1458" t="s">
        <v>557</v>
      </c>
      <c r="D118" s="1459"/>
      <c r="E118" s="1459"/>
      <c r="F118" s="1459"/>
      <c r="G118" s="1459"/>
      <c r="H118" s="1460"/>
      <c r="I118" s="1434" t="s">
        <v>4429</v>
      </c>
      <c r="J118" s="1435"/>
      <c r="K118" s="1435"/>
      <c r="L118" s="1435"/>
      <c r="M118" s="1435"/>
      <c r="N118" s="1435"/>
      <c r="O118" s="1435"/>
      <c r="P118" s="1436"/>
      <c r="Q118" s="1435" t="s">
        <v>4430</v>
      </c>
      <c r="R118" s="1435"/>
      <c r="S118" s="1435"/>
      <c r="T118" s="1435"/>
      <c r="U118" s="1435"/>
      <c r="V118" s="1435"/>
      <c r="W118" s="1435"/>
      <c r="X118" s="1435"/>
      <c r="Y118" s="1443"/>
      <c r="Z118" s="1433" t="s">
        <v>838</v>
      </c>
      <c r="AA118" s="1433"/>
      <c r="AB118" s="1433"/>
      <c r="AC118" s="1433"/>
      <c r="AD118" s="1433"/>
      <c r="AE118" s="1430" t="s">
        <v>2236</v>
      </c>
      <c r="AF118" s="1431"/>
      <c r="AG118" s="1431"/>
      <c r="AH118" s="1431"/>
      <c r="AI118" s="1431"/>
      <c r="AJ118" s="442" t="s">
        <v>1231</v>
      </c>
      <c r="AK118" s="1431" t="s">
        <v>2237</v>
      </c>
      <c r="AL118" s="1431"/>
      <c r="AM118" s="1431"/>
      <c r="AN118" s="1431"/>
      <c r="AO118" s="442" t="s">
        <v>1182</v>
      </c>
      <c r="AP118" s="1431" t="s">
        <v>2238</v>
      </c>
      <c r="AQ118" s="1431"/>
      <c r="AR118" s="1431"/>
      <c r="AS118" s="1431"/>
      <c r="AT118" s="1432"/>
      <c r="AU118" s="160"/>
      <c r="AV118" s="151" t="str">
        <f>IF(AND(AE118&lt;&gt;"",AK118&lt;&gt;"",AP118&lt;&gt;""),IF(LENB(AE118)+LENB(AK118)+LENB(AP118)&lt;13,"OK","NG"),"OK")</f>
        <v>OK</v>
      </c>
      <c r="AW118" s="151"/>
      <c r="AX118" s="151"/>
      <c r="AY118" s="151"/>
      <c r="AZ118" s="151"/>
      <c r="BA118" s="151"/>
      <c r="BB118" s="151"/>
      <c r="BC118" s="151"/>
      <c r="BD118" s="151"/>
      <c r="BE118" s="151"/>
      <c r="BF118" s="152"/>
      <c r="BG118" s="152"/>
      <c r="BH118" s="152"/>
    </row>
    <row r="119" spans="1:72" ht="18.649999999999999" customHeight="1">
      <c r="A119" s="179"/>
      <c r="B119" s="249"/>
      <c r="C119" s="1482"/>
      <c r="D119" s="1483"/>
      <c r="E119" s="1483"/>
      <c r="F119" s="1483"/>
      <c r="G119" s="1483"/>
      <c r="H119" s="1484"/>
      <c r="I119" s="1437"/>
      <c r="J119" s="1438"/>
      <c r="K119" s="1438"/>
      <c r="L119" s="1438"/>
      <c r="M119" s="1438"/>
      <c r="N119" s="1438"/>
      <c r="O119" s="1438"/>
      <c r="P119" s="1439"/>
      <c r="Q119" s="1438"/>
      <c r="R119" s="1438"/>
      <c r="S119" s="1438"/>
      <c r="T119" s="1438"/>
      <c r="U119" s="1438"/>
      <c r="V119" s="1438"/>
      <c r="W119" s="1438"/>
      <c r="X119" s="1438"/>
      <c r="Y119" s="1444"/>
      <c r="Z119" s="1433" t="s">
        <v>399</v>
      </c>
      <c r="AA119" s="1433"/>
      <c r="AB119" s="1433"/>
      <c r="AC119" s="1433"/>
      <c r="AD119" s="1433"/>
      <c r="AE119" s="1430"/>
      <c r="AF119" s="1431"/>
      <c r="AG119" s="1431"/>
      <c r="AH119" s="1431"/>
      <c r="AI119" s="1431"/>
      <c r="AJ119" s="442" t="s">
        <v>1231</v>
      </c>
      <c r="AK119" s="1431"/>
      <c r="AL119" s="1431"/>
      <c r="AM119" s="1431"/>
      <c r="AN119" s="1431"/>
      <c r="AO119" s="442" t="s">
        <v>1182</v>
      </c>
      <c r="AP119" s="1431"/>
      <c r="AQ119" s="1431"/>
      <c r="AR119" s="1431"/>
      <c r="AS119" s="1431"/>
      <c r="AT119" s="1432"/>
      <c r="AU119" s="160"/>
      <c r="AV119" s="151" t="str">
        <f>IF(AND(AE119&lt;&gt;"",AK119&lt;&gt;"",AP119&lt;&gt;""),IF(LENB(AE119)+LENB(AK119)+LENB(AP119)&lt;13,"OK","NG"),"OK")</f>
        <v>OK</v>
      </c>
      <c r="AW119" s="151"/>
      <c r="AX119" s="151"/>
      <c r="AY119" s="151"/>
      <c r="AZ119" s="151"/>
      <c r="BA119" s="151"/>
      <c r="BB119" s="151"/>
      <c r="BC119" s="151"/>
      <c r="BD119" s="151"/>
      <c r="BE119" s="151"/>
      <c r="BF119" s="152"/>
      <c r="BG119" s="152"/>
      <c r="BH119" s="152"/>
    </row>
    <row r="120" spans="1:72" ht="18.649999999999999" customHeight="1">
      <c r="A120" s="179"/>
      <c r="B120" s="249"/>
      <c r="C120" s="1461"/>
      <c r="D120" s="1462"/>
      <c r="E120" s="1462"/>
      <c r="F120" s="1462"/>
      <c r="G120" s="1462"/>
      <c r="H120" s="1463"/>
      <c r="I120" s="1440"/>
      <c r="J120" s="1441"/>
      <c r="K120" s="1441"/>
      <c r="L120" s="1441"/>
      <c r="M120" s="1441"/>
      <c r="N120" s="1441"/>
      <c r="O120" s="1441"/>
      <c r="P120" s="1442"/>
      <c r="Q120" s="1441"/>
      <c r="R120" s="1441"/>
      <c r="S120" s="1441"/>
      <c r="T120" s="1441"/>
      <c r="U120" s="1441"/>
      <c r="V120" s="1441"/>
      <c r="W120" s="1441"/>
      <c r="X120" s="1441"/>
      <c r="Y120" s="1445"/>
      <c r="Z120" s="1433" t="s">
        <v>773</v>
      </c>
      <c r="AA120" s="1433"/>
      <c r="AB120" s="1433"/>
      <c r="AC120" s="1433"/>
      <c r="AD120" s="1433"/>
      <c r="AE120" s="1402" t="s">
        <v>2241</v>
      </c>
      <c r="AF120" s="1403"/>
      <c r="AG120" s="1403"/>
      <c r="AH120" s="1403"/>
      <c r="AI120" s="1403"/>
      <c r="AJ120" s="1403"/>
      <c r="AK120" s="1403"/>
      <c r="AL120" s="1403"/>
      <c r="AM120" s="1403"/>
      <c r="AN120" s="1403"/>
      <c r="AO120" s="1403"/>
      <c r="AP120" s="1403"/>
      <c r="AQ120" s="1403"/>
      <c r="AR120" s="1403"/>
      <c r="AS120" s="1403"/>
      <c r="AT120" s="1404"/>
      <c r="AU120" s="160"/>
      <c r="AV120" s="151" t="str">
        <f>IF(ISERROR(FIND("@",AE120,FIND("@",AE120,1)+1)),"OK","NG")</f>
        <v>OK</v>
      </c>
      <c r="AW120" s="619" t="str">
        <f>IF(AND(AX120="OK",AY120="OK",AZ120="OK"),"OK","NG")</f>
        <v>OK</v>
      </c>
      <c r="AX120" s="151" t="str">
        <f>IF(COUNTIF(AE120,"*@*"),"OK","NG")</f>
        <v>OK</v>
      </c>
      <c r="AY120" s="151" t="str">
        <f>IF(LEFT(AE120,1)="@","NG","OK")</f>
        <v>OK</v>
      </c>
      <c r="AZ120" s="619" t="str">
        <f>IF(ISERR(FIND(";",AE120)),"OK","NG")</f>
        <v>OK</v>
      </c>
      <c r="BA120" s="151"/>
      <c r="BB120" s="151"/>
      <c r="BC120" s="151"/>
      <c r="BD120" s="151"/>
      <c r="BF120" s="152"/>
      <c r="BG120" s="152"/>
      <c r="BH120" s="152"/>
    </row>
    <row r="121" spans="1:72" ht="18.649999999999999" hidden="1" customHeight="1">
      <c r="A121" s="179"/>
      <c r="B121" s="249"/>
      <c r="C121" s="1449" t="s">
        <v>772</v>
      </c>
      <c r="D121" s="1450"/>
      <c r="E121" s="1450"/>
      <c r="F121" s="1450"/>
      <c r="G121" s="1450"/>
      <c r="H121" s="1451"/>
      <c r="I121" s="1455"/>
      <c r="J121" s="1456"/>
      <c r="K121" s="1456"/>
      <c r="L121" s="1456"/>
      <c r="M121" s="1456"/>
      <c r="N121" s="1456"/>
      <c r="O121" s="1456"/>
      <c r="P121" s="1456"/>
      <c r="Q121" s="1456"/>
      <c r="R121" s="1456"/>
      <c r="S121" s="1456"/>
      <c r="T121" s="1456"/>
      <c r="U121" s="1456"/>
      <c r="V121" s="1456"/>
      <c r="W121" s="1456"/>
      <c r="X121" s="1456"/>
      <c r="Y121" s="1457"/>
      <c r="Z121" s="1433" t="s">
        <v>555</v>
      </c>
      <c r="AA121" s="1433"/>
      <c r="AB121" s="1433"/>
      <c r="AC121" s="1433"/>
      <c r="AD121" s="1433"/>
      <c r="AE121" s="1447"/>
      <c r="AF121" s="1447"/>
      <c r="AG121" s="1447"/>
      <c r="AH121" s="1447"/>
      <c r="AI121" s="1447"/>
      <c r="AJ121" s="1447"/>
      <c r="AK121" s="1447"/>
      <c r="AL121" s="1447"/>
      <c r="AM121" s="1447"/>
      <c r="AN121" s="1447"/>
      <c r="AO121" s="1447"/>
      <c r="AP121" s="1447"/>
      <c r="AQ121" s="1447"/>
      <c r="AR121" s="1447"/>
      <c r="AS121" s="1447"/>
      <c r="AT121" s="1448"/>
      <c r="AU121" s="160"/>
      <c r="AV121" s="151"/>
      <c r="AW121" s="151"/>
      <c r="AX121" s="151"/>
      <c r="AY121" s="151"/>
      <c r="AZ121" s="431" t="s">
        <v>1073</v>
      </c>
      <c r="BA121" s="151"/>
      <c r="BB121" s="151"/>
      <c r="BC121" s="151"/>
      <c r="BD121" s="151"/>
    </row>
    <row r="122" spans="1:72" ht="18.649999999999999" hidden="1" customHeight="1">
      <c r="A122" s="179"/>
      <c r="B122" s="249"/>
      <c r="C122" s="1458" t="s">
        <v>560</v>
      </c>
      <c r="D122" s="1459"/>
      <c r="E122" s="1459"/>
      <c r="F122" s="1459"/>
      <c r="G122" s="1459"/>
      <c r="H122" s="1460"/>
      <c r="I122" s="1464"/>
      <c r="J122" s="1465"/>
      <c r="K122" s="1465"/>
      <c r="L122" s="1465"/>
      <c r="M122" s="1465"/>
      <c r="N122" s="1465"/>
      <c r="O122" s="1465"/>
      <c r="P122" s="1465"/>
      <c r="Q122" s="1465"/>
      <c r="R122" s="1465"/>
      <c r="S122" s="1465"/>
      <c r="T122" s="1465"/>
      <c r="U122" s="1465"/>
      <c r="V122" s="1465"/>
      <c r="W122" s="1465"/>
      <c r="X122" s="1465"/>
      <c r="Y122" s="1466"/>
      <c r="Z122" s="1433" t="s">
        <v>398</v>
      </c>
      <c r="AA122" s="1433"/>
      <c r="AB122" s="1433"/>
      <c r="AC122" s="1433"/>
      <c r="AD122" s="1433"/>
      <c r="AE122" s="1430"/>
      <c r="AF122" s="1431"/>
      <c r="AG122" s="1431"/>
      <c r="AH122" s="1431"/>
      <c r="AI122" s="1431"/>
      <c r="AJ122" s="442" t="s">
        <v>1182</v>
      </c>
      <c r="AK122" s="1431"/>
      <c r="AL122" s="1431"/>
      <c r="AM122" s="1431"/>
      <c r="AN122" s="1431"/>
      <c r="AO122" s="442" t="s">
        <v>1182</v>
      </c>
      <c r="AP122" s="1431"/>
      <c r="AQ122" s="1431"/>
      <c r="AR122" s="1431"/>
      <c r="AS122" s="1431"/>
      <c r="AT122" s="1432"/>
      <c r="AU122" s="160"/>
      <c r="AV122" s="151" t="str">
        <f>IF(AND(AE122&lt;&gt;"",AK122&lt;&gt;"",AP122&lt;&gt;""),IF(LENB(AE122)+LENB(AK122)+LENB(AP122)&lt;13,"OK","NG"),"OK")</f>
        <v>OK</v>
      </c>
      <c r="AW122" s="151"/>
      <c r="AX122" s="151"/>
      <c r="AY122" s="151"/>
      <c r="AZ122" s="431" t="s">
        <v>1073</v>
      </c>
      <c r="BA122" s="151"/>
      <c r="BB122" s="151"/>
      <c r="BC122" s="151"/>
      <c r="BD122" s="151"/>
    </row>
    <row r="123" spans="1:72" ht="18.649999999999999" hidden="1" customHeight="1">
      <c r="A123" s="179"/>
      <c r="B123" s="249"/>
      <c r="C123" s="1461"/>
      <c r="D123" s="1462"/>
      <c r="E123" s="1462"/>
      <c r="F123" s="1462"/>
      <c r="G123" s="1462"/>
      <c r="H123" s="1463"/>
      <c r="I123" s="1467"/>
      <c r="J123" s="1468"/>
      <c r="K123" s="1468"/>
      <c r="L123" s="1468"/>
      <c r="M123" s="1468"/>
      <c r="N123" s="1468"/>
      <c r="O123" s="1468"/>
      <c r="P123" s="1468"/>
      <c r="Q123" s="1468"/>
      <c r="R123" s="1468"/>
      <c r="S123" s="1468"/>
      <c r="T123" s="1468"/>
      <c r="U123" s="1468"/>
      <c r="V123" s="1468"/>
      <c r="W123" s="1468"/>
      <c r="X123" s="1468"/>
      <c r="Y123" s="1469"/>
      <c r="Z123" s="1433" t="s">
        <v>773</v>
      </c>
      <c r="AA123" s="1433"/>
      <c r="AB123" s="1433"/>
      <c r="AC123" s="1433"/>
      <c r="AD123" s="1433"/>
      <c r="AE123" s="1446"/>
      <c r="AF123" s="1447"/>
      <c r="AG123" s="1447"/>
      <c r="AH123" s="1447"/>
      <c r="AI123" s="1447"/>
      <c r="AJ123" s="1447"/>
      <c r="AK123" s="1447"/>
      <c r="AL123" s="1447"/>
      <c r="AM123" s="1447"/>
      <c r="AN123" s="1447"/>
      <c r="AO123" s="1447"/>
      <c r="AP123" s="1447"/>
      <c r="AQ123" s="1447"/>
      <c r="AR123" s="1447"/>
      <c r="AS123" s="1447"/>
      <c r="AT123" s="1448"/>
      <c r="AU123" s="160"/>
      <c r="AV123" s="151"/>
      <c r="AW123" s="151"/>
      <c r="AX123" s="151"/>
      <c r="AY123" s="151"/>
      <c r="AZ123" s="431" t="s">
        <v>1073</v>
      </c>
      <c r="BA123" s="151"/>
    </row>
    <row r="124" spans="1:72" ht="18.649999999999999" customHeight="1">
      <c r="A124" s="179"/>
      <c r="B124" s="249"/>
      <c r="C124" s="1449" t="s">
        <v>772</v>
      </c>
      <c r="D124" s="1450"/>
      <c r="E124" s="1450"/>
      <c r="F124" s="1450"/>
      <c r="G124" s="1450"/>
      <c r="H124" s="1451"/>
      <c r="I124" s="1470" t="s">
        <v>4431</v>
      </c>
      <c r="J124" s="1471"/>
      <c r="K124" s="1471"/>
      <c r="L124" s="1471"/>
      <c r="M124" s="1471"/>
      <c r="N124" s="1471"/>
      <c r="O124" s="1471"/>
      <c r="P124" s="1472"/>
      <c r="Q124" s="1471" t="s">
        <v>4432</v>
      </c>
      <c r="R124" s="1471"/>
      <c r="S124" s="1471"/>
      <c r="T124" s="1471"/>
      <c r="U124" s="1471"/>
      <c r="V124" s="1471"/>
      <c r="W124" s="1471"/>
      <c r="X124" s="1471"/>
      <c r="Y124" s="1473"/>
      <c r="Z124" s="1452" t="s">
        <v>555</v>
      </c>
      <c r="AA124" s="1452"/>
      <c r="AB124" s="1452"/>
      <c r="AC124" s="1452"/>
      <c r="AD124" s="1452"/>
      <c r="AE124" s="1453"/>
      <c r="AF124" s="1453"/>
      <c r="AG124" s="1453"/>
      <c r="AH124" s="1453"/>
      <c r="AI124" s="1453"/>
      <c r="AJ124" s="1453"/>
      <c r="AK124" s="1453"/>
      <c r="AL124" s="1453"/>
      <c r="AM124" s="1453"/>
      <c r="AN124" s="1453"/>
      <c r="AO124" s="1453"/>
      <c r="AP124" s="1453"/>
      <c r="AQ124" s="1453"/>
      <c r="AR124" s="1453"/>
      <c r="AS124" s="1453"/>
      <c r="AT124" s="1454"/>
      <c r="AU124" s="160"/>
      <c r="AV124" s="151"/>
      <c r="AW124" s="151"/>
      <c r="AX124" s="151"/>
      <c r="AY124" s="151"/>
    </row>
    <row r="125" spans="1:72" ht="18.649999999999999" customHeight="1">
      <c r="A125" s="179"/>
      <c r="B125" s="249"/>
      <c r="C125" s="1424" t="s">
        <v>562</v>
      </c>
      <c r="D125" s="1425"/>
      <c r="E125" s="1425"/>
      <c r="F125" s="1425"/>
      <c r="G125" s="1425"/>
      <c r="H125" s="1426"/>
      <c r="I125" s="1434" t="s">
        <v>4433</v>
      </c>
      <c r="J125" s="1435"/>
      <c r="K125" s="1435"/>
      <c r="L125" s="1435"/>
      <c r="M125" s="1435"/>
      <c r="N125" s="1435"/>
      <c r="O125" s="1435"/>
      <c r="P125" s="1436"/>
      <c r="Q125" s="1435" t="s">
        <v>4434</v>
      </c>
      <c r="R125" s="1435"/>
      <c r="S125" s="1435"/>
      <c r="T125" s="1435"/>
      <c r="U125" s="1435"/>
      <c r="V125" s="1435"/>
      <c r="W125" s="1435"/>
      <c r="X125" s="1435"/>
      <c r="Y125" s="1443"/>
      <c r="Z125" s="1399" t="s">
        <v>398</v>
      </c>
      <c r="AA125" s="1400"/>
      <c r="AB125" s="1400"/>
      <c r="AC125" s="1400"/>
      <c r="AD125" s="1401"/>
      <c r="AE125" s="1430" t="s">
        <v>2239</v>
      </c>
      <c r="AF125" s="1431"/>
      <c r="AG125" s="1431"/>
      <c r="AH125" s="1431"/>
      <c r="AI125" s="1431"/>
      <c r="AJ125" s="442" t="s">
        <v>1231</v>
      </c>
      <c r="AK125" s="1431" t="s">
        <v>1964</v>
      </c>
      <c r="AL125" s="1431"/>
      <c r="AM125" s="1431"/>
      <c r="AN125" s="1431"/>
      <c r="AO125" s="442" t="s">
        <v>1182</v>
      </c>
      <c r="AP125" s="1431" t="s">
        <v>2240</v>
      </c>
      <c r="AQ125" s="1431"/>
      <c r="AR125" s="1431"/>
      <c r="AS125" s="1431"/>
      <c r="AT125" s="1432"/>
      <c r="AU125" s="160"/>
      <c r="AV125" s="151" t="str">
        <f>IF(AND(AE125&lt;&gt;"",AK125&lt;&gt;"",AP125&lt;&gt;""),IF(LENB(AE125)+LENB(AK125)+LENB(AP125)&lt;13,"OK","NG"),"OK")</f>
        <v>OK</v>
      </c>
      <c r="AW125" s="151"/>
      <c r="AX125" s="151"/>
      <c r="AY125" s="151"/>
    </row>
    <row r="126" spans="1:72" ht="18.649999999999999" customHeight="1">
      <c r="A126" s="179"/>
      <c r="B126" s="249"/>
      <c r="C126" s="1409"/>
      <c r="D126" s="1410"/>
      <c r="E126" s="1410"/>
      <c r="F126" s="1410"/>
      <c r="G126" s="1410"/>
      <c r="H126" s="1411"/>
      <c r="I126" s="1437"/>
      <c r="J126" s="1438"/>
      <c r="K126" s="1438"/>
      <c r="L126" s="1438"/>
      <c r="M126" s="1438"/>
      <c r="N126" s="1438"/>
      <c r="O126" s="1438"/>
      <c r="P126" s="1439"/>
      <c r="Q126" s="1438"/>
      <c r="R126" s="1438"/>
      <c r="S126" s="1438"/>
      <c r="T126" s="1438"/>
      <c r="U126" s="1438"/>
      <c r="V126" s="1438"/>
      <c r="W126" s="1438"/>
      <c r="X126" s="1438"/>
      <c r="Y126" s="1444"/>
      <c r="Z126" s="1433" t="s">
        <v>399</v>
      </c>
      <c r="AA126" s="1433"/>
      <c r="AB126" s="1433"/>
      <c r="AC126" s="1433"/>
      <c r="AD126" s="1433"/>
      <c r="AE126" s="1430"/>
      <c r="AF126" s="1431"/>
      <c r="AG126" s="1431"/>
      <c r="AH126" s="1431"/>
      <c r="AI126" s="1431"/>
      <c r="AJ126" s="442" t="s">
        <v>1231</v>
      </c>
      <c r="AK126" s="1431"/>
      <c r="AL126" s="1431"/>
      <c r="AM126" s="1431"/>
      <c r="AN126" s="1431"/>
      <c r="AO126" s="442" t="s">
        <v>1182</v>
      </c>
      <c r="AP126" s="1431"/>
      <c r="AQ126" s="1431"/>
      <c r="AR126" s="1431"/>
      <c r="AS126" s="1431"/>
      <c r="AT126" s="1432"/>
      <c r="AU126" s="160"/>
      <c r="AV126" s="151" t="str">
        <f>IF(AND(AE126&lt;&gt;"",AK126&lt;&gt;"",AP126&lt;&gt;""),IF(LENB(AE126)+LENB(AK126)+LENB(AP126)&lt;13,"OK","NG"),"OK")</f>
        <v>OK</v>
      </c>
      <c r="AW126" s="151"/>
      <c r="AX126" s="151"/>
      <c r="AY126" s="151"/>
    </row>
    <row r="127" spans="1:72" ht="18.649999999999999" customHeight="1">
      <c r="A127" s="179"/>
      <c r="B127" s="249"/>
      <c r="C127" s="1427"/>
      <c r="D127" s="1428"/>
      <c r="E127" s="1428"/>
      <c r="F127" s="1428"/>
      <c r="G127" s="1428"/>
      <c r="H127" s="1429"/>
      <c r="I127" s="1440"/>
      <c r="J127" s="1441"/>
      <c r="K127" s="1441"/>
      <c r="L127" s="1441"/>
      <c r="M127" s="1441"/>
      <c r="N127" s="1441"/>
      <c r="O127" s="1441"/>
      <c r="P127" s="1442"/>
      <c r="Q127" s="1441"/>
      <c r="R127" s="1441"/>
      <c r="S127" s="1441"/>
      <c r="T127" s="1441"/>
      <c r="U127" s="1441"/>
      <c r="V127" s="1441"/>
      <c r="W127" s="1441"/>
      <c r="X127" s="1441"/>
      <c r="Y127" s="1445"/>
      <c r="Z127" s="1399" t="s">
        <v>773</v>
      </c>
      <c r="AA127" s="1400"/>
      <c r="AB127" s="1400"/>
      <c r="AC127" s="1400"/>
      <c r="AD127" s="1401"/>
      <c r="AE127" s="1402" t="s">
        <v>2242</v>
      </c>
      <c r="AF127" s="1403"/>
      <c r="AG127" s="1403"/>
      <c r="AH127" s="1403"/>
      <c r="AI127" s="1403"/>
      <c r="AJ127" s="1403"/>
      <c r="AK127" s="1403"/>
      <c r="AL127" s="1403"/>
      <c r="AM127" s="1403"/>
      <c r="AN127" s="1403"/>
      <c r="AO127" s="1403"/>
      <c r="AP127" s="1403"/>
      <c r="AQ127" s="1403"/>
      <c r="AR127" s="1403"/>
      <c r="AS127" s="1403"/>
      <c r="AT127" s="1404"/>
      <c r="AU127" s="160"/>
      <c r="AV127" s="182" t="str">
        <f>IF(ISERROR(FIND("@",AE127,FIND("@",AE127,1)+1)),"OK","NG")</f>
        <v>OK</v>
      </c>
      <c r="AW127" s="619" t="str">
        <f>IF(AND(AX127="OK",AY127="OK",AZ127="OK"),"OK","NG")</f>
        <v>OK</v>
      </c>
      <c r="AX127" s="151" t="str">
        <f>IF(COUNTIF(AE127,"*@*"),"OK","NG")</f>
        <v>OK</v>
      </c>
      <c r="AY127" s="151" t="str">
        <f>IF(LEFT(AE127,1)="@","NG","OK")</f>
        <v>OK</v>
      </c>
      <c r="AZ127" s="619" t="str">
        <f>IF(ISERR(FIND(";",AE127)),"OK","NG")</f>
        <v>OK</v>
      </c>
    </row>
    <row r="128" spans="1:72" ht="18.649999999999999" customHeight="1" thickBot="1">
      <c r="A128" s="179"/>
      <c r="B128" s="249"/>
      <c r="C128" s="1405" t="s">
        <v>840</v>
      </c>
      <c r="D128" s="1406"/>
      <c r="E128" s="1406"/>
      <c r="F128" s="1406"/>
      <c r="G128" s="1406"/>
      <c r="H128" s="1407"/>
      <c r="I128" s="587"/>
      <c r="J128" s="588"/>
      <c r="K128" s="1408" t="s">
        <v>996</v>
      </c>
      <c r="L128" s="1408"/>
      <c r="M128" s="1408"/>
      <c r="N128" s="1408"/>
      <c r="O128" s="1408"/>
      <c r="P128" s="1408"/>
      <c r="Q128" s="1408"/>
      <c r="R128" s="1408"/>
      <c r="S128" s="1408"/>
      <c r="T128" s="1408"/>
      <c r="U128" s="588"/>
      <c r="V128" s="588"/>
      <c r="W128" s="1408" t="s">
        <v>841</v>
      </c>
      <c r="X128" s="1408"/>
      <c r="Y128" s="1408"/>
      <c r="Z128" s="1408"/>
      <c r="AA128" s="1408"/>
      <c r="AB128" s="1408"/>
      <c r="AC128" s="1408"/>
      <c r="AD128" s="1408"/>
      <c r="AE128" s="1408"/>
      <c r="AF128" s="1408"/>
      <c r="AG128" s="589"/>
      <c r="AH128" s="589"/>
      <c r="AI128" s="589"/>
      <c r="AJ128" s="589"/>
      <c r="AK128" s="589"/>
      <c r="AL128" s="589"/>
      <c r="AM128" s="589"/>
      <c r="AN128" s="589"/>
      <c r="AO128" s="589"/>
      <c r="AP128" s="589"/>
      <c r="AQ128" s="589"/>
      <c r="AR128" s="589"/>
      <c r="AS128" s="589"/>
      <c r="AT128" s="590"/>
      <c r="AU128" s="160"/>
      <c r="AV128" s="151">
        <v>1</v>
      </c>
      <c r="AW128" s="151"/>
      <c r="AX128" s="151"/>
      <c r="AY128" s="151"/>
    </row>
    <row r="129" spans="1:52" ht="18.649999999999999" hidden="1" customHeight="1">
      <c r="A129" s="179"/>
      <c r="B129" s="249"/>
      <c r="C129" s="1405" t="s">
        <v>839</v>
      </c>
      <c r="D129" s="1406"/>
      <c r="E129" s="1406"/>
      <c r="F129" s="1406"/>
      <c r="G129" s="1406"/>
      <c r="H129" s="1407"/>
      <c r="I129" s="591" t="s">
        <v>774</v>
      </c>
      <c r="J129" s="1415"/>
      <c r="K129" s="1415"/>
      <c r="L129" s="710" t="s">
        <v>775</v>
      </c>
      <c r="M129" s="1415"/>
      <c r="N129" s="1415"/>
      <c r="O129" s="1416"/>
      <c r="P129" s="1416"/>
      <c r="Q129" s="1416"/>
      <c r="R129" s="1416"/>
      <c r="S129" s="1416"/>
      <c r="T129" s="1416"/>
      <c r="U129" s="1416"/>
      <c r="V129" s="1416"/>
      <c r="W129" s="1416"/>
      <c r="X129" s="1416"/>
      <c r="Y129" s="1416"/>
      <c r="Z129" s="1416"/>
      <c r="AA129" s="1416"/>
      <c r="AB129" s="1416"/>
      <c r="AC129" s="1416"/>
      <c r="AD129" s="1416"/>
      <c r="AE129" s="1416"/>
      <c r="AF129" s="1416"/>
      <c r="AG129" s="1416"/>
      <c r="AH129" s="1416"/>
      <c r="AI129" s="1416"/>
      <c r="AJ129" s="1416"/>
      <c r="AK129" s="1416"/>
      <c r="AL129" s="1416"/>
      <c r="AM129" s="1416"/>
      <c r="AN129" s="1416"/>
      <c r="AO129" s="1416"/>
      <c r="AP129" s="1416"/>
      <c r="AQ129" s="1416"/>
      <c r="AR129" s="1416"/>
      <c r="AS129" s="1416"/>
      <c r="AT129" s="1417"/>
      <c r="AU129" s="160"/>
      <c r="AV129" s="151"/>
      <c r="AW129" s="151"/>
      <c r="AX129" s="151"/>
      <c r="AY129" s="151"/>
      <c r="AZ129" s="431" t="s">
        <v>1073</v>
      </c>
    </row>
    <row r="130" spans="1:52" ht="18.649999999999999" hidden="1" customHeight="1">
      <c r="A130" s="179"/>
      <c r="B130" s="249"/>
      <c r="C130" s="1409"/>
      <c r="D130" s="1410"/>
      <c r="E130" s="1410"/>
      <c r="F130" s="1410"/>
      <c r="G130" s="1410"/>
      <c r="H130" s="1411"/>
      <c r="I130" s="1418"/>
      <c r="J130" s="1419"/>
      <c r="K130" s="1419"/>
      <c r="L130" s="1419"/>
      <c r="M130" s="1419"/>
      <c r="N130" s="1419"/>
      <c r="O130" s="1419"/>
      <c r="P130" s="1419"/>
      <c r="Q130" s="1419"/>
      <c r="R130" s="1419"/>
      <c r="S130" s="1419"/>
      <c r="T130" s="1419"/>
      <c r="U130" s="1419"/>
      <c r="V130" s="1419"/>
      <c r="W130" s="1419"/>
      <c r="X130" s="1419"/>
      <c r="Y130" s="1419"/>
      <c r="Z130" s="1419"/>
      <c r="AA130" s="1419"/>
      <c r="AB130" s="1419"/>
      <c r="AC130" s="1419"/>
      <c r="AD130" s="1419"/>
      <c r="AE130" s="1419"/>
      <c r="AF130" s="1419"/>
      <c r="AG130" s="1419"/>
      <c r="AH130" s="1419"/>
      <c r="AI130" s="1419"/>
      <c r="AJ130" s="1419"/>
      <c r="AK130" s="1419"/>
      <c r="AL130" s="1419"/>
      <c r="AM130" s="1419"/>
      <c r="AN130" s="1419"/>
      <c r="AO130" s="1419"/>
      <c r="AP130" s="1419"/>
      <c r="AQ130" s="1419"/>
      <c r="AR130" s="1419"/>
      <c r="AS130" s="1419"/>
      <c r="AT130" s="1420"/>
      <c r="AU130" s="160"/>
      <c r="AV130" s="151"/>
      <c r="AW130" s="151"/>
      <c r="AX130" s="151"/>
      <c r="AY130" s="151"/>
      <c r="AZ130" s="431" t="s">
        <v>1073</v>
      </c>
    </row>
    <row r="131" spans="1:52" ht="18.649999999999999" hidden="1" customHeight="1" thickBot="1">
      <c r="A131" s="179"/>
      <c r="B131" s="249"/>
      <c r="C131" s="1412"/>
      <c r="D131" s="1413"/>
      <c r="E131" s="1413"/>
      <c r="F131" s="1413"/>
      <c r="G131" s="1413"/>
      <c r="H131" s="1414"/>
      <c r="I131" s="1421"/>
      <c r="J131" s="1422"/>
      <c r="K131" s="1422"/>
      <c r="L131" s="1422"/>
      <c r="M131" s="1422"/>
      <c r="N131" s="1422"/>
      <c r="O131" s="1422"/>
      <c r="P131" s="1422"/>
      <c r="Q131" s="1422"/>
      <c r="R131" s="1422"/>
      <c r="S131" s="1422"/>
      <c r="T131" s="1422"/>
      <c r="U131" s="1422"/>
      <c r="V131" s="1422"/>
      <c r="W131" s="1422"/>
      <c r="X131" s="1422"/>
      <c r="Y131" s="1422"/>
      <c r="Z131" s="1422"/>
      <c r="AA131" s="1422"/>
      <c r="AB131" s="1422"/>
      <c r="AC131" s="1422"/>
      <c r="AD131" s="1422"/>
      <c r="AE131" s="1422"/>
      <c r="AF131" s="1422"/>
      <c r="AG131" s="1422"/>
      <c r="AH131" s="1422"/>
      <c r="AI131" s="1422"/>
      <c r="AJ131" s="1422"/>
      <c r="AK131" s="1422"/>
      <c r="AL131" s="1422"/>
      <c r="AM131" s="1422"/>
      <c r="AN131" s="1422"/>
      <c r="AO131" s="1422"/>
      <c r="AP131" s="1422"/>
      <c r="AQ131" s="1422"/>
      <c r="AR131" s="1422"/>
      <c r="AS131" s="1422"/>
      <c r="AT131" s="1423"/>
      <c r="AU131" s="160"/>
      <c r="AV131" s="151"/>
      <c r="AW131" s="151"/>
      <c r="AZ131" s="431" t="s">
        <v>1073</v>
      </c>
    </row>
    <row r="132" spans="1:52" ht="18" customHeight="1" thickBot="1">
      <c r="A132" s="179"/>
      <c r="B132" s="249"/>
      <c r="C132" s="592"/>
      <c r="D132" s="592"/>
      <c r="E132" s="592"/>
      <c r="F132" s="592"/>
      <c r="G132" s="592"/>
      <c r="H132" s="592"/>
      <c r="I132" s="601"/>
      <c r="J132" s="601"/>
      <c r="K132" s="601"/>
      <c r="L132" s="601"/>
      <c r="M132" s="601"/>
      <c r="N132" s="601"/>
      <c r="O132" s="601"/>
      <c r="P132" s="601"/>
      <c r="Q132" s="601"/>
      <c r="R132" s="601"/>
      <c r="S132" s="601"/>
      <c r="T132" s="601"/>
      <c r="U132" s="601"/>
      <c r="V132" s="601"/>
      <c r="W132" s="601"/>
      <c r="X132" s="601"/>
      <c r="Y132" s="601"/>
      <c r="Z132" s="601"/>
      <c r="AA132" s="601"/>
      <c r="AB132" s="601"/>
      <c r="AC132" s="601"/>
      <c r="AD132" s="601"/>
      <c r="AE132" s="601"/>
      <c r="AF132" s="601"/>
      <c r="AG132" s="601"/>
      <c r="AH132" s="601"/>
      <c r="AI132" s="601"/>
      <c r="AJ132" s="601"/>
      <c r="AK132" s="601"/>
      <c r="AL132" s="601"/>
      <c r="AM132" s="601"/>
      <c r="AN132" s="601"/>
      <c r="AO132" s="601"/>
      <c r="AP132" s="601"/>
      <c r="AQ132" s="601"/>
      <c r="AR132" s="601"/>
      <c r="AS132" s="601"/>
      <c r="AT132" s="601"/>
      <c r="AU132" s="160"/>
      <c r="AV132" s="151"/>
    </row>
    <row r="133" spans="1:52" ht="18" customHeight="1">
      <c r="A133" s="179"/>
      <c r="B133" s="249"/>
      <c r="C133" s="1389" t="s">
        <v>776</v>
      </c>
      <c r="D133" s="1390"/>
      <c r="E133" s="1390"/>
      <c r="F133" s="1390"/>
      <c r="G133" s="1390"/>
      <c r="H133" s="1391"/>
      <c r="I133" s="1395" t="s">
        <v>2017</v>
      </c>
      <c r="J133" s="1395"/>
      <c r="K133" s="1395"/>
      <c r="L133" s="1395"/>
      <c r="M133" s="1395"/>
      <c r="N133" s="1395"/>
      <c r="O133" s="1395"/>
      <c r="P133" s="1395"/>
      <c r="Q133" s="1395"/>
      <c r="R133" s="1395"/>
      <c r="S133" s="1395"/>
      <c r="T133" s="1395"/>
      <c r="U133" s="1395"/>
      <c r="V133" s="1395"/>
      <c r="W133" s="1395"/>
      <c r="X133" s="1395"/>
      <c r="Y133" s="1395"/>
      <c r="Z133" s="1395"/>
      <c r="AA133" s="1395"/>
      <c r="AB133" s="1395"/>
      <c r="AC133" s="1395"/>
      <c r="AD133" s="1395"/>
      <c r="AE133" s="1395"/>
      <c r="AF133" s="1395"/>
      <c r="AG133" s="1395"/>
      <c r="AH133" s="1395"/>
      <c r="AI133" s="1395"/>
      <c r="AJ133" s="1395"/>
      <c r="AK133" s="1395"/>
      <c r="AL133" s="1395"/>
      <c r="AM133" s="1395"/>
      <c r="AN133" s="1395"/>
      <c r="AO133" s="1395"/>
      <c r="AP133" s="1395"/>
      <c r="AQ133" s="1395"/>
      <c r="AR133" s="1395"/>
      <c r="AS133" s="1395"/>
      <c r="AT133" s="1396"/>
      <c r="AU133" s="183"/>
    </row>
    <row r="134" spans="1:52" ht="18.649999999999999" customHeight="1">
      <c r="A134" s="179"/>
      <c r="B134" s="249"/>
      <c r="C134" s="1389"/>
      <c r="D134" s="1390"/>
      <c r="E134" s="1390"/>
      <c r="F134" s="1390"/>
      <c r="G134" s="1390"/>
      <c r="H134" s="1391"/>
      <c r="I134" s="1395"/>
      <c r="J134" s="1395"/>
      <c r="K134" s="1395"/>
      <c r="L134" s="1395"/>
      <c r="M134" s="1395"/>
      <c r="N134" s="1395"/>
      <c r="O134" s="1395"/>
      <c r="P134" s="1395"/>
      <c r="Q134" s="1395"/>
      <c r="R134" s="1395"/>
      <c r="S134" s="1395"/>
      <c r="T134" s="1395"/>
      <c r="U134" s="1395"/>
      <c r="V134" s="1395"/>
      <c r="W134" s="1395"/>
      <c r="X134" s="1395"/>
      <c r="Y134" s="1395"/>
      <c r="Z134" s="1395"/>
      <c r="AA134" s="1395"/>
      <c r="AB134" s="1395"/>
      <c r="AC134" s="1395"/>
      <c r="AD134" s="1395"/>
      <c r="AE134" s="1395"/>
      <c r="AF134" s="1395"/>
      <c r="AG134" s="1395"/>
      <c r="AH134" s="1395"/>
      <c r="AI134" s="1395"/>
      <c r="AJ134" s="1395"/>
      <c r="AK134" s="1395"/>
      <c r="AL134" s="1395"/>
      <c r="AM134" s="1395"/>
      <c r="AN134" s="1395"/>
      <c r="AO134" s="1395"/>
      <c r="AP134" s="1395"/>
      <c r="AQ134" s="1395"/>
      <c r="AR134" s="1395"/>
      <c r="AS134" s="1395"/>
      <c r="AT134" s="1396"/>
      <c r="AU134" s="183"/>
    </row>
    <row r="135" spans="1:52" ht="18.649999999999999" customHeight="1">
      <c r="A135" s="179"/>
      <c r="B135" s="249"/>
      <c r="C135" s="1389"/>
      <c r="D135" s="1390"/>
      <c r="E135" s="1390"/>
      <c r="F135" s="1390"/>
      <c r="G135" s="1390"/>
      <c r="H135" s="1391"/>
      <c r="I135" s="1395"/>
      <c r="J135" s="1395"/>
      <c r="K135" s="1395"/>
      <c r="L135" s="1395"/>
      <c r="M135" s="1395"/>
      <c r="N135" s="1395"/>
      <c r="O135" s="1395"/>
      <c r="P135" s="1395"/>
      <c r="Q135" s="1395"/>
      <c r="R135" s="1395"/>
      <c r="S135" s="1395"/>
      <c r="T135" s="1395"/>
      <c r="U135" s="1395"/>
      <c r="V135" s="1395"/>
      <c r="W135" s="1395"/>
      <c r="X135" s="1395"/>
      <c r="Y135" s="1395"/>
      <c r="Z135" s="1395"/>
      <c r="AA135" s="1395"/>
      <c r="AB135" s="1395"/>
      <c r="AC135" s="1395"/>
      <c r="AD135" s="1395"/>
      <c r="AE135" s="1395"/>
      <c r="AF135" s="1395"/>
      <c r="AG135" s="1395"/>
      <c r="AH135" s="1395"/>
      <c r="AI135" s="1395"/>
      <c r="AJ135" s="1395"/>
      <c r="AK135" s="1395"/>
      <c r="AL135" s="1395"/>
      <c r="AM135" s="1395"/>
      <c r="AN135" s="1395"/>
      <c r="AO135" s="1395"/>
      <c r="AP135" s="1395"/>
      <c r="AQ135" s="1395"/>
      <c r="AR135" s="1395"/>
      <c r="AS135" s="1395"/>
      <c r="AT135" s="1396"/>
      <c r="AU135" s="183"/>
    </row>
    <row r="136" spans="1:52" ht="18.649999999999999" customHeight="1">
      <c r="A136" s="179"/>
      <c r="B136" s="249"/>
      <c r="C136" s="1389"/>
      <c r="D136" s="1390"/>
      <c r="E136" s="1390"/>
      <c r="F136" s="1390"/>
      <c r="G136" s="1390"/>
      <c r="H136" s="1391"/>
      <c r="I136" s="1395"/>
      <c r="J136" s="1395"/>
      <c r="K136" s="1395"/>
      <c r="L136" s="1395"/>
      <c r="M136" s="1395"/>
      <c r="N136" s="1395"/>
      <c r="O136" s="1395"/>
      <c r="P136" s="1395"/>
      <c r="Q136" s="1395"/>
      <c r="R136" s="1395"/>
      <c r="S136" s="1395"/>
      <c r="T136" s="1395"/>
      <c r="U136" s="1395"/>
      <c r="V136" s="1395"/>
      <c r="W136" s="1395"/>
      <c r="X136" s="1395"/>
      <c r="Y136" s="1395"/>
      <c r="Z136" s="1395"/>
      <c r="AA136" s="1395"/>
      <c r="AB136" s="1395"/>
      <c r="AC136" s="1395"/>
      <c r="AD136" s="1395"/>
      <c r="AE136" s="1395"/>
      <c r="AF136" s="1395"/>
      <c r="AG136" s="1395"/>
      <c r="AH136" s="1395"/>
      <c r="AI136" s="1395"/>
      <c r="AJ136" s="1395"/>
      <c r="AK136" s="1395"/>
      <c r="AL136" s="1395"/>
      <c r="AM136" s="1395"/>
      <c r="AN136" s="1395"/>
      <c r="AO136" s="1395"/>
      <c r="AP136" s="1395"/>
      <c r="AQ136" s="1395"/>
      <c r="AR136" s="1395"/>
      <c r="AS136" s="1395"/>
      <c r="AT136" s="1396"/>
      <c r="AU136" s="183"/>
    </row>
    <row r="137" spans="1:52" ht="18.649999999999999" customHeight="1">
      <c r="A137" s="179"/>
      <c r="B137" s="249"/>
      <c r="C137" s="1389"/>
      <c r="D137" s="1390"/>
      <c r="E137" s="1390"/>
      <c r="F137" s="1390"/>
      <c r="G137" s="1390"/>
      <c r="H137" s="1391"/>
      <c r="I137" s="1395"/>
      <c r="J137" s="1395"/>
      <c r="K137" s="1395"/>
      <c r="L137" s="1395"/>
      <c r="M137" s="1395"/>
      <c r="N137" s="1395"/>
      <c r="O137" s="1395"/>
      <c r="P137" s="1395"/>
      <c r="Q137" s="1395"/>
      <c r="R137" s="1395"/>
      <c r="S137" s="1395"/>
      <c r="T137" s="1395"/>
      <c r="U137" s="1395"/>
      <c r="V137" s="1395"/>
      <c r="W137" s="1395"/>
      <c r="X137" s="1395"/>
      <c r="Y137" s="1395"/>
      <c r="Z137" s="1395"/>
      <c r="AA137" s="1395"/>
      <c r="AB137" s="1395"/>
      <c r="AC137" s="1395"/>
      <c r="AD137" s="1395"/>
      <c r="AE137" s="1395"/>
      <c r="AF137" s="1395"/>
      <c r="AG137" s="1395"/>
      <c r="AH137" s="1395"/>
      <c r="AI137" s="1395"/>
      <c r="AJ137" s="1395"/>
      <c r="AK137" s="1395"/>
      <c r="AL137" s="1395"/>
      <c r="AM137" s="1395"/>
      <c r="AN137" s="1395"/>
      <c r="AO137" s="1395"/>
      <c r="AP137" s="1395"/>
      <c r="AQ137" s="1395"/>
      <c r="AR137" s="1395"/>
      <c r="AS137" s="1395"/>
      <c r="AT137" s="1396"/>
      <c r="AU137" s="183"/>
    </row>
    <row r="138" spans="1:52" ht="18.649999999999999" customHeight="1" thickBot="1">
      <c r="A138" s="179"/>
      <c r="B138" s="249"/>
      <c r="C138" s="1392"/>
      <c r="D138" s="1393"/>
      <c r="E138" s="1393"/>
      <c r="F138" s="1393"/>
      <c r="G138" s="1393"/>
      <c r="H138" s="1394"/>
      <c r="I138" s="1397"/>
      <c r="J138" s="1397"/>
      <c r="K138" s="1397"/>
      <c r="L138" s="1397"/>
      <c r="M138" s="1397"/>
      <c r="N138" s="1397"/>
      <c r="O138" s="1397"/>
      <c r="P138" s="1397"/>
      <c r="Q138" s="1397"/>
      <c r="R138" s="1397"/>
      <c r="S138" s="1397"/>
      <c r="T138" s="1397"/>
      <c r="U138" s="1397"/>
      <c r="V138" s="1397"/>
      <c r="W138" s="1397"/>
      <c r="X138" s="1397"/>
      <c r="Y138" s="1397"/>
      <c r="Z138" s="1397"/>
      <c r="AA138" s="1397"/>
      <c r="AB138" s="1397"/>
      <c r="AC138" s="1397"/>
      <c r="AD138" s="1397"/>
      <c r="AE138" s="1397"/>
      <c r="AF138" s="1397"/>
      <c r="AG138" s="1397"/>
      <c r="AH138" s="1397"/>
      <c r="AI138" s="1397"/>
      <c r="AJ138" s="1397"/>
      <c r="AK138" s="1397"/>
      <c r="AL138" s="1397"/>
      <c r="AM138" s="1397"/>
      <c r="AN138" s="1397"/>
      <c r="AO138" s="1397"/>
      <c r="AP138" s="1397"/>
      <c r="AQ138" s="1397"/>
      <c r="AR138" s="1397"/>
      <c r="AS138" s="1397"/>
      <c r="AT138" s="1398"/>
      <c r="AU138" s="183"/>
    </row>
    <row r="139" spans="1:52" ht="18.649999999999999" customHeight="1">
      <c r="A139" s="179"/>
      <c r="B139" s="249"/>
      <c r="C139" s="195"/>
      <c r="D139" s="195"/>
      <c r="E139" s="195"/>
      <c r="F139" s="195"/>
      <c r="G139" s="195"/>
      <c r="H139" s="195"/>
      <c r="I139" s="421"/>
      <c r="J139" s="421"/>
      <c r="K139" s="421"/>
      <c r="L139" s="421"/>
      <c r="M139" s="421"/>
      <c r="N139" s="421"/>
      <c r="O139" s="421"/>
      <c r="P139" s="421"/>
      <c r="Q139" s="421"/>
      <c r="R139" s="421"/>
      <c r="S139" s="421"/>
      <c r="T139" s="421"/>
      <c r="U139" s="421"/>
      <c r="V139" s="421"/>
      <c r="W139" s="421"/>
      <c r="X139" s="421"/>
      <c r="Y139" s="421"/>
      <c r="Z139" s="421"/>
      <c r="AA139" s="421"/>
      <c r="AB139" s="421"/>
      <c r="AC139" s="421"/>
      <c r="AD139" s="421"/>
      <c r="AE139" s="421"/>
      <c r="AF139" s="421"/>
      <c r="AG139" s="421"/>
      <c r="AH139" s="421"/>
      <c r="AI139" s="421"/>
      <c r="AJ139" s="421"/>
      <c r="AK139" s="421"/>
      <c r="AL139" s="421"/>
      <c r="AM139" s="421"/>
      <c r="AN139" s="421"/>
      <c r="AO139" s="421"/>
      <c r="AP139" s="421"/>
      <c r="AQ139" s="421"/>
      <c r="AR139" s="421"/>
      <c r="AS139" s="421"/>
      <c r="AT139" s="421"/>
      <c r="AU139" s="183"/>
    </row>
    <row r="140" spans="1:52" ht="18.649999999999999" customHeight="1">
      <c r="A140" s="179"/>
      <c r="B140" s="249"/>
      <c r="C140" s="148"/>
      <c r="D140" s="148"/>
      <c r="E140" s="148"/>
      <c r="F140" s="148"/>
      <c r="G140" s="148"/>
      <c r="H140" s="148"/>
      <c r="I140" s="148"/>
      <c r="J140" s="148"/>
      <c r="K140" s="148"/>
      <c r="L140" s="148"/>
      <c r="M140" s="148"/>
      <c r="N140" s="148"/>
      <c r="O140" s="148"/>
      <c r="P140" s="148"/>
      <c r="Q140" s="148"/>
      <c r="R140" s="148"/>
      <c r="S140" s="148"/>
      <c r="T140" s="148"/>
      <c r="U140" s="148"/>
      <c r="V140" s="148"/>
      <c r="W140" s="148"/>
      <c r="X140" s="148"/>
      <c r="Y140" s="148"/>
      <c r="Z140" s="148"/>
      <c r="AA140" s="148"/>
      <c r="AB140" s="148"/>
      <c r="AC140" s="148"/>
      <c r="AD140" s="148"/>
      <c r="AE140" s="148"/>
      <c r="AF140" s="148"/>
      <c r="AG140" s="148"/>
      <c r="AH140" s="148"/>
      <c r="AI140" s="148"/>
      <c r="AJ140" s="148"/>
      <c r="AK140" s="148"/>
      <c r="AL140" s="148"/>
      <c r="AM140" s="148"/>
      <c r="AN140" s="148"/>
      <c r="AO140" s="148"/>
      <c r="AP140" s="148"/>
      <c r="AQ140" s="148"/>
      <c r="AR140" s="148"/>
      <c r="AS140" s="148"/>
      <c r="AT140" s="148"/>
      <c r="AU140" s="183"/>
    </row>
    <row r="141" spans="1:52" ht="18" customHeight="1">
      <c r="A141" s="179"/>
      <c r="B141" s="249"/>
      <c r="C141" s="148"/>
      <c r="D141" s="148"/>
      <c r="E141" s="148"/>
      <c r="F141" s="148"/>
      <c r="G141" s="148"/>
      <c r="H141" s="148"/>
      <c r="I141" s="148"/>
      <c r="J141" s="148"/>
      <c r="K141" s="148"/>
      <c r="L141" s="148"/>
      <c r="M141" s="148"/>
      <c r="N141" s="148"/>
      <c r="O141" s="148"/>
      <c r="P141" s="148"/>
      <c r="Q141" s="148"/>
      <c r="R141" s="148"/>
      <c r="S141" s="148"/>
      <c r="T141" s="148"/>
      <c r="U141" s="148"/>
      <c r="V141" s="148"/>
      <c r="W141" s="148"/>
      <c r="X141" s="148"/>
      <c r="Y141" s="148"/>
      <c r="Z141" s="148"/>
      <c r="AA141" s="148"/>
      <c r="AB141" s="148"/>
      <c r="AC141" s="148"/>
      <c r="AD141" s="148"/>
      <c r="AE141" s="148"/>
      <c r="AF141" s="148"/>
      <c r="AG141" s="148"/>
      <c r="AH141" s="148"/>
      <c r="AI141" s="148"/>
      <c r="AJ141" s="148"/>
      <c r="AK141" s="148"/>
      <c r="AL141" s="148"/>
      <c r="AM141" s="148"/>
      <c r="AN141" s="148"/>
      <c r="AO141" s="148"/>
      <c r="AP141" s="148"/>
      <c r="AQ141" s="148"/>
      <c r="AR141" s="148"/>
      <c r="AS141" s="148"/>
      <c r="AT141" s="148"/>
      <c r="AU141" s="183"/>
    </row>
    <row r="142" spans="1:52" ht="18" customHeight="1">
      <c r="A142" s="179"/>
      <c r="B142" s="249"/>
      <c r="C142" s="148"/>
      <c r="D142" s="148"/>
      <c r="E142" s="148"/>
      <c r="F142" s="148"/>
      <c r="G142" s="148"/>
      <c r="H142" s="148"/>
      <c r="I142" s="148"/>
      <c r="J142" s="148"/>
      <c r="K142" s="148"/>
      <c r="L142" s="148"/>
      <c r="M142" s="148"/>
      <c r="N142" s="148"/>
      <c r="O142" s="148"/>
      <c r="P142" s="148"/>
      <c r="Q142" s="148"/>
      <c r="R142" s="148"/>
      <c r="S142" s="148"/>
      <c r="T142" s="148"/>
      <c r="U142" s="148"/>
      <c r="V142" s="148"/>
      <c r="W142" s="148"/>
      <c r="X142" s="148"/>
      <c r="Y142" s="148"/>
      <c r="Z142" s="148"/>
      <c r="AA142" s="148"/>
      <c r="AB142" s="148"/>
      <c r="AC142" s="148"/>
      <c r="AD142" s="148"/>
      <c r="AE142" s="148"/>
      <c r="AF142" s="148"/>
      <c r="AG142" s="148"/>
      <c r="AH142" s="148"/>
      <c r="AI142" s="148"/>
      <c r="AJ142" s="148"/>
      <c r="AK142" s="148"/>
      <c r="AL142" s="148"/>
      <c r="AM142" s="148"/>
      <c r="AN142" s="148"/>
      <c r="AO142" s="148"/>
      <c r="AP142" s="148"/>
      <c r="AQ142" s="148"/>
      <c r="AR142" s="148"/>
      <c r="AS142" s="148"/>
      <c r="AT142" s="148"/>
      <c r="AU142" s="183"/>
    </row>
    <row r="143" spans="1:52" ht="18.649999999999999" customHeight="1" thickBot="1">
      <c r="A143" s="179"/>
      <c r="B143" s="250"/>
      <c r="C143" s="184"/>
      <c r="D143" s="184"/>
      <c r="E143" s="184"/>
      <c r="F143" s="184"/>
      <c r="G143" s="184"/>
      <c r="H143" s="184"/>
      <c r="I143" s="184"/>
      <c r="J143" s="184"/>
      <c r="K143" s="184"/>
      <c r="L143" s="184"/>
      <c r="M143" s="184"/>
      <c r="N143" s="184"/>
      <c r="O143" s="184"/>
      <c r="P143" s="184"/>
      <c r="Q143" s="184"/>
      <c r="R143" s="184"/>
      <c r="S143" s="184"/>
      <c r="T143" s="184"/>
      <c r="U143" s="184"/>
      <c r="V143" s="184"/>
      <c r="W143" s="184"/>
      <c r="X143" s="184"/>
      <c r="Y143" s="184"/>
      <c r="Z143" s="184"/>
      <c r="AA143" s="184"/>
      <c r="AB143" s="184"/>
      <c r="AC143" s="184"/>
      <c r="AD143" s="184"/>
      <c r="AE143" s="184"/>
      <c r="AF143" s="184"/>
      <c r="AG143" s="184"/>
      <c r="AH143" s="184"/>
      <c r="AI143" s="184"/>
      <c r="AJ143" s="184"/>
      <c r="AK143" s="184"/>
      <c r="AL143" s="184"/>
      <c r="AM143" s="184"/>
      <c r="AN143" s="184"/>
      <c r="AO143" s="184"/>
      <c r="AP143" s="184"/>
      <c r="AQ143" s="184"/>
      <c r="AR143" s="184"/>
      <c r="AS143" s="184"/>
      <c r="AT143" s="184"/>
      <c r="AU143" s="185"/>
    </row>
    <row r="144" spans="1:52" ht="18.649999999999999" customHeight="1" thickTop="1">
      <c r="A144" s="179"/>
      <c r="C144" s="187"/>
      <c r="AC144" s="187"/>
      <c r="AD144" s="187"/>
      <c r="AE144" s="187"/>
      <c r="AF144" s="187"/>
      <c r="AG144" s="187"/>
      <c r="AH144" s="187"/>
      <c r="AI144" s="187"/>
      <c r="AJ144" s="187"/>
      <c r="AK144" s="187"/>
      <c r="AT144" s="188"/>
      <c r="AU144" s="189"/>
    </row>
    <row r="145" spans="1:47" ht="18.649999999999999" customHeight="1">
      <c r="A145" s="179"/>
      <c r="C145" s="187"/>
      <c r="AC145" s="187"/>
      <c r="AD145" s="187"/>
      <c r="AE145" s="187"/>
      <c r="AF145" s="187"/>
      <c r="AG145" s="187"/>
      <c r="AH145" s="187"/>
      <c r="AI145" s="187"/>
      <c r="AJ145" s="187"/>
      <c r="AK145" s="187"/>
      <c r="AT145" s="188"/>
      <c r="AU145" s="189"/>
    </row>
    <row r="146" spans="1:47" ht="18.649999999999999" customHeight="1">
      <c r="A146" s="179"/>
      <c r="C146" s="187"/>
      <c r="AC146" s="187"/>
      <c r="AD146" s="187"/>
      <c r="AE146" s="187"/>
      <c r="AF146" s="187"/>
      <c r="AG146" s="187"/>
      <c r="AH146" s="187"/>
      <c r="AI146" s="187"/>
      <c r="AJ146" s="187"/>
      <c r="AK146" s="187"/>
      <c r="AT146" s="188"/>
      <c r="AU146" s="189"/>
    </row>
    <row r="147" spans="1:47" ht="18.649999999999999" customHeight="1">
      <c r="A147" s="179"/>
      <c r="C147" s="187"/>
      <c r="AC147" s="187"/>
      <c r="AD147" s="187"/>
      <c r="AE147" s="187"/>
      <c r="AF147" s="187"/>
      <c r="AG147" s="187"/>
      <c r="AH147" s="187"/>
      <c r="AI147" s="187"/>
      <c r="AJ147" s="187"/>
      <c r="AK147" s="187"/>
      <c r="AT147" s="188"/>
      <c r="AU147" s="189"/>
    </row>
    <row r="148" spans="1:47" ht="18.649999999999999" customHeight="1">
      <c r="A148" s="179"/>
      <c r="C148" s="187"/>
      <c r="AC148" s="187"/>
      <c r="AD148" s="187"/>
      <c r="AE148" s="187"/>
      <c r="AF148" s="187"/>
      <c r="AG148" s="187"/>
      <c r="AH148" s="187"/>
      <c r="AI148" s="187"/>
      <c r="AJ148" s="187"/>
      <c r="AK148" s="187"/>
      <c r="AT148" s="188"/>
      <c r="AU148" s="189"/>
    </row>
    <row r="149" spans="1:47" ht="18.649999999999999" customHeight="1">
      <c r="A149" s="179"/>
      <c r="C149" s="187"/>
      <c r="AC149" s="187"/>
      <c r="AD149" s="187"/>
      <c r="AE149" s="187"/>
      <c r="AF149" s="187"/>
      <c r="AG149" s="187"/>
      <c r="AH149" s="187"/>
      <c r="AI149" s="187"/>
      <c r="AJ149" s="187"/>
      <c r="AK149" s="187"/>
      <c r="AT149" s="188"/>
      <c r="AU149" s="189"/>
    </row>
    <row r="150" spans="1:47" ht="18.649999999999999" customHeight="1">
      <c r="A150" s="179"/>
      <c r="C150" s="187"/>
      <c r="AC150" s="187"/>
      <c r="AD150" s="187"/>
      <c r="AE150" s="187"/>
      <c r="AF150" s="187"/>
      <c r="AG150" s="187"/>
      <c r="AH150" s="187"/>
      <c r="AI150" s="187"/>
      <c r="AJ150" s="187"/>
      <c r="AK150" s="187"/>
      <c r="AT150" s="188"/>
      <c r="AU150" s="189"/>
    </row>
    <row r="151" spans="1:47" ht="18.649999999999999" customHeight="1">
      <c r="A151" s="179"/>
      <c r="C151" s="187"/>
      <c r="AC151" s="187"/>
      <c r="AD151" s="187"/>
      <c r="AE151" s="187"/>
      <c r="AF151" s="187"/>
      <c r="AG151" s="187"/>
      <c r="AH151" s="187"/>
      <c r="AI151" s="187"/>
      <c r="AJ151" s="187"/>
      <c r="AK151" s="187"/>
      <c r="AT151" s="188"/>
      <c r="AU151" s="189"/>
    </row>
    <row r="152" spans="1:47" ht="18.649999999999999" customHeight="1">
      <c r="A152" s="179"/>
      <c r="C152" s="187"/>
      <c r="AC152" s="187"/>
      <c r="AD152" s="187"/>
      <c r="AE152" s="187"/>
      <c r="AF152" s="187"/>
      <c r="AG152" s="187"/>
      <c r="AH152" s="187"/>
      <c r="AI152" s="187"/>
      <c r="AJ152" s="187"/>
      <c r="AK152" s="187"/>
      <c r="AT152" s="188"/>
      <c r="AU152" s="189"/>
    </row>
    <row r="153" spans="1:47" ht="18.649999999999999" customHeight="1">
      <c r="C153" s="187"/>
      <c r="AC153" s="187"/>
      <c r="AD153" s="187"/>
      <c r="AE153" s="187"/>
      <c r="AF153" s="187"/>
      <c r="AG153" s="187"/>
      <c r="AH153" s="187"/>
      <c r="AI153" s="187"/>
      <c r="AJ153" s="187"/>
      <c r="AK153" s="187"/>
      <c r="AT153" s="188"/>
      <c r="AU153" s="189"/>
    </row>
    <row r="154" spans="1:47" ht="18.649999999999999" customHeight="1">
      <c r="C154" s="187"/>
      <c r="AC154" s="187"/>
      <c r="AD154" s="187"/>
      <c r="AE154" s="187"/>
      <c r="AF154" s="187"/>
      <c r="AG154" s="187"/>
      <c r="AH154" s="187"/>
      <c r="AI154" s="187"/>
      <c r="AJ154" s="187"/>
      <c r="AK154" s="187"/>
      <c r="AT154" s="188"/>
      <c r="AU154" s="189"/>
    </row>
    <row r="155" spans="1:47" ht="18.649999999999999" customHeight="1">
      <c r="C155" s="187"/>
      <c r="AC155" s="187"/>
      <c r="AD155" s="187"/>
      <c r="AE155" s="187"/>
      <c r="AF155" s="187"/>
      <c r="AG155" s="187"/>
      <c r="AH155" s="187"/>
      <c r="AI155" s="187"/>
      <c r="AJ155" s="187"/>
      <c r="AK155" s="187"/>
      <c r="AT155" s="188"/>
      <c r="AU155" s="189"/>
    </row>
    <row r="156" spans="1:47" ht="18.649999999999999" customHeight="1">
      <c r="C156" s="187"/>
      <c r="AC156" s="187"/>
      <c r="AD156" s="187"/>
      <c r="AE156" s="187"/>
      <c r="AF156" s="187"/>
      <c r="AG156" s="187"/>
      <c r="AH156" s="187"/>
      <c r="AI156" s="187"/>
      <c r="AJ156" s="187"/>
      <c r="AK156" s="187"/>
      <c r="AT156" s="188"/>
      <c r="AU156" s="189"/>
    </row>
    <row r="157" spans="1:47" ht="18.649999999999999" customHeight="1">
      <c r="C157" s="187"/>
      <c r="AC157" s="187"/>
      <c r="AD157" s="187"/>
      <c r="AE157" s="187"/>
      <c r="AF157" s="187"/>
      <c r="AG157" s="187"/>
      <c r="AH157" s="187"/>
      <c r="AI157" s="187"/>
      <c r="AJ157" s="187"/>
      <c r="AK157" s="187"/>
      <c r="AT157" s="188"/>
      <c r="AU157" s="189"/>
    </row>
    <row r="158" spans="1:47" ht="18.649999999999999" customHeight="1">
      <c r="C158" s="187"/>
      <c r="AC158" s="187"/>
      <c r="AD158" s="187"/>
      <c r="AE158" s="187"/>
      <c r="AF158" s="187"/>
      <c r="AG158" s="187"/>
      <c r="AH158" s="187"/>
      <c r="AI158" s="187"/>
      <c r="AJ158" s="187"/>
      <c r="AK158" s="187"/>
      <c r="AT158" s="188"/>
      <c r="AU158" s="189"/>
    </row>
    <row r="159" spans="1:47" ht="18.649999999999999" customHeight="1">
      <c r="C159" s="187"/>
      <c r="AC159" s="187"/>
      <c r="AD159" s="187"/>
      <c r="AE159" s="187"/>
      <c r="AF159" s="187"/>
      <c r="AG159" s="187"/>
      <c r="AH159" s="187"/>
      <c r="AI159" s="187"/>
      <c r="AJ159" s="187"/>
      <c r="AK159" s="187"/>
      <c r="AT159" s="188"/>
      <c r="AU159" s="189"/>
    </row>
    <row r="160" spans="1:47" ht="18.649999999999999" customHeight="1">
      <c r="C160" s="187"/>
      <c r="AC160" s="187"/>
      <c r="AD160" s="187"/>
      <c r="AE160" s="187"/>
      <c r="AF160" s="187"/>
      <c r="AG160" s="187"/>
      <c r="AH160" s="187"/>
      <c r="AI160" s="187"/>
      <c r="AJ160" s="187"/>
      <c r="AK160" s="187"/>
      <c r="AT160" s="188"/>
      <c r="AU160" s="189"/>
    </row>
    <row r="161" spans="3:47" ht="18.649999999999999" customHeight="1">
      <c r="C161" s="187"/>
      <c r="AC161" s="187"/>
      <c r="AD161" s="187"/>
      <c r="AE161" s="187"/>
      <c r="AF161" s="187"/>
      <c r="AG161" s="187"/>
      <c r="AH161" s="187"/>
      <c r="AI161" s="187"/>
      <c r="AJ161" s="187"/>
      <c r="AK161" s="187"/>
      <c r="AT161" s="188"/>
      <c r="AU161" s="189"/>
    </row>
    <row r="162" spans="3:47" ht="18.649999999999999" customHeight="1">
      <c r="C162" s="187"/>
      <c r="AC162" s="187"/>
      <c r="AD162" s="187"/>
      <c r="AE162" s="187"/>
      <c r="AF162" s="187"/>
      <c r="AG162" s="187"/>
      <c r="AH162" s="187"/>
      <c r="AI162" s="187"/>
      <c r="AJ162" s="187"/>
      <c r="AK162" s="187"/>
      <c r="AT162" s="188"/>
      <c r="AU162" s="189"/>
    </row>
    <row r="163" spans="3:47" ht="18.649999999999999" customHeight="1">
      <c r="C163" s="187"/>
      <c r="AC163" s="187"/>
      <c r="AD163" s="187"/>
      <c r="AE163" s="187"/>
      <c r="AF163" s="187"/>
      <c r="AG163" s="187"/>
      <c r="AH163" s="187"/>
      <c r="AI163" s="187"/>
      <c r="AJ163" s="187"/>
      <c r="AK163" s="187"/>
      <c r="AT163" s="188"/>
      <c r="AU163" s="189"/>
    </row>
    <row r="164" spans="3:47" ht="18.649999999999999" customHeight="1">
      <c r="C164" s="187"/>
      <c r="AC164" s="187"/>
      <c r="AD164" s="187"/>
      <c r="AE164" s="187"/>
      <c r="AF164" s="187"/>
      <c r="AG164" s="187"/>
      <c r="AH164" s="187"/>
      <c r="AI164" s="187"/>
      <c r="AJ164" s="187"/>
      <c r="AK164" s="187"/>
      <c r="AT164" s="188"/>
      <c r="AU164" s="189"/>
    </row>
    <row r="165" spans="3:47" ht="18.649999999999999" customHeight="1">
      <c r="C165" s="187"/>
      <c r="AC165" s="187"/>
      <c r="AD165" s="187"/>
      <c r="AE165" s="187"/>
      <c r="AF165" s="187"/>
      <c r="AG165" s="187"/>
      <c r="AH165" s="187"/>
      <c r="AI165" s="187"/>
      <c r="AJ165" s="187"/>
      <c r="AK165" s="187"/>
      <c r="AT165" s="188"/>
      <c r="AU165" s="189"/>
    </row>
    <row r="166" spans="3:47" ht="18.649999999999999" customHeight="1">
      <c r="C166" s="187"/>
      <c r="AC166" s="187"/>
      <c r="AD166" s="187"/>
      <c r="AE166" s="187"/>
      <c r="AF166" s="187"/>
      <c r="AG166" s="187"/>
      <c r="AH166" s="187"/>
      <c r="AI166" s="187"/>
      <c r="AJ166" s="187"/>
      <c r="AK166" s="187"/>
      <c r="AU166" s="189"/>
    </row>
    <row r="167" spans="3:47" ht="18.649999999999999" customHeight="1">
      <c r="C167" s="187"/>
      <c r="AC167" s="187"/>
      <c r="AD167" s="187"/>
      <c r="AE167" s="187"/>
      <c r="AF167" s="187"/>
      <c r="AG167" s="187"/>
      <c r="AH167" s="187"/>
      <c r="AI167" s="187"/>
      <c r="AJ167" s="187"/>
      <c r="AK167" s="187"/>
      <c r="AU167" s="189"/>
    </row>
    <row r="168" spans="3:47" ht="18.649999999999999" customHeight="1">
      <c r="C168" s="187"/>
      <c r="AC168" s="187"/>
      <c r="AD168" s="187"/>
      <c r="AE168" s="187"/>
      <c r="AF168" s="187"/>
      <c r="AG168" s="187"/>
      <c r="AH168" s="187"/>
      <c r="AI168" s="187"/>
      <c r="AJ168" s="187"/>
      <c r="AK168" s="187"/>
      <c r="AU168" s="189"/>
    </row>
    <row r="169" spans="3:47" ht="18.649999999999999" customHeight="1">
      <c r="C169" s="187"/>
      <c r="AC169" s="187"/>
      <c r="AD169" s="187"/>
      <c r="AE169" s="187"/>
      <c r="AF169" s="187"/>
      <c r="AG169" s="187"/>
      <c r="AH169" s="187"/>
      <c r="AI169" s="187"/>
      <c r="AJ169" s="187"/>
      <c r="AK169" s="187"/>
      <c r="AU169" s="189"/>
    </row>
    <row r="170" spans="3:47" ht="18.649999999999999" customHeight="1">
      <c r="C170" s="187"/>
      <c r="AC170" s="187"/>
      <c r="AD170" s="187"/>
      <c r="AE170" s="187"/>
      <c r="AF170" s="187"/>
      <c r="AG170" s="187"/>
      <c r="AH170" s="187"/>
      <c r="AI170" s="187"/>
      <c r="AJ170" s="187"/>
      <c r="AK170" s="187"/>
      <c r="AU170" s="189"/>
    </row>
    <row r="171" spans="3:47" ht="18.649999999999999" customHeight="1">
      <c r="C171" s="187"/>
      <c r="AC171" s="187"/>
      <c r="AD171" s="187"/>
      <c r="AE171" s="187"/>
      <c r="AF171" s="187"/>
      <c r="AG171" s="187"/>
      <c r="AH171" s="187"/>
      <c r="AI171" s="187"/>
      <c r="AJ171" s="187"/>
      <c r="AK171" s="187"/>
      <c r="AU171" s="189"/>
    </row>
    <row r="172" spans="3:47" ht="18.649999999999999" customHeight="1">
      <c r="C172" s="187"/>
      <c r="AC172" s="187"/>
      <c r="AD172" s="187"/>
      <c r="AE172" s="187"/>
      <c r="AF172" s="187"/>
      <c r="AG172" s="187"/>
      <c r="AH172" s="187"/>
      <c r="AI172" s="187"/>
      <c r="AJ172" s="187"/>
      <c r="AK172" s="187"/>
      <c r="AU172" s="189"/>
    </row>
    <row r="173" spans="3:47" ht="18.649999999999999" customHeight="1">
      <c r="C173" s="187"/>
      <c r="AC173" s="187"/>
      <c r="AD173" s="187"/>
      <c r="AE173" s="187"/>
      <c r="AF173" s="187"/>
      <c r="AG173" s="187"/>
      <c r="AH173" s="187"/>
      <c r="AI173" s="187"/>
      <c r="AJ173" s="187"/>
      <c r="AK173" s="187"/>
      <c r="AU173" s="189"/>
    </row>
    <row r="174" spans="3:47" ht="18.649999999999999" customHeight="1">
      <c r="C174" s="187"/>
      <c r="AC174" s="187"/>
      <c r="AD174" s="187"/>
      <c r="AE174" s="187"/>
      <c r="AF174" s="187"/>
      <c r="AG174" s="187"/>
      <c r="AH174" s="187"/>
      <c r="AI174" s="187"/>
      <c r="AJ174" s="187"/>
      <c r="AK174" s="187"/>
      <c r="AU174" s="189"/>
    </row>
    <row r="175" spans="3:47" ht="18.649999999999999" customHeight="1">
      <c r="C175" s="187"/>
      <c r="AC175" s="187"/>
      <c r="AD175" s="187"/>
      <c r="AE175" s="187"/>
      <c r="AF175" s="187"/>
      <c r="AG175" s="187"/>
      <c r="AH175" s="187"/>
      <c r="AI175" s="187"/>
      <c r="AJ175" s="187"/>
      <c r="AK175" s="187"/>
      <c r="AU175" s="189"/>
    </row>
    <row r="176" spans="3:47" ht="18.649999999999999" customHeight="1">
      <c r="C176" s="187"/>
      <c r="AC176" s="187"/>
      <c r="AD176" s="187"/>
      <c r="AE176" s="187"/>
      <c r="AF176" s="187"/>
      <c r="AG176" s="187"/>
      <c r="AH176" s="187"/>
      <c r="AI176" s="187"/>
      <c r="AJ176" s="187"/>
      <c r="AK176" s="187"/>
      <c r="AU176" s="189"/>
    </row>
    <row r="177" spans="3:47" ht="18.649999999999999" customHeight="1">
      <c r="C177" s="187"/>
      <c r="AC177" s="187"/>
      <c r="AD177" s="187"/>
      <c r="AE177" s="187"/>
      <c r="AF177" s="187"/>
      <c r="AG177" s="187"/>
      <c r="AH177" s="187"/>
      <c r="AI177" s="187"/>
      <c r="AJ177" s="187"/>
      <c r="AK177" s="187"/>
      <c r="AU177" s="189"/>
    </row>
    <row r="178" spans="3:47" ht="18.649999999999999" customHeight="1">
      <c r="C178" s="187"/>
      <c r="AC178" s="187"/>
      <c r="AD178" s="187"/>
      <c r="AE178" s="187"/>
      <c r="AF178" s="187"/>
      <c r="AG178" s="187"/>
      <c r="AH178" s="187"/>
      <c r="AI178" s="187"/>
      <c r="AJ178" s="187"/>
      <c r="AK178" s="187"/>
      <c r="AU178" s="189"/>
    </row>
    <row r="179" spans="3:47" ht="18.649999999999999" customHeight="1">
      <c r="C179" s="187"/>
      <c r="AC179" s="187"/>
      <c r="AD179" s="187"/>
      <c r="AE179" s="187"/>
      <c r="AF179" s="187"/>
      <c r="AG179" s="187"/>
      <c r="AH179" s="187"/>
      <c r="AI179" s="187"/>
      <c r="AJ179" s="187"/>
      <c r="AK179" s="187"/>
      <c r="AU179" s="189"/>
    </row>
    <row r="180" spans="3:47" ht="18.649999999999999" customHeight="1">
      <c r="C180" s="187"/>
      <c r="AC180" s="187"/>
      <c r="AD180" s="187"/>
      <c r="AE180" s="187"/>
      <c r="AF180" s="187"/>
      <c r="AG180" s="187"/>
      <c r="AH180" s="187"/>
      <c r="AI180" s="187"/>
      <c r="AJ180" s="187"/>
      <c r="AK180" s="187"/>
      <c r="AU180" s="189"/>
    </row>
    <row r="181" spans="3:47" ht="18.649999999999999" customHeight="1">
      <c r="C181" s="187"/>
      <c r="AC181" s="187"/>
      <c r="AD181" s="187"/>
      <c r="AE181" s="187"/>
      <c r="AF181" s="187"/>
      <c r="AG181" s="187"/>
      <c r="AH181" s="187"/>
      <c r="AI181" s="187"/>
      <c r="AJ181" s="187"/>
      <c r="AK181" s="187"/>
      <c r="AU181" s="189"/>
    </row>
    <row r="182" spans="3:47" ht="18.649999999999999" customHeight="1">
      <c r="AL182" s="191"/>
    </row>
    <row r="183" spans="3:47" ht="18.649999999999999" customHeight="1">
      <c r="AL183" s="191"/>
    </row>
    <row r="184" spans="3:47" ht="18.649999999999999" customHeight="1">
      <c r="AL184" s="191"/>
    </row>
    <row r="185" spans="3:47" ht="18.649999999999999" customHeight="1">
      <c r="AL185" s="191"/>
    </row>
    <row r="186" spans="3:47" ht="18.649999999999999" customHeight="1">
      <c r="AL186" s="191"/>
    </row>
    <row r="187" spans="3:47" ht="18.649999999999999" customHeight="1">
      <c r="AL187" s="191"/>
    </row>
    <row r="188" spans="3:47" ht="18.649999999999999" customHeight="1">
      <c r="AL188" s="191"/>
    </row>
    <row r="189" spans="3:47" ht="18.649999999999999" customHeight="1">
      <c r="AL189" s="191"/>
    </row>
    <row r="190" spans="3:47" ht="18.649999999999999" customHeight="1">
      <c r="AL190" s="191"/>
    </row>
    <row r="191" spans="3:47" ht="18.649999999999999" customHeight="1">
      <c r="AL191" s="191"/>
    </row>
    <row r="192" spans="3:47" ht="18.649999999999999" customHeight="1">
      <c r="AL192" s="191"/>
    </row>
    <row r="193" spans="38:38" ht="18.649999999999999" customHeight="1">
      <c r="AL193" s="191"/>
    </row>
    <row r="194" spans="38:38" ht="18.649999999999999" customHeight="1">
      <c r="AL194" s="191"/>
    </row>
    <row r="195" spans="38:38" ht="18.649999999999999" customHeight="1">
      <c r="AL195" s="191"/>
    </row>
    <row r="196" spans="38:38" ht="18.649999999999999" customHeight="1">
      <c r="AL196" s="191"/>
    </row>
    <row r="197" spans="38:38" ht="18.649999999999999" customHeight="1">
      <c r="AL197" s="191"/>
    </row>
    <row r="198" spans="38:38" ht="18.649999999999999" customHeight="1">
      <c r="AL198" s="191"/>
    </row>
    <row r="199" spans="38:38" ht="18.649999999999999" customHeight="1">
      <c r="AL199" s="191"/>
    </row>
    <row r="200" spans="38:38" ht="18.649999999999999" customHeight="1">
      <c r="AL200" s="191"/>
    </row>
    <row r="201" spans="38:38" ht="18.649999999999999" customHeight="1">
      <c r="AL201" s="191"/>
    </row>
    <row r="202" spans="38:38" ht="18.649999999999999" customHeight="1">
      <c r="AL202" s="191"/>
    </row>
    <row r="203" spans="38:38" ht="18.649999999999999" customHeight="1">
      <c r="AL203" s="191"/>
    </row>
    <row r="204" spans="38:38" ht="18.649999999999999" customHeight="1">
      <c r="AL204" s="191"/>
    </row>
    <row r="205" spans="38:38" ht="18.649999999999999" customHeight="1">
      <c r="AL205" s="191"/>
    </row>
    <row r="206" spans="38:38" ht="18.649999999999999" customHeight="1">
      <c r="AL206" s="191"/>
    </row>
    <row r="207" spans="38:38" ht="18.649999999999999" customHeight="1">
      <c r="AL207" s="191"/>
    </row>
    <row r="208" spans="38:38" ht="18.649999999999999" customHeight="1">
      <c r="AL208" s="191"/>
    </row>
    <row r="209" spans="38:38" ht="18.649999999999999" customHeight="1">
      <c r="AL209" s="191"/>
    </row>
    <row r="210" spans="38:38" ht="18.649999999999999" customHeight="1">
      <c r="AL210" s="191"/>
    </row>
    <row r="211" spans="38:38" ht="18.649999999999999" customHeight="1">
      <c r="AL211" s="191"/>
    </row>
    <row r="212" spans="38:38" ht="18.649999999999999" customHeight="1">
      <c r="AL212" s="191"/>
    </row>
    <row r="213" spans="38:38" ht="18.649999999999999" customHeight="1">
      <c r="AL213" s="191"/>
    </row>
    <row r="214" spans="38:38" ht="18.649999999999999" customHeight="1">
      <c r="AL214" s="191"/>
    </row>
    <row r="215" spans="38:38" ht="18.649999999999999" customHeight="1">
      <c r="AL215" s="191"/>
    </row>
    <row r="216" spans="38:38" ht="18.649999999999999" customHeight="1">
      <c r="AL216" s="191"/>
    </row>
    <row r="217" spans="38:38" ht="18.649999999999999" customHeight="1">
      <c r="AL217" s="191"/>
    </row>
    <row r="218" spans="38:38" ht="18.649999999999999" customHeight="1">
      <c r="AL218" s="191"/>
    </row>
    <row r="219" spans="38:38" ht="18.649999999999999" customHeight="1">
      <c r="AL219" s="191"/>
    </row>
    <row r="220" spans="38:38" ht="18.649999999999999" customHeight="1">
      <c r="AL220" s="191"/>
    </row>
    <row r="221" spans="38:38" ht="18.649999999999999" customHeight="1">
      <c r="AL221" s="191"/>
    </row>
    <row r="222" spans="38:38" ht="18.649999999999999" customHeight="1">
      <c r="AL222" s="191"/>
    </row>
    <row r="223" spans="38:38" ht="18.649999999999999" customHeight="1">
      <c r="AL223" s="191"/>
    </row>
    <row r="224" spans="38:38" ht="18.649999999999999" customHeight="1">
      <c r="AL224" s="191"/>
    </row>
    <row r="225" spans="38:38" ht="18.649999999999999" customHeight="1">
      <c r="AL225" s="191"/>
    </row>
    <row r="226" spans="38:38" ht="18.649999999999999" customHeight="1">
      <c r="AL226" s="191"/>
    </row>
    <row r="227" spans="38:38" ht="18.649999999999999" customHeight="1">
      <c r="AL227" s="191"/>
    </row>
    <row r="228" spans="38:38" ht="18.649999999999999" customHeight="1">
      <c r="AL228" s="191"/>
    </row>
    <row r="229" spans="38:38" ht="18.649999999999999" customHeight="1">
      <c r="AL229" s="191"/>
    </row>
    <row r="230" spans="38:38" ht="18.649999999999999" customHeight="1">
      <c r="AL230" s="191"/>
    </row>
    <row r="231" spans="38:38" ht="18.649999999999999" customHeight="1">
      <c r="AL231" s="191"/>
    </row>
    <row r="232" spans="38:38" ht="18.649999999999999" customHeight="1">
      <c r="AL232" s="191"/>
    </row>
    <row r="233" spans="38:38" ht="18.649999999999999" customHeight="1">
      <c r="AL233" s="191"/>
    </row>
    <row r="234" spans="38:38" ht="18.649999999999999" customHeight="1">
      <c r="AL234" s="191"/>
    </row>
    <row r="235" spans="38:38" ht="18.649999999999999" customHeight="1">
      <c r="AL235" s="191"/>
    </row>
    <row r="236" spans="38:38" ht="18.649999999999999" customHeight="1">
      <c r="AL236" s="191"/>
    </row>
    <row r="237" spans="38:38" ht="18.649999999999999" customHeight="1">
      <c r="AL237" s="191"/>
    </row>
    <row r="238" spans="38:38" ht="18.649999999999999" customHeight="1">
      <c r="AL238" s="191"/>
    </row>
    <row r="239" spans="38:38" ht="18.649999999999999" customHeight="1">
      <c r="AL239" s="191"/>
    </row>
    <row r="240" spans="38:38" ht="18.649999999999999" customHeight="1">
      <c r="AL240" s="191"/>
    </row>
    <row r="241" spans="38:38" ht="18.649999999999999" customHeight="1">
      <c r="AL241" s="191"/>
    </row>
    <row r="242" spans="38:38" ht="18.649999999999999" customHeight="1">
      <c r="AL242" s="191"/>
    </row>
    <row r="243" spans="38:38" ht="18.649999999999999" customHeight="1">
      <c r="AL243" s="191"/>
    </row>
    <row r="244" spans="38:38" ht="18.649999999999999" customHeight="1">
      <c r="AL244" s="191"/>
    </row>
    <row r="245" spans="38:38" ht="18.649999999999999" customHeight="1">
      <c r="AL245" s="191"/>
    </row>
    <row r="246" spans="38:38" ht="18.649999999999999" customHeight="1">
      <c r="AL246" s="191"/>
    </row>
    <row r="247" spans="38:38" ht="18.649999999999999" customHeight="1">
      <c r="AL247" s="191"/>
    </row>
    <row r="248" spans="38:38" ht="18.649999999999999" customHeight="1">
      <c r="AL248" s="191"/>
    </row>
    <row r="249" spans="38:38" ht="18.649999999999999" customHeight="1">
      <c r="AL249" s="191"/>
    </row>
    <row r="250" spans="38:38" ht="18.649999999999999" customHeight="1">
      <c r="AL250" s="191"/>
    </row>
    <row r="251" spans="38:38" ht="18.649999999999999" customHeight="1">
      <c r="AL251" s="191"/>
    </row>
    <row r="252" spans="38:38" ht="18.649999999999999" customHeight="1">
      <c r="AL252" s="191"/>
    </row>
    <row r="253" spans="38:38" ht="18.649999999999999" customHeight="1">
      <c r="AL253" s="191"/>
    </row>
    <row r="254" spans="38:38" ht="18.649999999999999" customHeight="1">
      <c r="AL254" s="191"/>
    </row>
    <row r="255" spans="38:38" ht="18.649999999999999" customHeight="1">
      <c r="AL255" s="191"/>
    </row>
    <row r="256" spans="38:38" ht="18.649999999999999" customHeight="1">
      <c r="AL256" s="191"/>
    </row>
    <row r="257" spans="38:38" ht="18.649999999999999" customHeight="1">
      <c r="AL257" s="191"/>
    </row>
    <row r="258" spans="38:38" ht="18.649999999999999" customHeight="1">
      <c r="AL258" s="191"/>
    </row>
    <row r="259" spans="38:38" ht="18.649999999999999" customHeight="1">
      <c r="AL259" s="191"/>
    </row>
    <row r="260" spans="38:38" ht="18.649999999999999" customHeight="1">
      <c r="AL260" s="191"/>
    </row>
    <row r="261" spans="38:38" ht="18.649999999999999" customHeight="1">
      <c r="AL261" s="191"/>
    </row>
    <row r="262" spans="38:38" ht="18.649999999999999" customHeight="1">
      <c r="AL262" s="191"/>
    </row>
    <row r="263" spans="38:38" ht="18.649999999999999" customHeight="1">
      <c r="AL263" s="191"/>
    </row>
  </sheetData>
  <sheetProtection algorithmName="SHA-512" hashValue="5ufXyZeqXBOKtzAV57hcVkDWOB1cwWBHxAtqIk8r6DlDj6v2N0Hm1UjpleWbit0Bo4KelmKsxNDGcyCSz5qqEg==" saltValue="5YzWynzTOT+4oLYVHmA08g==" spinCount="100000" sheet="1" objects="1" scenarios="1" selectLockedCells="1" selectUnlockedCells="1"/>
  <mergeCells count="359">
    <mergeCell ref="M58:AT59"/>
    <mergeCell ref="AH79:AI79"/>
    <mergeCell ref="AN80:AO80"/>
    <mergeCell ref="T79:Y80"/>
    <mergeCell ref="AJ97:AK98"/>
    <mergeCell ref="AL97:AM98"/>
    <mergeCell ref="C99:K100"/>
    <mergeCell ref="L99:U100"/>
    <mergeCell ref="V99:AC100"/>
    <mergeCell ref="AD99:AE100"/>
    <mergeCell ref="AF99:AG100"/>
    <mergeCell ref="AH99:AI100"/>
    <mergeCell ref="AJ99:AK100"/>
    <mergeCell ref="AL99:AM100"/>
    <mergeCell ref="C97:K98"/>
    <mergeCell ref="C60:H60"/>
    <mergeCell ref="I60:AT60"/>
    <mergeCell ref="C61:H65"/>
    <mergeCell ref="I61:AT62"/>
    <mergeCell ref="I63:AA63"/>
    <mergeCell ref="AB63:AT63"/>
    <mergeCell ref="I64:AA65"/>
    <mergeCell ref="AB64:AT65"/>
    <mergeCell ref="C69:H69"/>
    <mergeCell ref="C18:H19"/>
    <mergeCell ref="L18:O19"/>
    <mergeCell ref="S18:V19"/>
    <mergeCell ref="AE18:AH19"/>
    <mergeCell ref="AL18:AO19"/>
    <mergeCell ref="C20:H22"/>
    <mergeCell ref="I20:AM22"/>
    <mergeCell ref="AO20:AQ22"/>
    <mergeCell ref="C3:AT4"/>
    <mergeCell ref="C11:H17"/>
    <mergeCell ref="I15:AT15"/>
    <mergeCell ref="I16:AT16"/>
    <mergeCell ref="I14:AA14"/>
    <mergeCell ref="AB14:AT14"/>
    <mergeCell ref="C5:AT7"/>
    <mergeCell ref="C8:AT8"/>
    <mergeCell ref="C9:AT9"/>
    <mergeCell ref="C10:AT10"/>
    <mergeCell ref="C31:H33"/>
    <mergeCell ref="C34:H34"/>
    <mergeCell ref="J34:M34"/>
    <mergeCell ref="AR20:AT22"/>
    <mergeCell ref="C23:AT24"/>
    <mergeCell ref="M25:AT26"/>
    <mergeCell ref="C27:H27"/>
    <mergeCell ref="I27:AT27"/>
    <mergeCell ref="C28:H30"/>
    <mergeCell ref="I28:AT30"/>
    <mergeCell ref="I31:X33"/>
    <mergeCell ref="Y31:AD33"/>
    <mergeCell ref="AE31:AT33"/>
    <mergeCell ref="O34:U34"/>
    <mergeCell ref="W34:AC34"/>
    <mergeCell ref="AE34:AK34"/>
    <mergeCell ref="AM34:AT34"/>
    <mergeCell ref="AD36:AK37"/>
    <mergeCell ref="AL36:AT37"/>
    <mergeCell ref="C38:H38"/>
    <mergeCell ref="I38:M38"/>
    <mergeCell ref="O38:R38"/>
    <mergeCell ref="T38:X38"/>
    <mergeCell ref="Y38:AD38"/>
    <mergeCell ref="AE38:AI38"/>
    <mergeCell ref="AK38:AN38"/>
    <mergeCell ref="AP38:AT38"/>
    <mergeCell ref="C35:H37"/>
    <mergeCell ref="J35:K35"/>
    <mergeCell ref="M35:N35"/>
    <mergeCell ref="I36:M37"/>
    <mergeCell ref="N36:U37"/>
    <mergeCell ref="V36:AC37"/>
    <mergeCell ref="U39:Z39"/>
    <mergeCell ref="AA39:AE39"/>
    <mergeCell ref="AF39:AG39"/>
    <mergeCell ref="AH39:AM39"/>
    <mergeCell ref="AN39:AR39"/>
    <mergeCell ref="AS39:AT39"/>
    <mergeCell ref="C39:H39"/>
    <mergeCell ref="I39:J39"/>
    <mergeCell ref="K39:L39"/>
    <mergeCell ref="N39:O39"/>
    <mergeCell ref="Q39:R39"/>
    <mergeCell ref="S39:T39"/>
    <mergeCell ref="C40:H41"/>
    <mergeCell ref="I40:AT41"/>
    <mergeCell ref="C42:H42"/>
    <mergeCell ref="I42:AT42"/>
    <mergeCell ref="C43:H43"/>
    <mergeCell ref="I43:N43"/>
    <mergeCell ref="O43:Q43"/>
    <mergeCell ref="R43:W43"/>
    <mergeCell ref="X43:AB43"/>
    <mergeCell ref="AC43:AE43"/>
    <mergeCell ref="AF43:AK43"/>
    <mergeCell ref="AL43:AT43"/>
    <mergeCell ref="AA44:AT44"/>
    <mergeCell ref="M46:AT47"/>
    <mergeCell ref="C48:H48"/>
    <mergeCell ref="I48:N48"/>
    <mergeCell ref="O48:T48"/>
    <mergeCell ref="U48:W50"/>
    <mergeCell ref="X48:AC50"/>
    <mergeCell ref="AD48:AF48"/>
    <mergeCell ref="AG48:AH48"/>
    <mergeCell ref="AJ48:AK48"/>
    <mergeCell ref="C49:H50"/>
    <mergeCell ref="I49:N50"/>
    <mergeCell ref="O49:T50"/>
    <mergeCell ref="AD49:AF50"/>
    <mergeCell ref="AG49:AH50"/>
    <mergeCell ref="AI49:AJ50"/>
    <mergeCell ref="AK49:AL50"/>
    <mergeCell ref="AM49:AN50"/>
    <mergeCell ref="AO49:AP50"/>
    <mergeCell ref="AQ49:AR50"/>
    <mergeCell ref="AS49:AT50"/>
    <mergeCell ref="C51:H51"/>
    <mergeCell ref="J51:M51"/>
    <mergeCell ref="AD53:AK54"/>
    <mergeCell ref="AL53:AT54"/>
    <mergeCell ref="C55:H55"/>
    <mergeCell ref="I55:M55"/>
    <mergeCell ref="O55:R55"/>
    <mergeCell ref="T55:X55"/>
    <mergeCell ref="Y55:AD55"/>
    <mergeCell ref="AE55:AI55"/>
    <mergeCell ref="AK55:AN55"/>
    <mergeCell ref="AP55:AT55"/>
    <mergeCell ref="C52:H54"/>
    <mergeCell ref="J52:K52"/>
    <mergeCell ref="M52:N52"/>
    <mergeCell ref="I53:M54"/>
    <mergeCell ref="N53:U54"/>
    <mergeCell ref="V53:AC54"/>
    <mergeCell ref="O51:U51"/>
    <mergeCell ref="W51:AC51"/>
    <mergeCell ref="AE51:AK51"/>
    <mergeCell ref="AM51:AT51"/>
    <mergeCell ref="J69:AT69"/>
    <mergeCell ref="E70:H70"/>
    <mergeCell ref="J70:M70"/>
    <mergeCell ref="C66:H66"/>
    <mergeCell ref="I66:AA66"/>
    <mergeCell ref="AB66:AT66"/>
    <mergeCell ref="C67:H68"/>
    <mergeCell ref="I67:AA68"/>
    <mergeCell ref="AB67:AT68"/>
    <mergeCell ref="AD72:AK73"/>
    <mergeCell ref="AL72:AT73"/>
    <mergeCell ref="O70:U70"/>
    <mergeCell ref="W70:AC70"/>
    <mergeCell ref="AE70:AK70"/>
    <mergeCell ref="AM70:AT70"/>
    <mergeCell ref="E74:H75"/>
    <mergeCell ref="I74:AT75"/>
    <mergeCell ref="C76:H76"/>
    <mergeCell ref="I76:M76"/>
    <mergeCell ref="O76:R76"/>
    <mergeCell ref="T76:X76"/>
    <mergeCell ref="E71:H73"/>
    <mergeCell ref="J71:K71"/>
    <mergeCell ref="M71:N71"/>
    <mergeCell ref="I72:M73"/>
    <mergeCell ref="N72:U73"/>
    <mergeCell ref="V72:AC73"/>
    <mergeCell ref="C77:H78"/>
    <mergeCell ref="I77:AT78"/>
    <mergeCell ref="C79:H80"/>
    <mergeCell ref="I79:J80"/>
    <mergeCell ref="K79:K80"/>
    <mergeCell ref="L79:M80"/>
    <mergeCell ref="N79:N80"/>
    <mergeCell ref="O79:P80"/>
    <mergeCell ref="Q79:Q80"/>
    <mergeCell ref="R79:S80"/>
    <mergeCell ref="AJ79:AK79"/>
    <mergeCell ref="AL79:AM79"/>
    <mergeCell ref="AN79:AO79"/>
    <mergeCell ref="Z80:AA80"/>
    <mergeCell ref="AB80:AC80"/>
    <mergeCell ref="AD80:AE80"/>
    <mergeCell ref="AF80:AG80"/>
    <mergeCell ref="AH80:AI80"/>
    <mergeCell ref="AJ80:AK80"/>
    <mergeCell ref="AL80:AM80"/>
    <mergeCell ref="Z79:AA79"/>
    <mergeCell ref="AB79:AC79"/>
    <mergeCell ref="AD79:AE79"/>
    <mergeCell ref="AF79:AG79"/>
    <mergeCell ref="C81:H82"/>
    <mergeCell ref="I81:AT82"/>
    <mergeCell ref="C83:H84"/>
    <mergeCell ref="I83:AT84"/>
    <mergeCell ref="C85:H86"/>
    <mergeCell ref="I85:AA86"/>
    <mergeCell ref="AB85:AF86"/>
    <mergeCell ref="AG85:AH86"/>
    <mergeCell ref="AI85:AJ86"/>
    <mergeCell ref="AK85:AL86"/>
    <mergeCell ref="AM85:AN86"/>
    <mergeCell ref="AO85:AP86"/>
    <mergeCell ref="AQ85:AR86"/>
    <mergeCell ref="AS85:AT86"/>
    <mergeCell ref="C87:H88"/>
    <mergeCell ref="I87:S88"/>
    <mergeCell ref="T87:Y88"/>
    <mergeCell ref="Z87:AK88"/>
    <mergeCell ref="AL87:AT87"/>
    <mergeCell ref="AL88:AT88"/>
    <mergeCell ref="C89:H90"/>
    <mergeCell ref="I89:R90"/>
    <mergeCell ref="S89:S90"/>
    <mergeCell ref="T89:Y90"/>
    <mergeCell ref="Z89:AD90"/>
    <mergeCell ref="AE89:AE90"/>
    <mergeCell ref="AF89:AF90"/>
    <mergeCell ref="AG89:AJ90"/>
    <mergeCell ref="AK89:AK90"/>
    <mergeCell ref="AL89:AO90"/>
    <mergeCell ref="AP89:AS90"/>
    <mergeCell ref="AT89:AT90"/>
    <mergeCell ref="C91:H92"/>
    <mergeCell ref="AI91:AT91"/>
    <mergeCell ref="I92:M92"/>
    <mergeCell ref="N92:V92"/>
    <mergeCell ref="W92:AA92"/>
    <mergeCell ref="AB92:AH92"/>
    <mergeCell ref="AI92:AM92"/>
    <mergeCell ref="AN92:AO92"/>
    <mergeCell ref="C93:H94"/>
    <mergeCell ref="K93:L94"/>
    <mergeCell ref="O93:P94"/>
    <mergeCell ref="R93:W94"/>
    <mergeCell ref="Z93:AA94"/>
    <mergeCell ref="AD93:AE94"/>
    <mergeCell ref="AG93:AL94"/>
    <mergeCell ref="AO93:AP94"/>
    <mergeCell ref="AS93:AT94"/>
    <mergeCell ref="C95:H96"/>
    <mergeCell ref="K95:L96"/>
    <mergeCell ref="O95:P96"/>
    <mergeCell ref="R95:W96"/>
    <mergeCell ref="Z95:AA96"/>
    <mergeCell ref="AD95:AE96"/>
    <mergeCell ref="AG95:AL96"/>
    <mergeCell ref="AO95:AP96"/>
    <mergeCell ref="AS95:AT96"/>
    <mergeCell ref="L97:U98"/>
    <mergeCell ref="V97:AC98"/>
    <mergeCell ref="AD97:AE98"/>
    <mergeCell ref="AF97:AG98"/>
    <mergeCell ref="AH97:AI98"/>
    <mergeCell ref="M102:AT103"/>
    <mergeCell ref="C104:H105"/>
    <mergeCell ref="I104:R105"/>
    <mergeCell ref="T104:U104"/>
    <mergeCell ref="W104:X104"/>
    <mergeCell ref="Z104:AA104"/>
    <mergeCell ref="AB104:AF105"/>
    <mergeCell ref="AG104:AN105"/>
    <mergeCell ref="AP104:AQ104"/>
    <mergeCell ref="AS104:AT104"/>
    <mergeCell ref="T105:U105"/>
    <mergeCell ref="W105:X105"/>
    <mergeCell ref="Z105:AA105"/>
    <mergeCell ref="AP105:AQ105"/>
    <mergeCell ref="AS105:AT105"/>
    <mergeCell ref="AN97:AQ98"/>
    <mergeCell ref="AB106:AT107"/>
    <mergeCell ref="C108:H109"/>
    <mergeCell ref="I108:I109"/>
    <mergeCell ref="J108:K109"/>
    <mergeCell ref="M108:M109"/>
    <mergeCell ref="N108:P109"/>
    <mergeCell ref="AF108:AG109"/>
    <mergeCell ref="AH108:AI109"/>
    <mergeCell ref="AJ108:AT109"/>
    <mergeCell ref="C106:H107"/>
    <mergeCell ref="I106:J107"/>
    <mergeCell ref="K106:L107"/>
    <mergeCell ref="M106:N107"/>
    <mergeCell ref="O106:P107"/>
    <mergeCell ref="Q106:U107"/>
    <mergeCell ref="V106:W107"/>
    <mergeCell ref="X106:Y107"/>
    <mergeCell ref="Z106:AA107"/>
    <mergeCell ref="C110:H111"/>
    <mergeCell ref="I110:AT111"/>
    <mergeCell ref="C112:H113"/>
    <mergeCell ref="I112:AT113"/>
    <mergeCell ref="Q108:U109"/>
    <mergeCell ref="V108:W109"/>
    <mergeCell ref="X108:Y109"/>
    <mergeCell ref="Z108:AA109"/>
    <mergeCell ref="AB108:AC109"/>
    <mergeCell ref="AD108:AE109"/>
    <mergeCell ref="AP118:AT118"/>
    <mergeCell ref="Z119:AD119"/>
    <mergeCell ref="AE119:AI119"/>
    <mergeCell ref="AK119:AN119"/>
    <mergeCell ref="AP119:AT119"/>
    <mergeCell ref="Z120:AD120"/>
    <mergeCell ref="AE120:AT120"/>
    <mergeCell ref="M115:AT116"/>
    <mergeCell ref="C117:H117"/>
    <mergeCell ref="Z117:AD117"/>
    <mergeCell ref="AE117:AT117"/>
    <mergeCell ref="C118:H120"/>
    <mergeCell ref="Z118:AD118"/>
    <mergeCell ref="AE118:AI118"/>
    <mergeCell ref="AK118:AN118"/>
    <mergeCell ref="I117:P117"/>
    <mergeCell ref="Q117:Y117"/>
    <mergeCell ref="I118:P120"/>
    <mergeCell ref="Q118:Y120"/>
    <mergeCell ref="Z123:AD123"/>
    <mergeCell ref="AE123:AT123"/>
    <mergeCell ref="C124:H124"/>
    <mergeCell ref="Z124:AD124"/>
    <mergeCell ref="AE124:AT124"/>
    <mergeCell ref="C121:H121"/>
    <mergeCell ref="I121:Y121"/>
    <mergeCell ref="Z121:AD121"/>
    <mergeCell ref="AE121:AT121"/>
    <mergeCell ref="C122:H123"/>
    <mergeCell ref="I122:Y123"/>
    <mergeCell ref="Z122:AD122"/>
    <mergeCell ref="AE122:AI122"/>
    <mergeCell ref="AK122:AN122"/>
    <mergeCell ref="AP122:AT122"/>
    <mergeCell ref="I124:P124"/>
    <mergeCell ref="Q124:Y124"/>
    <mergeCell ref="C133:H138"/>
    <mergeCell ref="I133:AT138"/>
    <mergeCell ref="Z127:AD127"/>
    <mergeCell ref="AE127:AT127"/>
    <mergeCell ref="C128:H128"/>
    <mergeCell ref="K128:T128"/>
    <mergeCell ref="W128:AF128"/>
    <mergeCell ref="C129:H131"/>
    <mergeCell ref="J129:K129"/>
    <mergeCell ref="M129:N129"/>
    <mergeCell ref="O129:AT129"/>
    <mergeCell ref="I130:AT131"/>
    <mergeCell ref="C125:H127"/>
    <mergeCell ref="Z125:AD125"/>
    <mergeCell ref="AE125:AI125"/>
    <mergeCell ref="AK125:AN125"/>
    <mergeCell ref="AP125:AT125"/>
    <mergeCell ref="Z126:AD126"/>
    <mergeCell ref="AE126:AI126"/>
    <mergeCell ref="AK126:AN126"/>
    <mergeCell ref="AP126:AT126"/>
    <mergeCell ref="I125:P127"/>
    <mergeCell ref="Q125:Y127"/>
  </mergeCells>
  <phoneticPr fontId="3"/>
  <conditionalFormatting sqref="AG48:AL48">
    <cfRule type="expression" dxfId="493" priority="130" stopIfTrue="1">
      <formula>$AV$48=0</formula>
    </cfRule>
  </conditionalFormatting>
  <conditionalFormatting sqref="J129 M129 I130">
    <cfRule type="expression" dxfId="492" priority="129" stopIfTrue="1">
      <formula>I129=""</formula>
    </cfRule>
  </conditionalFormatting>
  <conditionalFormatting sqref="I104 AG104 I112 I110">
    <cfRule type="expression" dxfId="491" priority="128" stopIfTrue="1">
      <formula>I104=""</formula>
    </cfRule>
  </conditionalFormatting>
  <conditionalFormatting sqref="I106:P107">
    <cfRule type="expression" dxfId="490" priority="127" stopIfTrue="1">
      <formula>$O$106=""</formula>
    </cfRule>
  </conditionalFormatting>
  <conditionalFormatting sqref="V106:AA107">
    <cfRule type="expression" dxfId="489" priority="126" stopIfTrue="1">
      <formula>$Z$106=""</formula>
    </cfRule>
  </conditionalFormatting>
  <conditionalFormatting sqref="S104:AA105">
    <cfRule type="expression" dxfId="488" priority="125" stopIfTrue="1">
      <formula>$AV$104=0</formula>
    </cfRule>
  </conditionalFormatting>
  <conditionalFormatting sqref="AO104:AT105">
    <cfRule type="expression" dxfId="487" priority="124" stopIfTrue="1">
      <formula>$AV$105=0</formula>
    </cfRule>
  </conditionalFormatting>
  <conditionalFormatting sqref="V108:AI109">
    <cfRule type="expression" dxfId="486" priority="123" stopIfTrue="1">
      <formula>OR($V$108="",$X$108="",$Z$108="",$AB$108="",$AD$108="",$AF$108="",$AH$108="")</formula>
    </cfRule>
  </conditionalFormatting>
  <conditionalFormatting sqref="I27">
    <cfRule type="expression" dxfId="485" priority="122">
      <formula>$I$27=""</formula>
    </cfRule>
  </conditionalFormatting>
  <conditionalFormatting sqref="I108:P109">
    <cfRule type="expression" dxfId="484" priority="121">
      <formula>$AV$108=0</formula>
    </cfRule>
  </conditionalFormatting>
  <conditionalFormatting sqref="I48">
    <cfRule type="expression" dxfId="483" priority="120" stopIfTrue="1">
      <formula>I48=""</formula>
    </cfRule>
  </conditionalFormatting>
  <conditionalFormatting sqref="I18:AA19">
    <cfRule type="expression" dxfId="482" priority="118" stopIfTrue="1">
      <formula>$AV$12=0</formula>
    </cfRule>
  </conditionalFormatting>
  <conditionalFormatting sqref="AE123">
    <cfRule type="expression" dxfId="481" priority="117" stopIfTrue="1">
      <formula>AE123=""</formula>
    </cfRule>
  </conditionalFormatting>
  <conditionalFormatting sqref="AI49:AJ50">
    <cfRule type="expression" dxfId="480" priority="116">
      <formula>$AI$49=""</formula>
    </cfRule>
  </conditionalFormatting>
  <conditionalFormatting sqref="AM49:AN50">
    <cfRule type="expression" dxfId="479" priority="115">
      <formula>$AM$49=""</formula>
    </cfRule>
  </conditionalFormatting>
  <conditionalFormatting sqref="AQ49:AR50">
    <cfRule type="expression" dxfId="478" priority="114">
      <formula>$AQ$49=""</formula>
    </cfRule>
  </conditionalFormatting>
  <conditionalFormatting sqref="N92 AB92 AN92 AQ92 AS92">
    <cfRule type="expression" dxfId="477" priority="131" stopIfTrue="1">
      <formula>AND(OR($AV$91=TRUE,$AW$91=TRUE,$AX$91=TRUE,$AY$91=TRUE,$AZ$91=TRUE,$BA$91=TRUE,$BB$91=TRUE,$BC$91=TRUE),N92="")</formula>
    </cfRule>
  </conditionalFormatting>
  <conditionalFormatting sqref="N92 AB92 AN92:AT92">
    <cfRule type="expression" dxfId="476" priority="132" stopIfTrue="1">
      <formula>AND($AV$91=FALSE,$AW$91=FALSE,$AX$91=FALSE,$AY$91=FALSE,$AZ$91=FALSE,$BA$91=FALSE,$BB$91=FALSE,$BC$91=FALSE)</formula>
    </cfRule>
  </conditionalFormatting>
  <conditionalFormatting sqref="I79:J80">
    <cfRule type="expression" dxfId="475" priority="113">
      <formula>$I$79=""</formula>
    </cfRule>
  </conditionalFormatting>
  <conditionalFormatting sqref="L79:M80">
    <cfRule type="expression" dxfId="474" priority="112">
      <formula>$L$79=""</formula>
    </cfRule>
  </conditionalFormatting>
  <conditionalFormatting sqref="O79:P80">
    <cfRule type="expression" dxfId="473" priority="111">
      <formula>$O$79=""</formula>
    </cfRule>
  </conditionalFormatting>
  <conditionalFormatting sqref="R79:S80">
    <cfRule type="expression" dxfId="472" priority="110">
      <formula>$R$79=""</formula>
    </cfRule>
  </conditionalFormatting>
  <conditionalFormatting sqref="I87:S88">
    <cfRule type="expression" dxfId="471" priority="108">
      <formula>$I$87=""</formula>
    </cfRule>
    <cfRule type="expression" dxfId="470" priority="109">
      <formula>$I$87="00：選択して下さい"</formula>
    </cfRule>
  </conditionalFormatting>
  <conditionalFormatting sqref="AE120">
    <cfRule type="expression" dxfId="469" priority="107">
      <formula>$AE$120=""</formula>
    </cfRule>
  </conditionalFormatting>
  <conditionalFormatting sqref="Z87">
    <cfRule type="expression" dxfId="468" priority="133">
      <formula>AND($AV$88="07",$Z$87="")</formula>
    </cfRule>
  </conditionalFormatting>
  <conditionalFormatting sqref="Z87:AK88">
    <cfRule type="expression" dxfId="467" priority="134">
      <formula>$AV$88&lt;"07"</formula>
    </cfRule>
  </conditionalFormatting>
  <conditionalFormatting sqref="I28">
    <cfRule type="expression" dxfId="466" priority="106">
      <formula>$I$28=""</formula>
    </cfRule>
  </conditionalFormatting>
  <conditionalFormatting sqref="I38">
    <cfRule type="expression" dxfId="465" priority="105">
      <formula>$I$38=""</formula>
    </cfRule>
  </conditionalFormatting>
  <conditionalFormatting sqref="K39:L39">
    <cfRule type="expression" dxfId="464" priority="104">
      <formula>$K$39=""</formula>
    </cfRule>
  </conditionalFormatting>
  <conditionalFormatting sqref="N39:O39">
    <cfRule type="expression" dxfId="463" priority="103">
      <formula>$N$39=""</formula>
    </cfRule>
  </conditionalFormatting>
  <conditionalFormatting sqref="Q39:R39">
    <cfRule type="expression" dxfId="462" priority="102">
      <formula>$Q$39=""</formula>
    </cfRule>
  </conditionalFormatting>
  <conditionalFormatting sqref="AA39">
    <cfRule type="expression" dxfId="461" priority="101">
      <formula>$AA$39=""</formula>
    </cfRule>
  </conditionalFormatting>
  <conditionalFormatting sqref="AN39:AR39">
    <cfRule type="expression" dxfId="460" priority="100">
      <formula>$AN$39=""</formula>
    </cfRule>
  </conditionalFormatting>
  <conditionalFormatting sqref="I40:AT41">
    <cfRule type="expression" dxfId="459" priority="99">
      <formula>$I$40=""</formula>
    </cfRule>
  </conditionalFormatting>
  <conditionalFormatting sqref="I43:N43">
    <cfRule type="expression" dxfId="458" priority="98">
      <formula>$I$43=""</formula>
    </cfRule>
  </conditionalFormatting>
  <conditionalFormatting sqref="X43:AB43">
    <cfRule type="expression" dxfId="457" priority="97">
      <formula>$X$43=""</formula>
    </cfRule>
  </conditionalFormatting>
  <conditionalFormatting sqref="I89:R90">
    <cfRule type="expression" dxfId="456" priority="96">
      <formula>$I$89=""</formula>
    </cfRule>
  </conditionalFormatting>
  <conditionalFormatting sqref="Z89:AD90">
    <cfRule type="expression" dxfId="455" priority="95">
      <formula>$Z$89=""</formula>
    </cfRule>
  </conditionalFormatting>
  <conditionalFormatting sqref="AG89:AJ90">
    <cfRule type="expression" dxfId="454" priority="94">
      <formula>$AG$89=""</formula>
    </cfRule>
  </conditionalFormatting>
  <conditionalFormatting sqref="AP89:AS90">
    <cfRule type="expression" dxfId="453" priority="93">
      <formula>$AP$89=""</formula>
    </cfRule>
  </conditionalFormatting>
  <conditionalFormatting sqref="I128:AT128">
    <cfRule type="expression" dxfId="452" priority="92">
      <formula>$AV$128=0</formula>
    </cfRule>
  </conditionalFormatting>
  <conditionalFormatting sqref="AE127">
    <cfRule type="expression" dxfId="451" priority="91">
      <formula>$AE$127=""</formula>
    </cfRule>
  </conditionalFormatting>
  <conditionalFormatting sqref="AI91">
    <cfRule type="expression" dxfId="450" priority="90" stopIfTrue="1">
      <formula>OR($AV$91=TRUE,$AW$91=TRUE,$AX$91=TRUE,$AY$91=TRUE,$AZ$91=TRUE,$BA$91=TRUE,$BB$91=TRUE,$BC$91=TRUE)</formula>
    </cfRule>
  </conditionalFormatting>
  <conditionalFormatting sqref="I20:AT22">
    <cfRule type="expression" dxfId="449" priority="89">
      <formula>$AV$21=0</formula>
    </cfRule>
  </conditionalFormatting>
  <conditionalFormatting sqref="AL43:AT43">
    <cfRule type="expression" dxfId="448" priority="88">
      <formula>AND($AL$43="",$AV$13&lt;&gt;2)</formula>
    </cfRule>
  </conditionalFormatting>
  <conditionalFormatting sqref="I81:AT82">
    <cfRule type="expression" dxfId="447" priority="87">
      <formula>$I$81=""</formula>
    </cfRule>
  </conditionalFormatting>
  <conditionalFormatting sqref="I85:AA86">
    <cfRule type="expression" dxfId="446" priority="86">
      <formula>$I$85=""</formula>
    </cfRule>
  </conditionalFormatting>
  <conditionalFormatting sqref="AI85:AJ86 AM85:AN86 AQ85:AR86">
    <cfRule type="expression" dxfId="445" priority="85">
      <formula>OR($AI$85="",$AM$85="",$AQ$85="")</formula>
    </cfRule>
  </conditionalFormatting>
  <conditionalFormatting sqref="I93:Q94">
    <cfRule type="expression" dxfId="444" priority="84">
      <formula>$AV$94=0</formula>
    </cfRule>
  </conditionalFormatting>
  <conditionalFormatting sqref="X93:AF94">
    <cfRule type="expression" dxfId="443" priority="83">
      <formula>$AW$94=0</formula>
    </cfRule>
  </conditionalFormatting>
  <conditionalFormatting sqref="AM93:AT94">
    <cfRule type="expression" dxfId="442" priority="82">
      <formula>$AX$94=0</formula>
    </cfRule>
  </conditionalFormatting>
  <conditionalFormatting sqref="I95:Q96">
    <cfRule type="expression" dxfId="441" priority="81">
      <formula>$AV$96=0</formula>
    </cfRule>
  </conditionalFormatting>
  <conditionalFormatting sqref="X95:AF96">
    <cfRule type="expression" dxfId="440" priority="80">
      <formula>$AW$96=0</formula>
    </cfRule>
  </conditionalFormatting>
  <conditionalFormatting sqref="AM95:AT96">
    <cfRule type="expression" dxfId="439" priority="79">
      <formula>$AX$96=0</formula>
    </cfRule>
  </conditionalFormatting>
  <conditionalFormatting sqref="AF97 AJ97">
    <cfRule type="expression" dxfId="438" priority="78">
      <formula>OR($AF$97="",$AJ$97="")</formula>
    </cfRule>
  </conditionalFormatting>
  <conditionalFormatting sqref="AF99 AJ99">
    <cfRule type="expression" dxfId="437" priority="77">
      <formula>OR($AF$99="",$AJ$99="")</formula>
    </cfRule>
  </conditionalFormatting>
  <conditionalFormatting sqref="AD97:AM98">
    <cfRule type="expression" dxfId="436" priority="76">
      <formula>$AV$97&lt;&gt;3</formula>
    </cfRule>
  </conditionalFormatting>
  <conditionalFormatting sqref="AD99:AM100">
    <cfRule type="expression" dxfId="435" priority="75">
      <formula>$AV$99&lt;&gt;2</formula>
    </cfRule>
  </conditionalFormatting>
  <conditionalFormatting sqref="L97:U98">
    <cfRule type="expression" dxfId="434" priority="74">
      <formula>$AV$97=0</formula>
    </cfRule>
  </conditionalFormatting>
  <conditionalFormatting sqref="L99:U100">
    <cfRule type="expression" dxfId="433" priority="73">
      <formula>$AV$99=0</formula>
    </cfRule>
  </conditionalFormatting>
  <conditionalFormatting sqref="O38:R38">
    <cfRule type="expression" dxfId="432" priority="72">
      <formula>$O$38=""</formula>
    </cfRule>
  </conditionalFormatting>
  <conditionalFormatting sqref="T38:X38">
    <cfRule type="expression" dxfId="431" priority="71">
      <formula>$T$38=""</formula>
    </cfRule>
  </conditionalFormatting>
  <conditionalFormatting sqref="I55">
    <cfRule type="expression" dxfId="430" priority="70">
      <formula>$I$55=""</formula>
    </cfRule>
  </conditionalFormatting>
  <conditionalFormatting sqref="O55:R55">
    <cfRule type="expression" dxfId="429" priority="69">
      <formula>$O$55=""</formula>
    </cfRule>
  </conditionalFormatting>
  <conditionalFormatting sqref="T55:X55">
    <cfRule type="expression" dxfId="428" priority="68">
      <formula>$T$55=""</formula>
    </cfRule>
  </conditionalFormatting>
  <conditionalFormatting sqref="I76">
    <cfRule type="expression" dxfId="427" priority="67">
      <formula>$I$76=""</formula>
    </cfRule>
  </conditionalFormatting>
  <conditionalFormatting sqref="O76:R76">
    <cfRule type="expression" dxfId="426" priority="66">
      <formula>$O$76=""</formula>
    </cfRule>
  </conditionalFormatting>
  <conditionalFormatting sqref="T76:X76">
    <cfRule type="expression" dxfId="425" priority="65">
      <formula>$T$76=""</formula>
    </cfRule>
  </conditionalFormatting>
  <conditionalFormatting sqref="AE118">
    <cfRule type="expression" dxfId="424" priority="64">
      <formula>$AE$118=""</formula>
    </cfRule>
  </conditionalFormatting>
  <conditionalFormatting sqref="AK118:AN118">
    <cfRule type="expression" dxfId="423" priority="63">
      <formula>$AK$118=""</formula>
    </cfRule>
  </conditionalFormatting>
  <conditionalFormatting sqref="AP118:AT118">
    <cfRule type="expression" dxfId="422" priority="62">
      <formula>$AP$118=""</formula>
    </cfRule>
  </conditionalFormatting>
  <conditionalFormatting sqref="AE125">
    <cfRule type="expression" dxfId="421" priority="61">
      <formula>$AE$125=""</formula>
    </cfRule>
  </conditionalFormatting>
  <conditionalFormatting sqref="AK125:AN125">
    <cfRule type="expression" dxfId="420" priority="60">
      <formula>$AK$125=""</formula>
    </cfRule>
  </conditionalFormatting>
  <conditionalFormatting sqref="AP125:AT125">
    <cfRule type="expression" dxfId="419" priority="59">
      <formula>$AP$125=""</formula>
    </cfRule>
  </conditionalFormatting>
  <conditionalFormatting sqref="AE122">
    <cfRule type="expression" dxfId="418" priority="58">
      <formula>$AE$122=""</formula>
    </cfRule>
  </conditionalFormatting>
  <conditionalFormatting sqref="AK122:AN122">
    <cfRule type="expression" dxfId="417" priority="57">
      <formula>$AK$122=""</formula>
    </cfRule>
  </conditionalFormatting>
  <conditionalFormatting sqref="AP122:AT122">
    <cfRule type="expression" dxfId="416" priority="56">
      <formula>$AP$122=""</formula>
    </cfRule>
  </conditionalFormatting>
  <conditionalFormatting sqref="AB18:AT19">
    <cfRule type="expression" dxfId="415" priority="55" stopIfTrue="1">
      <formula>$AV$13=0</formula>
    </cfRule>
  </conditionalFormatting>
  <conditionalFormatting sqref="X48">
    <cfRule type="expression" dxfId="414" priority="54" stopIfTrue="1">
      <formula>X48=""</formula>
    </cfRule>
  </conditionalFormatting>
  <conditionalFormatting sqref="O48">
    <cfRule type="expression" dxfId="413" priority="53" stopIfTrue="1">
      <formula>O48=""</formula>
    </cfRule>
  </conditionalFormatting>
  <conditionalFormatting sqref="I49:N50">
    <cfRule type="expression" dxfId="412" priority="52">
      <formula>$I$49=""</formula>
    </cfRule>
  </conditionalFormatting>
  <conditionalFormatting sqref="O49:T50">
    <cfRule type="expression" dxfId="411" priority="51">
      <formula>$O$49=""</formula>
    </cfRule>
  </conditionalFormatting>
  <conditionalFormatting sqref="J35:K35">
    <cfRule type="expression" dxfId="410" priority="49">
      <formula>$J$35=""</formula>
    </cfRule>
  </conditionalFormatting>
  <conditionalFormatting sqref="M35:N35">
    <cfRule type="expression" dxfId="409" priority="48">
      <formula>$M$35=""</formula>
    </cfRule>
  </conditionalFormatting>
  <conditionalFormatting sqref="I36">
    <cfRule type="expression" dxfId="408" priority="47">
      <formula>OR(AV36="00",AV36="")</formula>
    </cfRule>
  </conditionalFormatting>
  <conditionalFormatting sqref="N36">
    <cfRule type="expression" dxfId="407" priority="45">
      <formula>N36=""</formula>
    </cfRule>
  </conditionalFormatting>
  <conditionalFormatting sqref="V36">
    <cfRule type="expression" dxfId="406" priority="44">
      <formula>V36=""</formula>
    </cfRule>
  </conditionalFormatting>
  <conditionalFormatting sqref="AD36">
    <cfRule type="expression" dxfId="405" priority="43">
      <formula>AD36=""</formula>
    </cfRule>
  </conditionalFormatting>
  <conditionalFormatting sqref="J52:K52">
    <cfRule type="expression" dxfId="404" priority="41">
      <formula>$J$52=""</formula>
    </cfRule>
  </conditionalFormatting>
  <conditionalFormatting sqref="M52:N52">
    <cfRule type="expression" dxfId="403" priority="40">
      <formula>$M$52=""</formula>
    </cfRule>
  </conditionalFormatting>
  <conditionalFormatting sqref="I53">
    <cfRule type="expression" dxfId="402" priority="39">
      <formula>OR(AV53="00",AV53="")</formula>
    </cfRule>
  </conditionalFormatting>
  <conditionalFormatting sqref="N53">
    <cfRule type="expression" dxfId="401" priority="37">
      <formula>N53=""</formula>
    </cfRule>
  </conditionalFormatting>
  <conditionalFormatting sqref="V53">
    <cfRule type="expression" dxfId="400" priority="36">
      <formula>V53=""</formula>
    </cfRule>
  </conditionalFormatting>
  <conditionalFormatting sqref="AD53">
    <cfRule type="expression" dxfId="399" priority="35">
      <formula>AD53=""</formula>
    </cfRule>
  </conditionalFormatting>
  <conditionalFormatting sqref="I64">
    <cfRule type="expression" dxfId="398" priority="33">
      <formula>$I$64=""</formula>
    </cfRule>
  </conditionalFormatting>
  <conditionalFormatting sqref="AB64">
    <cfRule type="expression" dxfId="397" priority="32">
      <formula>$AV$64="NG"</formula>
    </cfRule>
  </conditionalFormatting>
  <conditionalFormatting sqref="I67:AA68">
    <cfRule type="expression" dxfId="396" priority="31">
      <formula>$I$67=""</formula>
    </cfRule>
  </conditionalFormatting>
  <conditionalFormatting sqref="I60:AT62">
    <cfRule type="expression" dxfId="395" priority="29">
      <formula>I60=""</formula>
    </cfRule>
  </conditionalFormatting>
  <conditionalFormatting sqref="I74:AT75">
    <cfRule type="expression" dxfId="394" priority="28">
      <formula>$AV$74="NG"</formula>
    </cfRule>
  </conditionalFormatting>
  <conditionalFormatting sqref="J71:K71">
    <cfRule type="expression" dxfId="393" priority="27">
      <formula>$J$71=""</formula>
    </cfRule>
  </conditionalFormatting>
  <conditionalFormatting sqref="M71:N71">
    <cfRule type="expression" dxfId="392" priority="26">
      <formula>$M$71=""</formula>
    </cfRule>
  </conditionalFormatting>
  <conditionalFormatting sqref="I72">
    <cfRule type="expression" dxfId="391" priority="25">
      <formula>OR(AV72="00",AV72="")</formula>
    </cfRule>
  </conditionalFormatting>
  <conditionalFormatting sqref="N72">
    <cfRule type="expression" dxfId="390" priority="23">
      <formula>N72=""</formula>
    </cfRule>
  </conditionalFormatting>
  <conditionalFormatting sqref="V72">
    <cfRule type="expression" dxfId="389" priority="22">
      <formula>V72=""</formula>
    </cfRule>
  </conditionalFormatting>
  <conditionalFormatting sqref="AD72">
    <cfRule type="expression" dxfId="388" priority="21">
      <formula>AD72=""</formula>
    </cfRule>
  </conditionalFormatting>
  <conditionalFormatting sqref="I71:AT73">
    <cfRule type="expression" dxfId="387" priority="19">
      <formula>$AV$69=TRUE</formula>
    </cfRule>
  </conditionalFormatting>
  <conditionalFormatting sqref="I83:AT84">
    <cfRule type="expression" dxfId="386" priority="18">
      <formula>$AV$83="NG"</formula>
    </cfRule>
  </conditionalFormatting>
  <conditionalFormatting sqref="I17:AT17">
    <cfRule type="expression" dxfId="385" priority="17" stopIfTrue="1">
      <formula>$AV$18=FALSE</formula>
    </cfRule>
  </conditionalFormatting>
  <conditionalFormatting sqref="I66:AA66">
    <cfRule type="expression" dxfId="384" priority="16">
      <formula>$I$66=""</formula>
    </cfRule>
  </conditionalFormatting>
  <conditionalFormatting sqref="I11:AT16">
    <cfRule type="expression" dxfId="383" priority="15" stopIfTrue="1">
      <formula>$AV$18=FALSE</formula>
    </cfRule>
  </conditionalFormatting>
  <conditionalFormatting sqref="I31">
    <cfRule type="expression" dxfId="382" priority="14">
      <formula>$AV$31="NG"</formula>
    </cfRule>
  </conditionalFormatting>
  <conditionalFormatting sqref="AE31:AT33">
    <cfRule type="expression" dxfId="381" priority="13">
      <formula>$AV$32="NG"</formula>
    </cfRule>
  </conditionalFormatting>
  <conditionalFormatting sqref="AB67:AT68">
    <cfRule type="expression" dxfId="380" priority="12">
      <formula>$AV$67="NG"</formula>
    </cfRule>
  </conditionalFormatting>
  <conditionalFormatting sqref="AD34:AE34">
    <cfRule type="expression" dxfId="379" priority="11">
      <formula>$AE$34=""</formula>
    </cfRule>
  </conditionalFormatting>
  <conditionalFormatting sqref="N34:U34">
    <cfRule type="expression" dxfId="378" priority="10">
      <formula>$O$34=""</formula>
    </cfRule>
  </conditionalFormatting>
  <conditionalFormatting sqref="V34:AC34">
    <cfRule type="expression" dxfId="377" priority="9">
      <formula>$W$34=""</formula>
    </cfRule>
  </conditionalFormatting>
  <conditionalFormatting sqref="AD51:AE51">
    <cfRule type="expression" dxfId="376" priority="8">
      <formula>$AE$34=""</formula>
    </cfRule>
  </conditionalFormatting>
  <conditionalFormatting sqref="N51:U51">
    <cfRule type="expression" dxfId="375" priority="7">
      <formula>$O$34=""</formula>
    </cfRule>
  </conditionalFormatting>
  <conditionalFormatting sqref="V51:AC51">
    <cfRule type="expression" dxfId="374" priority="6">
      <formula>$W$34=""</formula>
    </cfRule>
  </conditionalFormatting>
  <conditionalFormatting sqref="AD70:AE70">
    <cfRule type="expression" dxfId="373" priority="5">
      <formula>$AE$34=""</formula>
    </cfRule>
  </conditionalFormatting>
  <conditionalFormatting sqref="N70:U70">
    <cfRule type="expression" dxfId="372" priority="4">
      <formula>$O$34=""</formula>
    </cfRule>
  </conditionalFormatting>
  <conditionalFormatting sqref="V70:AC70">
    <cfRule type="expression" dxfId="371" priority="3">
      <formula>$W$34=""</formula>
    </cfRule>
  </conditionalFormatting>
  <conditionalFormatting sqref="I117:Y127">
    <cfRule type="expression" dxfId="370" priority="2" stopIfTrue="1">
      <formula>I117=""</formula>
    </cfRule>
  </conditionalFormatting>
  <conditionalFormatting sqref="AN97:AQ98">
    <cfRule type="expression" dxfId="369" priority="1">
      <formula>AND($AW$96&lt;2,$AX$96&lt;2)</formula>
    </cfRule>
  </conditionalFormatting>
  <dataValidations count="114">
    <dataValidation type="custom" imeMode="fullKatakana" allowBlank="1" showInputMessage="1" showErrorMessage="1" errorTitle="カナ入力" error="カナで入力してください。" sqref="I66:AA66">
      <formula1>AND(I66=PHONETIC(I66), LEN(I66)*2=LENB(I66))</formula1>
    </dataValidation>
    <dataValidation type="custom" errorStyle="warning" imeMode="off" operator="lessThanOrEqual" allowBlank="1" showInputMessage="1" showErrorMessage="1" errorTitle="文字数制限" error="半角英数字20文字までで設定をお願いいたします" promptTitle="アルファベット表記" prompt="半角英数字20文字までで設定をお願いいたします。なお、英字は大文字でご記入ください。" sqref="I64:AA65">
      <formula1>AND(COUNT(INDEX(FIND(MID(UPPER(I64)&amp;REPT("*",20),ROW($1:$20),1),"ABCDEFGHIJKLMNOPQRSTUVWXYZ1234567890.,  "),))=LEN(I64),LEN(I64)&lt;21)</formula1>
    </dataValidation>
    <dataValidation type="custom" imeMode="halfAlpha" operator="greaterThanOrEqual" allowBlank="1" showInputMessage="1" showErrorMessage="1" error="半角数字で入力してください。" promptTitle="免許番号" prompt="免許番号（数字）のみてこちらに記入して下さい_x000a_例：○○許可証△△県指令第XXXXX号の場合_x000a_免許名称欄に『○○許可証△△県指令』と記載_x000a_免許番号欄に『XXXXX』_x000a_と記載" sqref="AB92:AH92">
      <formula1>AND(COUNT(INDEX(FIND(MID(UPPER(AB92)&amp;REPT("*",25),ROW($1:$25),1),"1234567890,  "),))=LEN(AB92),LEN(AB92)&lt;26)</formula1>
    </dataValidation>
    <dataValidation type="custom" imeMode="disabled" allowBlank="1" showInputMessage="1" showErrorMessage="1" sqref="I56:X57 AE56:AT57">
      <formula1>AND(COUNT(INDEX(FIND(MID(UPPER(I56)&amp;REPT("*",13),ROW($1:$13),1),"1234567890-"),))=LEN(I56),LENB(I56)&lt;14)</formula1>
    </dataValidation>
    <dataValidation allowBlank="1" showInputMessage="1" showErrorMessage="1" promptTitle="下記の決済手段をお申込の場合は入力ください。" prompt="・Alipay_x000a_・WeChat Pay_x000a_・銀聯" sqref="I74:AT75 I83:AT84"/>
    <dataValidation type="textLength" imeMode="hiragana" operator="lessThanOrEqual" allowBlank="1" showInputMessage="1" showErrorMessage="1" errorTitle="文字数制限" error="全角20文字以内でお願いいたします。" prompt="ご利用明細・レシートに記載される表記となります。" sqref="I61:AT62">
      <formula1>20</formula1>
    </dataValidation>
    <dataValidation operator="lessThanOrEqual" allowBlank="1" showInputMessage="1" errorTitle="アルファベット表記" error="半角英数字25文字までで設定をお願いいたします" promptTitle="下記の決済手段をお申込の場合は入力ください。" prompt="・Alipay_x000a_・WeChat Pay_x000a_・銀聯" sqref="AB67:AT68"/>
    <dataValidation type="textLength" operator="lessThanOrEqual" allowBlank="1" showInputMessage="1" showErrorMessage="1" errorTitle="文字数制限" error="32文字以内で設定をお願いいたします。" promptTitle="ブランド名" prompt="会社名ではなく、ブランド名をご記載ください。_x000a_店舗名は含めないでください。" sqref="I67:AA68">
      <formula1>32</formula1>
    </dataValidation>
    <dataValidation type="textLength" operator="lessThanOrEqual" showInputMessage="1" showErrorMessage="1" errorTitle="文字数制限" error="20文字以内でお願いいたします。" promptTitle="下記の決済手段をお申込の場合は入力ください。" prompt="・Alipay_x000a_・WeChat Pay_x000a_・銀聯" sqref="AB64:AT65">
      <formula1>20</formula1>
    </dataValidation>
    <dataValidation type="list" imeMode="hiragana" allowBlank="1" showErrorMessage="1" promptTitle="会社所在地" prompt="都道府県名からご記入下さい" sqref="I36:M37 I53:M54 I72:M73">
      <formula1>■都道府県</formula1>
    </dataValidation>
    <dataValidation imeMode="hiragana" allowBlank="1" showInputMessage="1" showErrorMessage="1" promptTitle="下記の決済手段をお申込の場合は入力ください。" prompt="・Alipay_x000a_・WeChat Pay_x000a_・銀聯" sqref="I31"/>
    <dataValidation type="custom" imeMode="hiragana" allowBlank="1" showInputMessage="1" showErrorMessage="1" errorTitle="入力文字制限" error="スペースは入力できません。" sqref="I49:T50">
      <formula1>LEN(SUBSTITUTE(SUBSTITUTE(I49,"　","")," ",""))=LEN(I49)</formula1>
    </dataValidation>
    <dataValidation type="custom" imeMode="fullKatakana" allowBlank="1" showInputMessage="1" showErrorMessage="1" errorTitle="カナ入力" error="カナで入力してください。_x000a_スペースは入力できません。" sqref="I48:T48">
      <formula1>AND(I48=PHONETIC(I48), LEN(I48)*2=LENB(I48),LEN(SUBSTITUTE(SUBSTITUTE(I48,"　","")," ",""))=LEN(I48))</formula1>
    </dataValidation>
    <dataValidation type="custom" imeMode="disabled" allowBlank="1" showInputMessage="1" showErrorMessage="1" errorTitle="電話番号" error="市外局番：5桁以内_x000a_市内局番：4桁以内_x000a_加入者番号：4桁以内_x000a_合計：12桁以内でご入力ください。" promptTitle="FAX番号" prompt="FAXが無い場合は、ハイフン等を入力せず空欄にしてください。" sqref="AP119:AT119 AP126:AT126">
      <formula1>AND(ISNUMBER(VALUE(AP119)),LENB(AP119)&lt;5,ISERROR(FIND("NG",AV119)))</formula1>
    </dataValidation>
    <dataValidation type="custom" imeMode="disabled" allowBlank="1" showInputMessage="1" showErrorMessage="1" errorTitle="電話番号" error="市外局番：5桁以内_x000a_市内局番：4桁以内_x000a_加入者番号：4桁以内_x000a_合計：12桁以内でご入力ください。" promptTitle="FAX番号" prompt="FAXが無い場合は、ハイフン等を入力せず空欄にしてください。" sqref="AK119:AN119 AK126:AN126">
      <formula1>AND(ISNUMBER(VALUE(AK119)),LENB(AK119)&lt;5,ISERROR(FIND("NG",AV119)))</formula1>
    </dataValidation>
    <dataValidation type="custom" imeMode="disabled" allowBlank="1" showInputMessage="1" showErrorMessage="1" errorTitle="電話番号" error="市外局番：5桁以内_x000a_市内局番：4桁以内_x000a_加入者番号：4桁以内_x000a_合計：12桁以内でご入力ください。" promptTitle="FAX番号" prompt="FAXが無い場合は、ハイフン等を入力せず空欄にしてください。" sqref="AE119:AI119 AE126:AI126">
      <formula1>AND(ISNUMBER(VALUE(AE119)),LENB(AE119)&lt;6,ISERROR(FIND("NG",AV119)))</formula1>
    </dataValidation>
    <dataValidation type="custom" imeMode="disabled" allowBlank="1" showInputMessage="1" showErrorMessage="1" errorTitle="メールアドレス" error="@が入ったメールアドレスを記載ください。" promptTitle="E-mailアドレス" prompt="グループアドレスのご指定を推奨しております。" sqref="AE120:AT120 AE127:AT127">
      <formula1>ISERROR(FIND("NG",AW120))</formula1>
    </dataValidation>
    <dataValidation type="custom" imeMode="disabled" allowBlank="1" showInputMessage="1" showErrorMessage="1" errorTitle="電話番号" error="市外局番：5桁以内_x000a_市内局番：4桁以内_x000a_加入者番号：4桁以内_x000a_合計：12桁以内でご入力ください。" sqref="AP118:AT118 AP125:AT125 AP122:AT122">
      <formula1>AND(ISNUMBER(VALUE(AP118)),LENB(AP118)&lt;5,ISERROR(FIND("NG",AV118)))</formula1>
    </dataValidation>
    <dataValidation type="custom" imeMode="disabled" allowBlank="1" showInputMessage="1" showErrorMessage="1" errorTitle="電話番号" error="市外局番：5桁以内_x000a_市内局番：4桁以内_x000a_加入者番号：4桁以内_x000a_合計：12桁以内でご入力ください。" sqref="AK118:AN118 AK125:AN125 AK122:AN122">
      <formula1>AND(ISNUMBER(VALUE(AK118)),LENB(AK118)&lt;5,ISERROR(FIND("NG",AV118)))</formula1>
    </dataValidation>
    <dataValidation type="custom" imeMode="disabled" allowBlank="1" showInputMessage="1" showErrorMessage="1" errorTitle="電話番号" error="市外局番：5桁以内_x000a_市内局番：4桁以内_x000a_加入者番号：4桁以内_x000a_合計：12桁以内でご入力ください。" sqref="AE118:AI118 AE125:AI125 AE122:AI122">
      <formula1>AND(ISNUMBER(VALUE(AE118)),LENB(AE118)&lt;6,ISERROR(FIND("NG",AV118)))</formula1>
    </dataValidation>
    <dataValidation type="custom" imeMode="disabled" allowBlank="1" showInputMessage="1" showErrorMessage="1" errorTitle="電話番号" error="市外局番：5桁以内_x000a_市内局番：4桁以内_x000a_加入者番号：4桁以内_x000a_合計：12桁以内でご入力ください。" promptTitle="FAX番号" prompt="FAXが無い場合は、ハイフン等を入力せず空欄にしてください。" sqref="AK38:AN38 AK55:AN55">
      <formula1>AND(ISNUMBER(VALUE(AK38)),LENB(AK38)&lt;5,ISERROR(FIND("NG",AW38)))</formula1>
    </dataValidation>
    <dataValidation type="custom" imeMode="disabled" allowBlank="1" showInputMessage="1" showErrorMessage="1" errorTitle="電話番号" error="市外局番：5桁以内_x000a_市内局番：4桁以内_x000a_加入者番号：4桁以内_x000a_合計：12桁以内でご入力ください。" promptTitle="FAX番号" prompt="FAXが無い場合は、ハイフン等を入力せず空欄にしてください。" sqref="AE38:AI38 AE55:AI55">
      <formula1>AND(ISNUMBER(VALUE(AE38)),LENB(AE38)&lt;6,ISERROR(FIND("NG",AW38)))</formula1>
    </dataValidation>
    <dataValidation type="custom" imeMode="disabled" allowBlank="1" showInputMessage="1" showErrorMessage="1" errorTitle="電話番号" error="市外局番：5桁以内_x000a_市内局番：4桁以内_x000a_加入者番号：4桁以内_x000a_合計：12桁以内でご入力ください。" sqref="O38:R38 O55:R55 O76:R76">
      <formula1>AND(ISNUMBER(VALUE(O38)),LENB(O38)&lt;5,ISERROR(FIND("NG",AV38)))</formula1>
    </dataValidation>
    <dataValidation type="custom" imeMode="disabled" allowBlank="1" showInputMessage="1" showErrorMessage="1" errorTitle="電話番号" error="市外局番：5桁以内_x000a_市内局番：4桁以内_x000a_加入者番号：4桁以内_x000a_合計：12桁以内でご入力ください。" sqref="I38:M38 I55:M55 I76:M76">
      <formula1>AND(ISNUMBER(VALUE(I38)),LENB(I38)&lt;6,ISERROR(FIND("NG",AV38)))</formula1>
    </dataValidation>
    <dataValidation type="custom" imeMode="disabled" allowBlank="1" showInputMessage="1" showErrorMessage="1" errorTitle="電話番号" error="市外局番：5桁以内_x000a_市内局番：4桁以内_x000a_加入者番号：4桁以内_x000a_合計：12桁以内でご入力ください。" promptTitle="FAX番号" prompt="FAXが無い場合は、ハイフン等を入力せず空欄にしてください。" sqref="AP55:AT55 AP38:AT38">
      <formula1>AND(ISNUMBER(VALUE(AP38)),LENB(AP38)&lt;5,ISERROR(FIND("NG",AW38)))</formula1>
    </dataValidation>
    <dataValidation type="custom" imeMode="disabled" allowBlank="1" showInputMessage="1" showErrorMessage="1" errorTitle="電話番号" error="市外局番：5桁以内_x000a_市内局番：4桁以内_x000a_加入者番号：4桁以内_x000a_合計：12桁以内でご入力ください。" sqref="T38:X38 T55:X55 T76:X76">
      <formula1>AND(ISNUMBER(VALUE(T38)),LENB(T38)&lt;5,ISERROR(FIND("NG",AV38)))</formula1>
    </dataValidation>
    <dataValidation allowBlank="1" showInputMessage="1" showErrorMessage="1" promptTitle="FAX番号" prompt="FAXが無い場合は、ハイフン等を入力せず空欄にしてください。" sqref="AJ38 AO38 AJ55 AO55 AJ119 AO119 AJ126 AO126"/>
    <dataValidation type="list" allowBlank="1" showInputMessage="1" showErrorMessage="1" sqref="AL88:AT88">
      <formula1>$AZ$2:$AZ$18</formula1>
    </dataValidation>
    <dataValidation type="list" allowBlank="1" showInputMessage="1" showErrorMessage="1" sqref="L97:U98">
      <formula1>カード情報保持状況</formula1>
    </dataValidation>
    <dataValidation type="list" allowBlank="1" showInputMessage="1" showErrorMessage="1" sqref="L99:U100">
      <formula1>PCIDSS準拠状況</formula1>
    </dataValidation>
    <dataValidation imeMode="disabled" allowBlank="1" showInputMessage="1" showErrorMessage="1" sqref="X43:AB43 AN97"/>
    <dataValidation imeMode="hiragana" allowBlank="1" showInputMessage="1" showErrorMessage="1" promptTitle="業種" prompt="決済の対象となる取扱い商品を出来るだけ具体的にご記入下さい。" sqref="I85"/>
    <dataValidation type="custom" imeMode="hiragana" allowBlank="1" showInputMessage="1" showErrorMessage="1" errorTitle="文字数制限がございます" error="200文字以内でご記入下さい。" promptTitle="業種" prompt="決済の対象となるサービスを出来るだけ具体的にご記入下さい。" sqref="I81:AT82">
      <formula1>LENB(I81)&lt;=200</formula1>
    </dataValidation>
    <dataValidation operator="greaterThanOrEqual" allowBlank="1" showInputMessage="1" showErrorMessage="1" sqref="AO95 AS95 AO93 AS93 AM93:AN96 AR93:AR100 AQ93:AQ96"/>
    <dataValidation allowBlank="1" showInputMessage="1" showErrorMessage="1" promptTitle="免許名称" prompt="免許番号（数字）以外全てこちらに記入して下さい_x000a_例：○○許可証△△県指令第XXXXX号の場合_x000a_免許名称欄に『○○許可証△△県指令』と記載_x000a_免許番号欄に『XXXXX』_x000a_と記載" sqref="N92:V92"/>
    <dataValidation type="custom" imeMode="disabled" allowBlank="1" showInputMessage="1" showErrorMessage="1" errorTitle="桁数チェック" error="半角英数字128文字以内で入力してください。" sqref="X44">
      <formula1>LENB(AL6)&lt;129</formula1>
    </dataValidation>
    <dataValidation type="textLength" imeMode="halfAlpha" operator="equal" allowBlank="1" showInputMessage="1" showErrorMessage="1" error="13桁で入力をお願いいたします。" promptTitle="法人番号" prompt="法人番号は申込区分が「法人」の場合に必須となります。_x000a_13桁の法人番号のご入力をお願いいたします。_x000a_" sqref="AL43:AT43">
      <formula1>13</formula1>
    </dataValidation>
    <dataValidation type="custom" allowBlank="1" showInputMessage="1" showErrorMessage="1" errorTitle="メールアドレス" error="@が入ったメールアドレスを記載ください。" promptTitle="E-mailアドレス" prompt="グループアドレスのご指定を推奨しております。" sqref="AN123:AP123">
      <formula1>ISERROR(FIND("NG",BF111))</formula1>
    </dataValidation>
    <dataValidation type="custom" allowBlank="1" showInputMessage="1" showErrorMessage="1" errorTitle="メールアドレス" error="@が入ったメールアドレスを記載ください。" promptTitle="E-mailアドレス" prompt="グループアドレスのご指定を推奨しております。" sqref="AM123">
      <formula1>ISERROR(FIND("NG",BE110))</formula1>
    </dataValidation>
    <dataValidation type="whole" imeMode="halfAlpha" operator="greaterThanOrEqual" allowBlank="1" showInputMessage="1" showErrorMessage="1" errorTitle="月間カード取扱金額（目安）" error="半角数字でご入力ください" sqref="I89:R90">
      <formula1>1</formula1>
    </dataValidation>
    <dataValidation type="whole" imeMode="halfAlpha" operator="greaterThanOrEqual" allowBlank="1" showInputMessage="1" showErrorMessage="1" errorTitle="平均購入額" error="半角数字でご入力ください" sqref="AP89:AS90">
      <formula1>1</formula1>
    </dataValidation>
    <dataValidation type="whole" imeMode="halfAlpha" operator="greaterThanOrEqual" allowBlank="1" showInputMessage="1" showErrorMessage="1" errorTitle="商品価格帯" error="半角数字でご入力ください" sqref="Z89:AD90 AG89:AJ90">
      <formula1>1</formula1>
    </dataValidation>
    <dataValidation imeMode="hiragana" allowBlank="1" showInputMessage="1" showErrorMessage="1" promptTitle="売上報告担当" prompt="収納明細書や請求書をお送りする先となります。" sqref="I125:Y127"/>
    <dataValidation imeMode="hiragana" allowBlank="1" showInputMessage="1" showErrorMessage="1" promptTitle="運用担当" prompt="契約手続き完了のご依頼、決済機関からの問い合わせのご連絡、メンテナンスのご案内などをお送りする先となります。" sqref="I118:Y120"/>
    <dataValidation type="list" allowBlank="1" showInputMessage="1" showErrorMessage="1" promptTitle="販売形態" prompt="複数の形態で営業されている場合には、本サービスを利用する売上規模の一番大きい、メインの販売形態についてご入力ください。" sqref="I87:S88">
      <formula1>■販売形態</formula1>
    </dataValidation>
    <dataValidation imeMode="hiragana" allowBlank="1" showInputMessage="1" showErrorMessage="1" promptTitle="部署名" prompt="特に無い場合には、ハイフン等を入力せず空欄にしてください。" sqref="AE117:AT117 AE124:AT124"/>
    <dataValidation type="custom" imeMode="disabled" allowBlank="1" showInputMessage="1" showErrorMessage="1" errorTitle="桁数チェック" error="半角英数字128文字以内で入力してください。" prompt="http://やhttps://を省略せずご入力下さい。_x000a_企業HPや店舗HPがございましたら、ご入力ください。_x000a_いずれのHPも無い場合には、ハイフン等を入力せず空欄にしてください。" sqref="I42:AT42">
      <formula1>LENB(A4)&lt;129</formula1>
    </dataValidation>
    <dataValidation type="custom" imeMode="disabled" allowBlank="1" showInputMessage="1" showErrorMessage="1" errorTitle="桁数チェック" error="半角英数字128文字以内で入力してください。" promptTitle="サイトURL" prompt="http://やhttps://を省略せずご記入下さい。" sqref="I77:AT78">
      <formula1>LENB(I77)&lt;129</formula1>
    </dataValidation>
    <dataValidation type="custom" allowBlank="1" showInputMessage="1" showErrorMessage="1" errorTitle="メールアドレス" error="@が入ったメールアドレスを記載ください。" promptTitle="E-mailアドレス" prompt="グループアドレスのご指定を推奨しております。" sqref="AH123:AL123">
      <formula1>ISERROR(FIND("NG",AZ113))</formula1>
    </dataValidation>
    <dataValidation type="custom" imeMode="hiragana" allowBlank="1" showErrorMessage="1" errorTitle="入力文字制限" error="スペースは入力できません。" promptTitle="会社所在地" prompt="都道府県名からご記入下さい" sqref="N36:AT37 N53:AT54 N72:AT73">
      <formula1>LEN(SUBSTITUTE(SUBSTITUTE(N36,"　","")," ",""))=LEN(N36)</formula1>
    </dataValidation>
    <dataValidation type="whole" imeMode="hiragana" allowBlank="1" errorTitle="文字数制限がございます" error="200文字以内でご記入下さい。" promptTitle="ご確認下さい！" prompt="毎月のクレジットカード取扱金額の目安をご記載ください。" sqref="AE89:AE90">
      <formula1>0</formula1>
      <formula2>999999999</formula2>
    </dataValidation>
    <dataValidation type="list" allowBlank="1" showInputMessage="1" showErrorMessage="1" sqref="O79:P80 I79:J80">
      <formula1>■時間</formula1>
    </dataValidation>
    <dataValidation type="list" allowBlank="1" showInputMessage="1" showErrorMessage="1" sqref="R79:S80 L79:M80">
      <formula1>■分</formula1>
    </dataValidation>
    <dataValidation imeMode="disabled" allowBlank="1" showInputMessage="1" showErrorMessage="1" promptTitle="事業展開店舗数" prompt="事業全体における展開店舗数をご記入ください" sqref="I43:N43"/>
    <dataValidation type="custom" imeMode="disabled" allowBlank="1" showInputMessage="1" showErrorMessage="1" errorTitle="桁数チェック" error="半角英数字128文字以内で入力してください。" sqref="I46:L47">
      <formula1>LENB(A5)&lt;129</formula1>
    </dataValidation>
    <dataValidation type="custom" imeMode="disabled" allowBlank="1" showInputMessage="1" showErrorMessage="1" errorTitle="桁数チェック" error="半角英数字128文字以内で入力してください。" sqref="I44:W45 X45:AT45">
      <formula1>LENB(A6)&lt;129</formula1>
    </dataValidation>
    <dataValidation type="custom" allowBlank="1" showInputMessage="1" showErrorMessage="1" errorTitle="メールアドレス" error="@が入ったメールアドレスを記載ください。" promptTitle="E-mailアドレス" prompt="グループアドレスのご指定を推奨しております。" sqref="AQ123:AT123">
      <formula1>ISERROR(FIND("NG",BI104))</formula1>
    </dataValidation>
    <dataValidation type="custom" allowBlank="1" showInputMessage="1" showErrorMessage="1" errorTitle="メールアドレス" error="@が入ったメールアドレスを記載ください。" promptTitle="E-mailアドレス" prompt="グループアドレスのご指定を推奨しております。" sqref="AE123:AG123">
      <formula1>ISERROR(FIND("NG",AW123))</formula1>
    </dataValidation>
    <dataValidation type="list" allowBlank="1" showInputMessage="1" showErrorMessage="1" sqref="I982963 I917427 I851891 I786355 I720819 I655283 I589747 I524211 I458675 I393139 I327603 I262067 I196531 I130995 I65459 L983108:N983116 L65529:N65530 L131065:N131066 L196601:N196602 L262137:N262138 L327673:N327674 L393209:N393210 L458745:N458746 L524281:N524282 L589817:N589818 L655353:N655354 L720889:N720890 L786425:N786426 L851961:N851962 L917497:N917498 L983033:N983034 L65532:N65534 L131068:N131070 L196604:N196606 L262140:N262142 L327676:N327678 L393212:N393214 L458748:N458750 L524284:N524286 L589820:N589822 L655356:N655358 L720892:N720894 L786428:N786430 L851964:N851966 L917500:N917502 L983036:N983038 L65537:N65543 L131073:N131079 L196609:N196615 L262145:N262151 L327681:N327687 L393217:N393223 L458753:N458759 L524289:N524295 L589825:N589831 L655361:N655367 L720897:N720903 L786433:N786439 L851969:N851975 L917505:N917511 L983041:N983047 L65546:N65552 L131082:N131088 L196618:N196624 L262154:N262160 L327690:N327696 L393226:N393232 L458762:N458768 L524298:N524304 L589834:N589840 L655370:N655376 L720906:N720912 L786442:N786448 L851978:N851984 L917514:N917520 L983050:N983056 L65555:N65558 L131091:N131094 L196627:N196630 L262163:N262166 L327699:N327702 L393235:N393238 L458771:N458774 L524307:N524310 L589843:N589846 L655379:N655382 L720915:N720918 L786451:N786454 L851987:N851990 L917523:N917526 L983059:N983062 L65561:N65565 L131097:N131101 L196633:N196637 L262169:N262173 L327705:N327709 L393241:N393245 L458777:N458781 L524313:N524317 L589849:N589853 L655385:N655389 L720921:N720925 L786457:N786461 L851993:N851997 L917529:N917533 L983065:N983069 L65568:N65570 L131104:N131106 L196640:N196642 L262176:N262178 L327712:N327714 L393248:N393250 L458784:N458786 L524320:N524322 L589856:N589858 L655392:N655394 L720928:N720930 L786464:N786466 L852000:N852002 L917536:N917538 L983072:N983074 L65573:N65575 L131109:N131111 L196645:N196647 L262181:N262183 L327717:N327719 L393253:N393255 L458789:N458791 L524325:N524327 L589861:N589863 L655397:N655399 L720933:N720935 L786469:N786471 L852005:N852007 L917541:N917543 L983077:N983079 L65578:N65601 L131114:N131137 L196650:N196673 L262186:N262209 L327722:N327745 L393258:N393281 L458794:N458817 L524330:N524353 L589866:N589889 L655402:N655425 L720938:N720961 L786474:N786497 L852010:N852033 L917546:N917569 L983082:N983105 L65604:N65612 L131140:N131148 L196676:N196684 L262212:N262220 L327748:N327756 L393284:N393292 L458820:N458828 L524356:N524364 L589892:N589900 L655428:N655436 L720964:N720972 L786500:N786508 L852036:N852044 L917572:N917580 C65533:I65533 C131069:I131069 C196605:I196605 C262141:I262141 C327677:I327677 C393213:I393213 C458749:I458749 C524285:I524285 C589821:I589821 C655357:I655357 C720893:I720893 C786429:I786429 C851965:I851965 C917501:I917501 C983037:I983037 L983024:P983027 L65520:P65523 L131056:P131059 L196592:P196595 L262128:P262131 L327664:P327667 L393200:P393203 L458736:P458739 L524272:P524275 L589808:P589811 L655344:P655347 L720880:P720883 L786416:P786419 L851952:P851955 L917488:P917491 C983024:I983024 C65520:I65520 C131056:I131056 C196592:I196592 C262128:I262128 C327664:I327664 C393200:I393200 C458736:I458736 C524272:I524272 C589808:I589808 C655344:I655344 C720880:I720880 C786416:I786416 C851952:I851952 C917488:I917488 C983033:I983034 C65529:I65530 C131065:I131066 C196601:I196602 C262137:I262138 C327673:I327674 C393209:I393210 C458745:I458746 C524281:I524282 C589817:I589818 C655353:I655354 C720889:I720890 C786425:I786426 C851961:I851962 C917497:I917498">
      <formula1>#REF!</formula1>
    </dataValidation>
    <dataValidation imeMode="halfAlpha" allowBlank="1" showInputMessage="1" showErrorMessage="1" sqref="AF65653:AT65653 AF131189:AT131189 AF196725:AT196725 AF262261:AT262261 AF327797:AT327797 AF393333:AT393333 AF458869:AT458869 AF524405:AT524405 AF589941:AT589941 AF655477:AT655477 AF721013:AT721013 AF786549:AT786549 AF852085:AT852085 AF917621:AT917621 AF983157:AT983157 V524395:AI524396 I65488:X65488 I131024:X131024 I196560:X196560 I262096:X262096 I327632:X327632 I393168:X393168 I458704:X458704 I524240:X524240 I589776:X589776 I655312:X655312 I720848:X720848 I786384:X786384 I851920:X851920 I917456:X917456 I982992:X982992 V983147:AI983148 AQ65493:AR65494 AQ131029:AR131030 AQ196565:AR196566 AQ262101:AR262102 AQ327637:AR327638 AQ393173:AR393174 AQ458709:AR458710 AQ524245:AR524246 AQ589781:AR589782 AQ655317:AR655318 AQ720853:AR720854 AQ786389:AR786390 AQ851925:AR851926 AQ917461:AR917462 AQ982997:AR982998 V262251:AI262252 I65491:AT65491 I131027:AT131027 I196563:AT196563 I262099:AT262099 I327635:AT327635 I393171:AT393171 I458707:AT458707 I524243:AT524243 I589779:AT589779 I655315:AT655315 I720851:AT720851 I786387:AT786387 I851923:AT851923 I917459:AT917459 I982995:AT982995 V852075:AI852076 AC65508:AE65508 AC131044:AE131044 AC196580:AE196580 AC262116:AE262116 AC327652:AE327652 AC393188:AE393188 AC458724:AE458724 AC524260:AE524260 AC589796:AE589796 AC655332:AE655332 AC720868:AE720868 AC786404:AE786404 AC851940:AE851940 AC917476:AE917476 AC983012:AE983012 V786539:AI786540 AH65508:AJ65508 AH131044:AJ131044 AH196580:AJ196580 AH262116:AJ262116 AH327652:AJ327652 AH393188:AJ393188 AH458724:AJ458724 AH524260:AJ524260 AH589796:AJ589796 AH655332:AJ655332 AH720868:AJ720868 AH786404:AJ786404 AH851940:AJ851940 AH917476:AJ917476 AH983012:AJ983012 V917611:AI917612 AQ65508:AS65508 AQ131044:AS131044 AQ196580:AS196580 AQ262116:AS262116 AQ327652:AS327652 AQ393188:AS393188 AQ458724:AS458724 AQ524260:AS524260 AQ589796:AS589796 AQ655332:AS655332 AQ720868:AS720868 AQ786404:AS786404 AQ851940:AS851940 AQ917476:AS917476 AQ983012:AS983012 V458859:AI458860 AE65625:AT65625 AE131161:AT131161 AE196697:AT196697 AE262233:AT262233 AE327769:AT327769 AE393305:AT393305 AE458841:AT458841 AE524377:AT524377 AE589913:AT589913 AE655449:AT655449 AE720985:AT720985 AE786521:AT786521 AE852057:AT852057 AE917593:AT917593 AE983129:AT983129 V393323:AI393324 AE65628:AT65629 AE131164:AT131165 AE196700:AT196701 AE262236:AT262237 AE327772:AT327773 AE393308:AT393309 AE458844:AT458845 AE524380:AT524381 AE589916:AT589917 AE655452:AT655453 AE720988:AT720989 AE786524:AT786525 AE852060:AT852061 AE917596:AT917597 AE983132:AT983133 V327787:AI327788 AE65631:AT65632 AE131167:AT131168 AE196703:AT196704 AE262239:AT262240 AE327775:AT327776 AE393311:AT393312 AE458847:AT458848 AE524383:AT524384 AE589919:AT589920 AE655455:AT655456 AE720991:AT720992 AE786527:AT786528 AE852063:AT852064 AE917599:AT917600 AE983135:AT983136 V721003:AI721004 I65641:P65642 I131177:P131178 I196713:P196714 I262249:P262250 I327785:P327786 I393321:P393322 I458857:P458858 I524393:P524394 I589929:P589930 I655465:P655466 I721001:P721002 I786537:P786538 I852073:P852074 I917609:P917610 I983145:P983146 V655467:AI655468 V65641:AA65642 V131177:AA131178 V196713:AA196714 V262249:AA262250 V327785:AA327786 V393321:AA393322 V458857:AA458858 V524393:AA524394 V589929:AA589930 V655465:AA655466 V721001:AA721002 V786537:AA786538 V852073:AA852074 V917609:AA917610 V983145:AA983146 V589931:AI589932 V65643:AI65644 V131179:AI131180 V196715:AI196716"/>
    <dataValidation imeMode="hiragana" allowBlank="1" showInputMessage="1" showErrorMessage="1" sqref="I65490:AT65490 I131026:AT131026 I196562:AT196562 I262098:AT262098 I327634:AT327634 I393170:AT393170 I458706:AT458706 I524242:AT524242 I589778:AT589778 I655314:AT655314 I720850:AT720850 I786386:AT786386 I851922:AT851922 I917458:AT917458 I982994:AT982994 I65482:AT65483 I131018:AT131019 I196554:AT196555 I262090:AT262091 I327626:AT327627 I393162:AT393163 I458698:AT458699 I524234:AT524235 I589770:AT589771 I655306:AT655307 I720842:AT720843 I786378:AT786379 I851914:AT851915 I917450:AT917451 I982986:AT982987 AB917638 W65492:AA65494 W131028:AA131030 W196564:AA196566 W262100:AA262102 W327636:AA327638 W393172:AA393174 W458708:AA458710 W524244:AA524246 W589780:AA589782 W655316:AA655318 W720852:AA720854 W786388:AA786390 W851924:AA851926 W917460:AA917462 W982996:AA982998 AB983174 I65493:Q65494 I131029:Q131030 I196565:Q196566 I262101:Q262102 I327637:Q327638 I393173:Q393174 I458709:Q458710 I524245:Q524246 I589781:Q589782 I655317:Q655318 I720853:Q720854 I786389:Q786390 I851925:Q851926 I917461:Q917462 I982997:Q982998 I130:AT132 I65634:AT65635 I131170:AT131171 I196706:AT196707 I262242:AT262243 I327778:AT327779 I393314:AT393315 I458850:AT458851 I524386:AT524387 I589922:AT589923 I655458:AT655459 I720994:AT720995 I786530:AT786531 I852066:AT852067 I917602:AT917603 I983138:AT983139 AD97:AE100 AE65624:AT65624 AE131160:AT131160 AE196696:AT196696 AE262232:AT262232 AE327768:AT327768 AE393304:AT393304 AE458840:AT458840 AE524376:AT524376 AE589912:AT589912 AE655448:AT655448 AE720984:AT720984 AE786520:AT786520 AE852056:AT852056 AE917592:AT917592 AE983128:AT983128 AE121:AT121 AE65627:AT65627 AE131163:AT131163 AE196699:AT196699 AE262235:AT262235 AE327771:AT327771 AE393307:AT393307 AE458843:AT458843 AE524379:AT524379 AE589915:AT589915 AE655451:AT655451 AE720987:AT720987 AE786523:AT786523 AE852059:AT852059 AE917595:AT917595 AE983131:AT983131 AB852102 AE65630:AT65630 AE131166:AT131166 AE196702:AT196702 AE262238:AT262238 AE327774:AT327774 AE393310:AT393310 AE458846:AT458846 AE524382:AT524382 AE589918:AT589918 AE655454:AT655454 AE720990:AT720990 AE786526:AT786526 AE852062:AT852062 AE917598:AT917598 AE983134:AT983134 I104:R105 I65639:R65640 I131175:R131176 I196711:R196712 I262247:R262248 I327783:R327784 I393319:R393320 I458855:R458856 I524391:R524392 I589927:R589928 I655463:R655464 I720999:R721000 I786535:R786536 I852071:R852072 I917607:R917608 I983143:R983144 AG104:AN105 AG65639:AN65640 AG131175:AN131176 AG196711:AN196712 AG262247:AN262248 AG327783:AN327784 AG393319:AN393320 AG458855:AN458856 AG524391:AN524392 AG589927:AN589928 AG655463:AN655464 AG720999:AN721000 AG786535:AN786536 AG852071:AN852072 AG917607:AN917608 AG983143:AN983144 I112:AT113 I65645:AT65646 I131181:AT131182 I196717:AT196718 I262253:AT262254 I327789:AT327790 I393325:AT393326 I458861:AT458862 I524397:AT524398 I589933:AT589934 I655469:AT655470 I721005:AT721006 I786541:AT786542 I852077:AT852078 I917613:AT917614 I983149:AT983150 S65660:AT65660 S131196:AT131196 S196732:AT196732 S262268:AT262268 S327804:AT327804 S393340:AT393340 S458876:AT458876 S524412:AT524412 S589948:AT589948 S655484:AT655484 S721020:AT721020 S786556:AT786556 S852092:AT852092 S917628:AT917628 S983164:AT983164 U65661:AS65661 U131197:AS131197 U196733:AS196733 U262269:AS262269 U327805:AS327805 U393341:AS393341 U458877:AS458877 U524413:AS524413 U589949:AS589949 U655485:AS655485 U721021:AS721021 U786557:AS786557 U852093:AS852093 U917629:AS917629 U983165:AS983165 N65662:AA65662 N131198:AA131198 N196734:AA196734 N262270:AA262270 N327806:AA327806 N393342:AA393342 N458878:AA458878 N524414:AA524414 N589950:AA589950 N655486:AA655486 N721022:AA721022 N786558:AA786558 N852094:AA852094 N917630:AA917630 N983166:AA983166 AG65662:AT65662 AG131198:AT131198 AG196734:AT196734 AG262270:AT262270 AG327806:AT327806 AG393342:AT393342 AG458878:AT458878 AG524414:AT524414 AG589950:AT589950 AG655486:AT655486 AG721022:AT721022 AG786558:AT786558 AG852094:AT852094 AG917630:AT917630 AG983166:AT983166 X65663:AS65663 X131199:AS131199 X196735:AS196735 X262271:AS262271 X327807:AS327807 X393343:AS393343 X458879:AS458879 X524415:AS524415 X589951:AS589951 X655487:AS655487 X721023:AS721023 X786559:AS786559 X852095:AS852095 X917631:AS917631 X983167:AS983167 N65664:AA65665 N131200:AA131201 N196736:AA196737 N262272:AA262273 N327808:AA327809 N393344:AA393345 N458880:AA458881 N524416:AA524417 N589952:AA589953 N655488:AA655489 N721024:AA721025 N786560:AA786561 N852096:AA852097 N917632:AA917633 N983168:AA983169 AG65664:AT65665 AG131200:AT131201 AG196736:AT196737 AG262272:AT262273 AG327808:AT327809 AG393344:AT393345 AG458880:AT458881 AG524416:AT524417 AG589952:AT589953 AG655488:AT655489 AG721024:AT721025 AG786560:AT786561 AG852096:AT852097 AG917632:AT917633 AG983168:AT983169 U65657:AS65658 U131193:AS131194 U196729:AS196730 U262265:AS262266 U327801:AS327802 U393337:AS393338 U458873:AS458874 U524409:AS524410 U589945:AS589946 U655481:AS655482 U721017:AS721018 U786553:AS786554 U852089:AS852090 U917625:AS917626 U983161:AS983162 I65656:Y65656 I131192:Y131192 I196728:Y196728 I262264:Y262264 I327800:Y327800 I393336:Y393336 I458872:Y458872 I524408:Y524408 I589944:Y589944 I655480:Y655480 I721016:Y721016 I786552:Y786552 I852088:Y852088 I917624:Y917624 I983160:Y983160 AE65656:AT65656 AE131192:AT131192 AE196728:AT196728 AE262264:AT262264 AE327800:AT327800 AE393336:AT393336 AE458872:AT458872 AE524408:AT524408 AE589944:AT589944 AE655480:AT655480 AE721016:AT721016 AE786552:AT786552 AE852088:AT852088 AE917624:AT917624 AE983160:AT983160 X65655:AT65655 X131191:AT131191 X196727:AT196727 X262263:AT262263 X327799:AT327799 X393335:AT393335 X458871:AT458871 X524407:AT524407 X589943:AT589943 X655479:AT655479 X721015:AT721015 X786551:AT786551 X852087:AT852087 X917623:AT917623 X983159:AT983159 Z65654:AT65654 Z131190:AT131190 Z196726:AT196726 Z262262:AT262262 Z327798:AT327798 Z393334:AT393334 Z458870:AT458870 Z524406:AT524406 Z589942:AT589942 Z655478:AT655478 Z721014:AT721014 Z786550:AT786550 Z852086:AT852086 Z917622:AT917622 Z983158:AT983158 W65659 W131195 W196731 W262267 W327803 W393339 W458875 W524411 W589947 W655483 W721019 W786555 W852091 W917627 W983163 W65666:W65669 W131202:W131205 W196738:W196741 W262274:W262277 W327810:W327813 W393346:W393349 W458882:W458885 W524418:W524421 W589954:W589957 W655490:W655493 W721026:W721029 W786562:W786565 W852098:W852101 W917634:W917637 W983170:W983173 AB65670 AB131206 AB196742 AB262278 AB327814 AB393350 AB458886 AB524422 AB589958 AB655494 AB721030 AB786566 AG85:AH86 AK85:AL86 AO85:AP86 AS85:AT86 AH97:AI100 AL97:AM100 I28:AT30 X48:AC50 AP99:AQ100"/>
    <dataValidation allowBlank="1" showInputMessage="1" showErrorMessage="1" promptTitle="E-mailアドレス" prompt="設定できるE-mailアドレスは1つです。_x000a_メーリングリストのご指定を推奨しております。" sqref="Z120:AD120 Z65626:AD65626 Z131162:AD131162 Z196698:AD196698 Z262234:AD262234 Z327770:AD327770 Z393306:AD393306 Z458842:AD458842 Z524378:AD524378 Z589914:AD589914 Z655450:AD655450 Z720986:AD720986 Z786522:AD786522 Z852058:AD852058 Z917594:AD917594 Z983130:AD983130"/>
    <dataValidation imeMode="halfAlpha" allowBlank="1" showInputMessage="1" showErrorMessage="1" promptTitle="メールアドレス" prompt="グループアドレスのご指定を推奨しております。" sqref="AE983130:AT983130 AE65626:AT65626 AE131162:AT131162 AE196698:AT196698 AE262234:AT262234 AE327770:AT327770 AE393306:AT393306 AE458842:AT458842 AE524378:AT524378 AE589914:AT589914 AE655450:AT655450 AE720986:AT720986 AE786522:AT786522 AE852058:AT852058 AE917594:AT917594"/>
    <dataValidation imeMode="halfAlpha" allowBlank="1" showInputMessage="1" showErrorMessage="1" promptTitle="FAX番号" prompt="FAXが無い場合は『00-0000-0000』とご入力下さい。" sqref="AE917601:AT917601 AE65488:AT65488 AE131024:AT131024 AE196560:AT196560 AE262096:AT262096 AE327632:AT327632 AE393168:AT393168 AE458704:AT458704 AE524240:AT524240 AE589776:AT589776 AE655312:AT655312 AE720848:AT720848 AE786384:AT786384 AE851920:AT851920 AE917456:AT917456 AE982992:AT982992 AE983137:AT983137 AE65633:AT65633 AE131169:AT131169 AE196705:AT196705 AE262241:AT262241 AE327777:AT327777 AE393313:AT393313 AE458849:AT458849 AE524385:AT524385 AE589921:AT589921 AE655457:AT655457 AE720993:AT720993 AE786529:AT786529 AE852065:AT852065"/>
    <dataValidation type="whole" imeMode="halfAlpha" allowBlank="1" showInputMessage="1" showErrorMessage="1" promptTitle="利用開始希望日" prompt="決済ASPサービスの利用開始『希望日』です。_x000a_申込書類提出の1ヶ月以降を目安にご記入下さい。_x000a_【ご注意下さい】_x000a_お申込の決済手段や審査状況によりご希望に添えない場合もございますので予めご了承下さい。" sqref="AQ65476:AR65477 AQ131012:AR131013 AQ196548:AR196549 AQ262084:AR262085 AQ327620:AR327621 AQ393156:AR393157 AQ458692:AR458693 AQ524228:AR524229 AQ589764:AR589765 AQ655300:AR655301 AQ720836:AR720837 AQ786372:AR786373 AQ851908:AR851909 AQ917444:AR917445 AQ982980:AR982981">
      <formula1>1</formula1>
      <formula2>31</formula2>
    </dataValidation>
    <dataValidation type="whole" imeMode="halfAlpha" allowBlank="1" showInputMessage="1" showErrorMessage="1" promptTitle="利用開始希望日" prompt="決済ASPサービスの利用開始『希望日』です。_x000a_申込書類提出の1ヶ月以降を目安にご記入下さい。_x000a_【ご注意下さい】_x000a_お申込の決済手段や審査状況によりご希望に添えない場合もございますので予めご了承下さい。" sqref="AM65476:AN65477 AM131012:AN131013 AM196548:AN196549 AM262084:AN262085 AM327620:AN327621 AM393156:AN393157 AM458692:AN458693 AM524228:AN524229 AM589764:AN589765 AM655300:AN655301 AM720836:AN720837 AM786372:AN786373 AM851908:AN851909 AM917444:AN917445 AM982980:AN982981">
      <formula1>1</formula1>
      <formula2>12</formula2>
    </dataValidation>
    <dataValidation type="whole" imeMode="halfAlpha" allowBlank="1" showInputMessage="1" showErrorMessage="1" promptTitle="利用開始希望日" prompt="決済ASPサービスの利用開始『希望日』です。_x000a_申込書類提出の1ヶ月以降を目安にご記入下さい。_x000a_【ご注意下さい】_x000a_お申込の決済手段や審査状況によりご希望に添えない場合もございますので予めご了承下さい。" sqref="AH65476:AJ65477 AH131012:AJ131013 AH196548:AJ196549 AH262084:AJ262085 AH327620:AJ327621 AH393156:AJ393157 AH458692:AJ458693 AH524228:AJ524229 AH589764:AJ589765 AH655300:AJ655301 AH720836:AJ720837 AH786372:AJ786373 AH851908:AJ851909 AH917444:AJ917445 AH982980:AJ982981">
      <formula1>2012</formula1>
      <formula2>2020</formula2>
    </dataValidation>
    <dataValidation type="whole" imeMode="halfAlpha" allowBlank="1" showInputMessage="1" showErrorMessage="1" promptTitle="年商" prompt="設立初年度などは『0』とご入力下さい。" sqref="AN982993:AR982993 AN65489:AR65489 AN131025:AR131025 AN196561:AR196561 AN262097:AR262097 AN327633:AR327633 AN393169:AR393169 AN458705:AR458705 AN524241:AR524241 AN589777:AR589777 AN655313:AR655313 AN720849:AR720849 AN786385:AR786385 AN851921:AR851921 AN917457:AR917457">
      <formula1>0</formula1>
      <formula2>9999999999999</formula2>
    </dataValidation>
    <dataValidation type="whole" imeMode="halfAlpha" allowBlank="1" showInputMessage="1" showErrorMessage="1" sqref="AA982993:AE982993 AA65489:AE65489 AA131025:AE131025 AA196561:AE196561 AA262097:AE262097 AA327633:AE327633 AA393169:AE393169 AA458705:AE458705 AA524241:AE524241 AA589777:AE589777 AA655313:AE655313 AA720849:AE720849 AA786385:AE786385 AA851921:AE851921 AA917457:AE917457">
      <formula1>0</formula1>
      <formula2>99999999999</formula2>
    </dataValidation>
    <dataValidation type="textLength" imeMode="halfAlpha" allowBlank="1" showInputMessage="1" showErrorMessage="1" sqref="R65458 R130994 R196530 R262066 R327602 R393138 R458674 R524210 R589746 R655282 R720818 R786354 R851890 R917426 R982962">
      <formula1>3</formula1>
      <formula2>3</formula2>
    </dataValidation>
    <dataValidation type="textLength" imeMode="halfAlpha" allowBlank="1" showInputMessage="1" showErrorMessage="1" sqref="I65458 I130994 I196530 I262066 I327602 I393138 I458674 I524210 I589746 I655282 I720818 I786354 I851890 I917426 I982962">
      <formula1>5</formula1>
      <formula2>5</formula2>
    </dataValidation>
    <dataValidation type="whole" imeMode="halfAlpha" allowBlank="1" showInputMessage="1" showErrorMessage="1" sqref="AI982997:AJ982998 AI65493:AJ65494 AI131029:AJ131030 AI196565:AJ196566 AI262101:AJ262102 AI327637:AJ327638 AI393173:AJ393174 AI458709:AJ458710 AI524245:AJ524246 AI589781:AJ589782 AI655317:AJ655318 AI720853:AJ720854 AI786389:AJ786390 AI851925:AJ851926 AI917461:AJ917462">
      <formula1>1900</formula1>
      <formula2>2020</formula2>
    </dataValidation>
    <dataValidation type="textLength" imeMode="halfAlpha" operator="lessThanOrEqual" allowBlank="1" showInputMessage="1" showErrorMessage="1" errorTitle="文字数制限がございます" error="25文字を超える設定は出来ません。" sqref="AB983005:AT983006 AB65501:AT65502 AB131037:AT131038 AB196573:AT196574 AB262109:AT262110 AB327645:AT327646 AB393181:AT393182 AB458717:AT458718 AB524253:AT524254 AB589789:AT589790 AB655325:AT655326 AB720861:AT720862 AB786397:AT786398 AB851933:AT851934 AB917469:AT917470">
      <formula1>25</formula1>
    </dataValidation>
    <dataValidation type="whole" imeMode="halfAlpha" allowBlank="1" showInputMessage="1" showErrorMessage="1" sqref="K982993:L982993 K65489:L65489 K131025:L131025 K196561:L196561 K262097:L262097 K327633:L327633 K393169:L393169 K458705:L458705 K524241:L524241 K589777:L589777 K655313:L655313 K720849:L720849 K786385:L786385 K851921:L851921 K917457:L917457">
      <formula1>1000</formula1>
      <formula2>2020</formula2>
    </dataValidation>
    <dataValidation type="textLength" imeMode="halfAlpha" operator="equal" allowBlank="1" showInputMessage="1" showErrorMessage="1" sqref="J983137:K983137 J65485:K65485 J131021:K131021 J196557:K196557 J262093:K262093 J327629:K327629 J393165:K393165 J458701:K458701 J524237:K524237 J589773:K589773 J655309:K655309 J720845:K720845 J786381:K786381 J851917:K851917 J917453:K917453 J982989:K982989 J917601:K917601 J65633:K65633 J131169:K131169 J196705:K196705 J262241:K262241 J327777:K327777 J393313:K393313 J458849:K458849 J524385:K524385 J589921:K589921 J655457:K655457 J720993:K720993 J786529:K786529 J852065:K852065">
      <formula1>3</formula1>
    </dataValidation>
    <dataValidation type="textLength" imeMode="halfAlpha" operator="equal" allowBlank="1" showInputMessage="1" showErrorMessage="1" sqref="M983137:N983137 M65485:P65485 M131021:P131021 M196557:P196557 M262093:P262093 M327629:P327629 M393165:P393165 M458701:P458701 M524237:P524237 M589773:P589773 M655309:P655309 M720845:P720845 M786381:P786381 M851917:P851917 M917453:P917453 M982989:P982989 O52:P52 M65633:N65633 M131169:N131169 M196705:N196705 M262241:N262241 M327777:N327777 M393313:N393313 M458849:N458849 M524385:N524385 M589921:N589921 M655457:N655457 M720993:N720993 M786529:N786529 M852065:N852065 M917601:N917601 O35:P35 O71:P71">
      <formula1>4</formula1>
    </dataValidation>
    <dataValidation type="whole" imeMode="halfAlpha" allowBlank="1" showInputMessage="1" showErrorMessage="1" sqref="K65476:M65477 K131012:M131013 K196548:M196549 K262084:M262085 K327620:M327621 K393156:M393157 K458692:M458693 K524228:M524229 K589764:M589765 K655300:M655301 K720836:M720837 K786372:M786373 K851908:M851909 K917444:M917445 K982980:M982981">
      <formula1>2014</formula1>
      <formula2>2020</formula2>
    </dataValidation>
    <dataValidation type="whole" imeMode="halfAlpha" allowBlank="1" showInputMessage="1" showErrorMessage="1" sqref="P982980:R982981 AM65493:AN65494 AM131029:AN131030 AM196565:AN196566 AM262101:AN262102 AM327637:AN327638 AM393173:AN393174 AM458709:AN458710 AM524245:AN524246 AM589781:AN589782 AM655317:AN655318 AM720853:AN720854 AM786389:AN786390 AM851925:AN851926 AM917461:AN917462 AM982997:AN982998 P917444:R917445 N65489:O65489 N131025:O131025 N196561:O196561 N262097:O262097 N327633:O327633 N393169:O393169 N458705:O458705 N524241:O524241 N589777:O589777 N655313:O655313 N720849:O720849 N786385:O786385 N851921:O851921 N917457:O917457 N982993:O982993 Z65505 Z131041 Z196577 Z262113 Z327649 Z393185 Z458721 Z524257 Z589793 Z655329 Z720865 Z786401 Z851937 Z917473 Z983009 AQ65510 AQ131046 AQ196582 AQ262118 AQ327654 AQ393190 AQ458726 AQ524262 AQ589798 AQ655334 AQ720870 AQ786406 AQ851942 AQ917478 AQ983014 P65476:R65477 P131012:R131013 P196548:R196549 P262084:R262085 P327620:R327621 P393156:R393157 P458692:R458693 P524228:R524229 P589764:R589765 P655300:R655301 P720836:R720837 P786372:R786373 P851908:R851909">
      <formula1>1</formula1>
      <formula2>12</formula2>
    </dataValidation>
    <dataValidation imeMode="hiragana" allowBlank="1" showInputMessage="1" showErrorMessage="1" promptTitle="ご確認下さい！" prompt="該当サイトが公開前の場合、必ず別途サービス概要資料や商材価格表をご提出下さい。" sqref="I983010:AK983011 I65506:AK65507 I131042:AK131043 I196578:AK196579 I262114:AK262115 I327650:AK327651 I393186:AK393187 I458722:AK458723 I524258:AK524259 I589794:AK589795 I655330:AK655331 I720866:AK720867 I786402:AK786403 I851938:AK851939 I917474:AK917475"/>
    <dataValidation imeMode="fullKatakana" allowBlank="1" showInputMessage="1" showErrorMessage="1" sqref="I983134:Y983134 I65481:AT65481 I131017:AT131017 I196553:AT196553 I262089:AT262089 I327625:AT327625 I393161:AT393161 I458697:AT458697 I524233:AT524233 I589769:AT589769 I655305:AT655305 I720841:AT720841 I786377:AT786377 I851913:AT851913 I917449:AT917449 I982985:AT982985 I917598:Y917598 I65484:AT65484 I131020:AT131020 I196556:AT196556 I262092:AT262092 I327628:AT327628 I393164:AT393164 I458700:AT458700 I524236:AT524236 I589772:AT589772 I655308:AT655308 I720844:AT720844 I786380:AT786380 I851916:AT851916 I917452:AT917452 I982988:AT982988 I852062:Y852062 I65492:Q65492 I131028:Q131028 I196564:Q196564 I262100:Q262100 I327636:Q327636 I393172:Q393172 I458708:Q458708 I524244:Q524244 I589780:Q589780 I655316:Q655316 I720852:Q720852 I786388:Q786388 I851924:Q851924 I917460:Q917460 I982996:Q982996 I786526:Y786526 I65500:AA65500 I131036:AA131036 I196572:AA196572 I262108:AA262108 I327644:AA327644 I393180:AA393180 I458716:AA458716 I524252:AA524252 I589788:AA589788 I655324:AA655324 I720860:AA720860 I786396:AA786396 I851932:AA851932 I917468:AA917468 I983004:AA983004 I720990:Y720990 I65624:Y65624 I131160:Y131160 I196696:Y196696 I262232:Y262232 I327768:Y327768 I393304:Y393304 I458840:Y458840 I524376:Y524376 I589912:Y589912 I655448:Y655448 I720984:Y720984 I786520:Y786520 I852056:Y852056 I917592:Y917592 I983128:Y983128 I655454:Y655454 I65627:Y65627 I131163:Y131163 I196699:Y196699 I262235:Y262235 I327771:Y327771 I393307:Y393307 I458843:Y458843 I524379:Y524379 I589915:Y589915 I655451:Y655451 I720987:Y720987 I786523:Y786523 I852059:Y852059 I917595:Y917595 I983131:Y983131 I589918:Y589918 I65630:Y65630 I131166:Y131166 I196702:Y196702 I262238:Y262238 I327774:Y327774 I393310:Y393310 I458846:Y458846 I524382:Y524382"/>
    <dataValidation imeMode="halfAlpha" allowBlank="1" showInputMessage="1" showErrorMessage="1" promptTitle="サイトURL" prompt="http://やhttps://を省略せずご記入下さい。_x000a_企業HPや店舗HPではなく、決済サービスをご利用いただくサイトのトップページのURLをご記入いただく必要がございます。" sqref="I983007:AH983008 I65503:AH65504 I131039:AH131040 I196575:AH196576 I262111:AH262112 I327647:AH327648 I393183:AH393184 I458719:AH458720 I524255:AH524256 I589791:AH589792 I655327:AH655328 I720863:AH720864 I786399:AH786400 I851935:AH851936 I917471:AH917472"/>
    <dataValidation type="textLength" imeMode="halfAlpha" operator="greaterThanOrEqual" allowBlank="1" showInputMessage="1" showErrorMessage="1" sqref="AB65510:AH65510 AB131046:AH131046 AB196582:AH196582 AB262118:AH262118 AB327654:AH327654 AB393190:AH393190 AB458726:AH458726 AB524262:AH524262 AB589798:AH589798 AB655334:AH655334 AB720870:AH720870 AB786406:AH786406 AB851942:AH851942 AB917478:AH917478 AB983014:AH983014">
      <formula1>1</formula1>
    </dataValidation>
    <dataValidation type="list" allowBlank="1" showDropDown="1" showInputMessage="1" showErrorMessage="1" errorTitle="トランザクション費" error="トランザクション費は決済手段毎に設定できません。_x000a_対象外とする場合はDeleteキーで消して下さい。" promptTitle="トランザクション費" prompt="トランザクション費は全決済手段で一律です。_x000a_対象とするかしないかは決済手段毎に設定することが可能ですが、決済手段毎にトランザクション費を変えることは出来ませんのでご注意下さい。_x000a_対象外とする場合はDeleteキーで消して下さい。" sqref="AG983056:AJ983056 AG65552:AJ65552 AG131088:AJ131088 AG196624:AJ196624 AG262160:AJ262160 AG327696:AJ327696 AG393232:AJ393232 AG458768:AJ458768 AG524304:AJ524304 AG589840:AJ589840 AG655376:AJ655376 AG720912:AJ720912 AG786448:AJ786448 AG851984:AJ851984 AG917520:AJ917520">
      <formula1>#REF!</formula1>
    </dataValidation>
    <dataValidation type="list" allowBlank="1" showDropDown="1" showInputMessage="1" showErrorMessage="1" errorTitle="ASP手数料" error="ASP手数料は決済手段毎に設定出来ません。_x000a_対象外とする場合はDeleteキーで消して下さい。" promptTitle="ASP手数料" prompt="ASP手数料は全決済手段で一律です。_x000a_対象とするかしないかは決済手段毎に設定することが可能ですが、決済手段毎にASP手数料を変えることは出来ませんのでご注意下さい。_x000a_対象外とする場合はDeleteキーで消して下さい。_x000a_" sqref="AC983056:AF983056 AC65552:AF65552 AC131088:AF131088 AC196624:AF196624 AC262160:AF262160 AC327696:AF327696 AC393232:AF393232 AC458768:AF458768 AC524304:AF524304 AC589840:AF589840 AC655376:AF655376 AC720912:AF720912 AC786448:AF786448 AC851984:AF851984 AC917520:AF917520">
      <formula1>#REF!</formula1>
    </dataValidation>
    <dataValidation imeMode="hiragana" allowBlank="1" showInputMessage="1" showErrorMessage="1" promptTitle="会社所在地" prompt="都道府県名からご記入下さい" sqref="Y76:AT76 I65486:AT65487 I131022:AT131023 I196558:AT196559 I262094:AT262095 I327630:AT327631 I393166:AT393167 I458702:AT458703 I524238:AT524239 I589774:AT589775 I655310:AT655311 I720846:AT720847 I786382:AT786383 I851918:AT851919 I917454:AT917455 I982990:AT982991"/>
    <dataValidation type="whole" imeMode="halfAlpha" allowBlank="1" showInputMessage="1" showErrorMessage="1" sqref="Q39:R39 Q65489:R65489 Q131025:R131025 Q196561:R196561 Q262097:R262097 Q327633:R327633 Q393169:R393169 Q458705:R458705 Q524241:R524241 Q589777:R589777 Q655313:R655313 Q720849:R720849 Q786385:R786385 Q851921:R851921 Q917457:R917457 Q982993:R982993 AB65505 AB131041 AB196577 AB262113 AB327649 AB393185 AB458721 AB524257 AB589793 AB655329 AB720865 AB786401 AB851937 AB917473 AB983009 AS65510 AS131046 AS196582 AS262118 AS327654 AS393190 AS458726 AS524262 AS589798 AS655334 AS720870 AS786406 AS851942 AS917478 AS983014 U65476:W65477 U131012:W131013 U196548:W196549 U262084:W262085 U327620:W327621 U393156:W393157 U458692:W458693 U524228:W524229 U589764:W589765 U655300:W655301 U720836:W720837 U786372:W786373 U851908:W851909 U917444:W917445 U982980:W982981">
      <formula1>1</formula1>
      <formula2>31</formula2>
    </dataValidation>
    <dataValidation type="textLength" errorStyle="warning" operator="lessThanOrEqual" allowBlank="1" showInputMessage="1" showErrorMessage="1" errorTitle="文字数制限がございます" error="全角12文字程度でご設定下さい。_x000a_長い場合には金融機関により切られて表示される場合がございます。_x000a_また、登録されるのは20文字までとなりそれ以上ご記入いただいても登録されません。" promptTitle="屋号" prompt="金融機関に申請する正式名称で、利用明細などに表示されます。_x000a_金融機関により切られて表示されることがございますので予めご了承いただき12文字以下を目安にご設定下さい。_x000a_最大20文字まで。それ以上ご記入いただいても登録されません。" sqref="I983005:AA983006 I65501:AA65502 I131037:AA131038 I196573:AA196574 I262109:AA262110 I327645:AA327646 I393181:AA393182 I458717:AA458718 I524253:AA524254 I589789:AA589790 I655325:AA655326 I720861:AA720862 I786397:AA786398 I851933:AA851934 I917469:AA917470 I69">
      <formula1>12</formula1>
    </dataValidation>
    <dataValidation type="textLength" operator="lessThanOrEqual" allowBlank="1" showInputMessage="1" showErrorMessage="1" errorTitle="文字数制限がございます" error="25文字を超える設定は出来ません。" promptTitle="サービス名称" prompt="決済をご利用いただくサービス名称（サイト名称など）をご記入下さい。_x000a_決済画面等で表示されます。_x000a_全角でご指定下さい。_x000a_「～」「―（全角ダッシュ）」、「－（全角マイナス）」、その他特殊文字は使用できません。_x000a_「‐（全角ハイフン）」、「ー（長音）」に変換お願いします。" sqref="I983002:AT983003 I65498:AT65499 I131034:AT131035 I196570:AT196571 I262106:AT262107 I327642:AT327643 I393178:AT393179 I458714:AT458715 I524250:AT524251 I589786:AT589787 I655322:AT655323 I720858:AT720859 I786394:AT786395 I851930:AT851931 I917466:AT917467">
      <formula1>30</formula1>
    </dataValidation>
    <dataValidation imeMode="fullKatakana" allowBlank="1" showInputMessage="1" showErrorMessage="1" promptTitle="口座名義カナ" prompt="必ず正式な口座名義名（カナ）をご確認の上入力して下さい。ご登録のものと相違がありますと振込エラーとなり、入金をさせていただくことが出来ません。_x000a_・法人略語は正しくご入力ください。_x000a_前株の場合は「カ）」、後株の場合は「（カ」、途中に入る場合は「（カ）」のようにご入力ください。_x000a_・中黒点（・）はご使用いただけません。_x000a_　ピリオド（．）に置き換えてご入力ください。_x000a_例：ソフトバンク．ペイメント．サービス（カ" sqref="I983151:AT983152 I65647:AT65648 I131183:AT131184 I196719:AT196720 I262255:AT262256 I327791:AT327792 I393327:AT393328 I458863:AT458864 I524399:AT524400 I589935:AT589936 I655471:AT655472 I721007:AT721008 I786543:AT786544 I852079:AT852080 I917615:AT917616"/>
    <dataValidation imeMode="hiragana" allowBlank="1" showInputMessage="1" showErrorMessage="1" promptTitle="売上報告担当" prompt="収納レポートやご請求書の送付先となります。" sqref="I983135:Y983136 I65631:Y65632 I131167:Y131168 I196703:Y196704 I262239:Y262240 I327775:Y327776 I393311:Y393312 I458847:Y458848 I524383:Y524384 I589919:Y589920 I655455:Y655456 I720991:Y720992 I786527:Y786528 I852063:Y852064 I917599:Y917600 U128:W128 I128:K128"/>
    <dataValidation imeMode="hiragana" allowBlank="1" showInputMessage="1" showErrorMessage="1" promptTitle="技術担当" prompt="接続情報のご連絡など、システム設定に関するご案内をさせていただきます。_x000a_サイト構築を他社に依頼されている場合は、そのご連絡先でも結構です。_x000a_E-mailアドレスにつきましてはグループアドレスのご指定を推奨しております。" sqref="I983132:Y983133 I65628:Y65629 I131164:Y131165 I196700:Y196701 I262236:Y262237 I327772:Y327773 I393308:Y393309 I458844:Y458845 I524380:Y524381 I589916:Y589917 I655452:Y655453 I720988:Y720989 I786524:Y786525 I852060:Y852061 I917596:Y917597 I122:Y123"/>
    <dataValidation imeMode="hiragana" allowBlank="1" showInputMessage="1" showErrorMessage="1" promptTitle="運用担当" prompt="申込書の押印のご依頼、決済機関からの問い合わせのご連絡、メンテナンスのご案内などをさせていただきます。_x000a_E-mailアドレスにつきましてはグループアドレスのご指定を推奨しております。" sqref="I983129:Y983130 I65625:Y65626 I131161:Y131162 I196697:Y196698 I262233:Y262234 I327769:Y327770 I393305:Y393306 I458841:Y458842 I524377:Y524378 I589913:Y589914 I655449:Y655450 I720985:Y720986 I786521:Y786522 I852057:Y852058 I917593:Y917594"/>
    <dataValidation imeMode="halfAlpha" allowBlank="1" showInputMessage="1" showErrorMessage="1" prompt="特商法ページのURLを記載して下さい。_x000a_その際、http://やhttps://を省略しないようお願いいたします。" sqref="I65652:AI65652 I131188:AI131188 I196724:AI196724 I262260:AI262260 I327796:AI327796 I393332:AI393332 I458868:AI458868 I524404:AI524404 I589940:AI589940 I655476:AI655476 I721012:AI721012 I786548:AI786548 I852084:AI852084 I917620:AI917620 I983156:AI983156"/>
    <dataValidation type="list" allowBlank="1" showInputMessage="1" showErrorMessage="1" sqref="AL983011:AT983011 AL917475:AT917475 AL851939:AT851939 AL786403:AT786403 AL720867:AT720867 AL655331:AT655331 AL589795:AT589795 AL524259:AT524259 AL458723:AT458723 AL393187:AT393187 AL327651:AT327651 AL262115:AT262115 AL196579:AT196579 AL131043:AT131043 AL65507:AT65507">
      <formula1>$AZ$2:$AZ$9</formula1>
    </dataValidation>
    <dataValidation type="whole" imeMode="halfAlpha" allowBlank="1" showInputMessage="1" showErrorMessage="1" sqref="W65505:X65505 W131041:X131041 W196577:X196577 W262113:X262113 W327649:X327649 W393185:X393185 W458721:X458721 W524257:X524257 W589793:X589793 W655329:X655329 W720865:X720865 W786401:X786401 W851937:X851937 W917473:X917473 W983009:X983009">
      <formula1>2014</formula1>
      <formula2>2099</formula2>
    </dataValidation>
    <dataValidation type="whole" imeMode="halfAlpha" allowBlank="1" showInputMessage="1" showErrorMessage="1" sqref="AN65510:AO65510 AN131046:AO131046 AN196582:AO196582 AN262118:AO262118 AN327654:AO327654 AN393190:AO393190 AN458726:AO458726 AN524262:AO524262 AN589798:AO589798 AN655334:AO655334 AN720870:AO720870 AN786406:AO786406 AN851942:AO851942 AN917478:AO917478 AN983014:AO983014">
      <formula1>1000</formula1>
      <formula2>2099</formula2>
    </dataValidation>
    <dataValidation type="textLength" imeMode="halfAlpha" operator="equal" allowBlank="1" showInputMessage="1" showErrorMessage="1" sqref="AG65458:AK65458 AG130994:AK130994 AG196530:AK196530 AG262066:AK262066 AG327602:AK327602 AG393138:AK393138 AG458674:AK458674 AG524210:AK524210 AG589746:AK589746 AG655282:AK655282 AG720818:AK720818 AG786354:AK786354 AG851890:AK851890 AG917426:AK917426 AG982962:AK982962">
      <formula1>7</formula1>
    </dataValidation>
    <dataValidation type="whole" imeMode="disabled" allowBlank="1" showInputMessage="1" showErrorMessage="1" sqref="AA39:AE39">
      <formula1>0</formula1>
      <formula2>99999999</formula2>
    </dataValidation>
    <dataValidation type="whole" imeMode="disabled" allowBlank="1" showInputMessage="1" showErrorMessage="1" promptTitle="年商" prompt="設立初年度などは『0』とご入力下さい。" sqref="AN39:AR39">
      <formula1>0</formula1>
      <formula2>999999999</formula2>
    </dataValidation>
    <dataValidation type="custom" imeMode="hiragana" allowBlank="1" showInputMessage="1" showErrorMessage="1" errorTitle="文字数制限がございます" error="200文字以内でご記入下さい。" sqref="I40:AT41">
      <formula1>LENB(I40)&lt;=200</formula1>
    </dataValidation>
    <dataValidation type="whole" imeMode="disabled" allowBlank="1" showInputMessage="1" showErrorMessage="1" sqref="N39:O39 AM49:AN50 AQ92 AM85:AN86 AJ97:AK100">
      <formula1>1</formula1>
      <formula2>12</formula2>
    </dataValidation>
    <dataValidation type="whole" imeMode="disabled" allowBlank="1" showInputMessage="1" showErrorMessage="1" sqref="AQ49:AR50 AS92 AQ85:AR86 AN99:AO100">
      <formula1>1</formula1>
      <formula2>31</formula2>
    </dataValidation>
    <dataValidation type="custom" imeMode="fullKatakana" allowBlank="1" showInputMessage="1" showErrorMessage="1" errorTitle="中黒" error="中黒点（・）はご使用いただけません。_x000a_ピリオド（.）をご使用ください。" promptTitle="口座名義カナ" prompt="必ず正式な口座名義名（カナ）をご確認の上入力して下さい。ご登録のものと相違がありますと振込エラーとなり、入金をさせていただくことが出来ません。_x000a_・法人略語は正しくご入力ください。_x000a_前株の場合は「カ）」、後株の場合は「（カ」、途中に入る場合は「（カ）」のようにご入力ください。_x000a_・中黒点（・）はご使用いただけません。_x000a_　ピリオド（．）に置き換えてご入力ください。" sqref="I110:AT111">
      <formula1>ISERROR(FIND("・",I110))</formula1>
    </dataValidation>
    <dataValidation type="custom" imeMode="fullKatakana" allowBlank="1" showInputMessage="1" showErrorMessage="1" errorTitle="カナ" error="カナで入力して下さい" sqref="I27:AT27">
      <formula1>AND(I27=PHONETIC(I27), LEN(I27)*2=LENB(I27),LEN(I27)&lt;61)</formula1>
    </dataValidation>
    <dataValidation type="custom" imeMode="fullKatakana" allowBlank="1" showInputMessage="1" showErrorMessage="1" errorTitle="カナ入力" error="カナで入力して下さい" sqref="I60:AT60 I117:Y117 I124:Y124 I121:Y121">
      <formula1>AND(I60=PHONETIC(I60), LEN(I60)*2=LENB(I60))</formula1>
    </dataValidation>
    <dataValidation type="textLength" imeMode="disabled" operator="equal" allowBlank="1" showInputMessage="1" showErrorMessage="1" sqref="J52:K52 J129:K129 J35:K35 J71:K71">
      <formula1>3</formula1>
    </dataValidation>
    <dataValidation type="textLength" imeMode="disabled" operator="equal" allowBlank="1" showInputMessage="1" showErrorMessage="1" sqref="M52:N52 M129:N129 M35:N35 M71:N71">
      <formula1>4</formula1>
    </dataValidation>
    <dataValidation type="whole" imeMode="disabled" allowBlank="1" showInputMessage="1" showErrorMessage="1" sqref="K39:L39 AN92:AO92">
      <formula1>1000</formula1>
      <formula2>2020</formula2>
    </dataValidation>
    <dataValidation type="whole" imeMode="disabled" allowBlank="1" showInputMessage="1" showErrorMessage="1" sqref="AI49:AJ50 AI85:AJ86 AF97:AG100">
      <formula1>1900</formula1>
      <formula2>2020</formula2>
    </dataValidation>
    <dataValidation type="whole" imeMode="disabled" allowBlank="1" showInputMessage="1" showErrorMessage="1" sqref="I106:P107 V106:AA107 V108:AI109">
      <formula1>0</formula1>
      <formula2>9</formula2>
    </dataValidation>
    <dataValidation type="textLength" imeMode="off" operator="lessThanOrEqual" allowBlank="1" showInputMessage="1" showErrorMessage="1" errorTitle="半角大文字" error="半角大文字45文字以内で設定をお願いいたします" promptTitle="下記の決済手段をお申込の場合は入力ください。" prompt="・d払い_x000a__x000a_半角大文字45文字以内でご記入ください。" sqref="AE31:AT33">
      <formula1>45</formula1>
    </dataValidation>
    <dataValidation imeMode="fullKatakana" allowBlank="1" showInputMessage="1" errorTitle="カナ" error="カナで入力して下さい" sqref="N34 N51 N70"/>
    <dataValidation imeMode="fullKatakana" allowBlank="1" errorTitle="フリガナ" error="カナで入力してください。_x000a_スペースは入力できません。" promptTitle="フリガナ" prompt="フリガナには数字・記号を入れずカナのみご記入ください。" sqref="AL34 AD34 V34 AL51 AD51 V51 AL70 AD70 V70"/>
    <dataValidation type="custom" imeMode="fullKatakana" allowBlank="1" showErrorMessage="1" errorTitle="フリガナ" error="スペースは入力できません。" promptTitle="フリガナ" prompt="フリガナには数字・記号を入れずカナのみご記入ください。" sqref="AM34:AT34 AE34:AK34 W34:AC34 O34:U34 AM51:AT51 AE51:AK51 W51:AC51 O51:U51 AM70:AT70 AE70:AK70 W70:AC70 O70:U70">
      <formula1>AND(LEN(SUBSTITUTE(SUBSTITUTE(O34,"　","")," ",""))=LEN(O34))</formula1>
    </dataValidation>
  </dataValidations>
  <printOptions horizontalCentered="1" verticalCentered="1"/>
  <pageMargins left="0" right="0" top="0" bottom="0" header="0" footer="0"/>
  <pageSetup paperSize="9" scale="4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6801" r:id="rId4" name="Option Button 1">
              <controlPr defaultSize="0" autoFill="0" autoLine="0" autoPict="0">
                <anchor moveWithCells="1" sizeWithCells="1">
                  <from>
                    <xdr:col>32</xdr:col>
                    <xdr:colOff>203200</xdr:colOff>
                    <xdr:row>47</xdr:row>
                    <xdr:rowOff>12700</xdr:rowOff>
                  </from>
                  <to>
                    <xdr:col>33</xdr:col>
                    <xdr:colOff>209550</xdr:colOff>
                    <xdr:row>48</xdr:row>
                    <xdr:rowOff>0</xdr:rowOff>
                  </to>
                </anchor>
              </controlPr>
            </control>
          </mc:Choice>
        </mc:AlternateContent>
        <mc:AlternateContent xmlns:mc="http://schemas.openxmlformats.org/markup-compatibility/2006">
          <mc:Choice Requires="x14">
            <control shapeId="76802" r:id="rId5" name="Option Button 2">
              <controlPr defaultSize="0" autoFill="0" autoLine="0" autoPict="0">
                <anchor moveWithCells="1" sizeWithCells="1">
                  <from>
                    <xdr:col>35</xdr:col>
                    <xdr:colOff>171450</xdr:colOff>
                    <xdr:row>47</xdr:row>
                    <xdr:rowOff>12700</xdr:rowOff>
                  </from>
                  <to>
                    <xdr:col>37</xdr:col>
                    <xdr:colOff>12700</xdr:colOff>
                    <xdr:row>48</xdr:row>
                    <xdr:rowOff>0</xdr:rowOff>
                  </to>
                </anchor>
              </controlPr>
            </control>
          </mc:Choice>
        </mc:AlternateContent>
        <mc:AlternateContent xmlns:mc="http://schemas.openxmlformats.org/markup-compatibility/2006">
          <mc:Choice Requires="x14">
            <control shapeId="76803" r:id="rId6" name="Group Box 3">
              <controlPr defaultSize="0" autoFill="0" autoPict="0">
                <anchor moveWithCells="1">
                  <from>
                    <xdr:col>32</xdr:col>
                    <xdr:colOff>0</xdr:colOff>
                    <xdr:row>47</xdr:row>
                    <xdr:rowOff>0</xdr:rowOff>
                  </from>
                  <to>
                    <xdr:col>46</xdr:col>
                    <xdr:colOff>12700</xdr:colOff>
                    <xdr:row>48</xdr:row>
                    <xdr:rowOff>0</xdr:rowOff>
                  </to>
                </anchor>
              </controlPr>
            </control>
          </mc:Choice>
        </mc:AlternateContent>
        <mc:AlternateContent xmlns:mc="http://schemas.openxmlformats.org/markup-compatibility/2006">
          <mc:Choice Requires="x14">
            <control shapeId="76804" r:id="rId7" name="Check Box 4">
              <controlPr defaultSize="0" autoFill="0" autoLine="0" autoPict="0">
                <anchor moveWithCells="1">
                  <from>
                    <xdr:col>8</xdr:col>
                    <xdr:colOff>165100</xdr:colOff>
                    <xdr:row>16</xdr:row>
                    <xdr:rowOff>12700</xdr:rowOff>
                  </from>
                  <to>
                    <xdr:col>10</xdr:col>
                    <xdr:colOff>107950</xdr:colOff>
                    <xdr:row>16</xdr:row>
                    <xdr:rowOff>203200</xdr:rowOff>
                  </to>
                </anchor>
              </controlPr>
            </control>
          </mc:Choice>
        </mc:AlternateContent>
        <mc:AlternateContent xmlns:mc="http://schemas.openxmlformats.org/markup-compatibility/2006">
          <mc:Choice Requires="x14">
            <control shapeId="76805" r:id="rId8" name="Option Button 5">
              <controlPr defaultSize="0" autoFill="0" autoLine="0" autoPict="0">
                <anchor moveWithCells="1" sizeWithCells="1">
                  <from>
                    <xdr:col>8</xdr:col>
                    <xdr:colOff>127000</xdr:colOff>
                    <xdr:row>107</xdr:row>
                    <xdr:rowOff>127000</xdr:rowOff>
                  </from>
                  <to>
                    <xdr:col>9</xdr:col>
                    <xdr:colOff>203200</xdr:colOff>
                    <xdr:row>108</xdr:row>
                    <xdr:rowOff>114300</xdr:rowOff>
                  </to>
                </anchor>
              </controlPr>
            </control>
          </mc:Choice>
        </mc:AlternateContent>
        <mc:AlternateContent xmlns:mc="http://schemas.openxmlformats.org/markup-compatibility/2006">
          <mc:Choice Requires="x14">
            <control shapeId="76806" r:id="rId9" name="Option Button 6">
              <controlPr defaultSize="0" autoFill="0" autoLine="0" autoPict="0">
                <anchor moveWithCells="1" sizeWithCells="1">
                  <from>
                    <xdr:col>12</xdr:col>
                    <xdr:colOff>38100</xdr:colOff>
                    <xdr:row>107</xdr:row>
                    <xdr:rowOff>127000</xdr:rowOff>
                  </from>
                  <to>
                    <xdr:col>13</xdr:col>
                    <xdr:colOff>114300</xdr:colOff>
                    <xdr:row>108</xdr:row>
                    <xdr:rowOff>107950</xdr:rowOff>
                  </to>
                </anchor>
              </controlPr>
            </control>
          </mc:Choice>
        </mc:AlternateContent>
        <mc:AlternateContent xmlns:mc="http://schemas.openxmlformats.org/markup-compatibility/2006">
          <mc:Choice Requires="x14">
            <control shapeId="76807" r:id="rId10" name="Group Box 7">
              <controlPr defaultSize="0" autoFill="0" autoPict="0">
                <anchor moveWithCells="1">
                  <from>
                    <xdr:col>18</xdr:col>
                    <xdr:colOff>0</xdr:colOff>
                    <xdr:row>102</xdr:row>
                    <xdr:rowOff>222250</xdr:rowOff>
                  </from>
                  <to>
                    <xdr:col>27</xdr:col>
                    <xdr:colOff>12700</xdr:colOff>
                    <xdr:row>104</xdr:row>
                    <xdr:rowOff>222250</xdr:rowOff>
                  </to>
                </anchor>
              </controlPr>
            </control>
          </mc:Choice>
        </mc:AlternateContent>
        <mc:AlternateContent xmlns:mc="http://schemas.openxmlformats.org/markup-compatibility/2006">
          <mc:Choice Requires="x14">
            <control shapeId="76808" r:id="rId11" name="Group Box 8">
              <controlPr defaultSize="0" autoFill="0" autoPict="0">
                <anchor moveWithCells="1">
                  <from>
                    <xdr:col>40</xdr:col>
                    <xdr:colOff>0</xdr:colOff>
                    <xdr:row>103</xdr:row>
                    <xdr:rowOff>0</xdr:rowOff>
                  </from>
                  <to>
                    <xdr:col>46</xdr:col>
                    <xdr:colOff>0</xdr:colOff>
                    <xdr:row>104</xdr:row>
                    <xdr:rowOff>222250</xdr:rowOff>
                  </to>
                </anchor>
              </controlPr>
            </control>
          </mc:Choice>
        </mc:AlternateContent>
        <mc:AlternateContent xmlns:mc="http://schemas.openxmlformats.org/markup-compatibility/2006">
          <mc:Choice Requires="x14">
            <control shapeId="76809" r:id="rId12" name="Option Button 9">
              <controlPr defaultSize="0" autoFill="0" autoLine="0" autoPict="0">
                <anchor moveWithCells="1" sizeWithCells="1">
                  <from>
                    <xdr:col>40</xdr:col>
                    <xdr:colOff>76200</xdr:colOff>
                    <xdr:row>103</xdr:row>
                    <xdr:rowOff>19050</xdr:rowOff>
                  </from>
                  <to>
                    <xdr:col>41</xdr:col>
                    <xdr:colOff>152400</xdr:colOff>
                    <xdr:row>104</xdr:row>
                    <xdr:rowOff>0</xdr:rowOff>
                  </to>
                </anchor>
              </controlPr>
            </control>
          </mc:Choice>
        </mc:AlternateContent>
        <mc:AlternateContent xmlns:mc="http://schemas.openxmlformats.org/markup-compatibility/2006">
          <mc:Choice Requires="x14">
            <control shapeId="76810" r:id="rId13" name="Option Button 10">
              <controlPr defaultSize="0" autoFill="0" autoLine="0" autoPict="0">
                <anchor moveWithCells="1" sizeWithCells="1">
                  <from>
                    <xdr:col>43</xdr:col>
                    <xdr:colOff>76200</xdr:colOff>
                    <xdr:row>103</xdr:row>
                    <xdr:rowOff>12700</xdr:rowOff>
                  </from>
                  <to>
                    <xdr:col>44</xdr:col>
                    <xdr:colOff>152400</xdr:colOff>
                    <xdr:row>104</xdr:row>
                    <xdr:rowOff>0</xdr:rowOff>
                  </to>
                </anchor>
              </controlPr>
            </control>
          </mc:Choice>
        </mc:AlternateContent>
        <mc:AlternateContent xmlns:mc="http://schemas.openxmlformats.org/markup-compatibility/2006">
          <mc:Choice Requires="x14">
            <control shapeId="76811" r:id="rId14" name="Option Button 11">
              <controlPr defaultSize="0" autoFill="0" autoLine="0" autoPict="0">
                <anchor moveWithCells="1" sizeWithCells="1">
                  <from>
                    <xdr:col>40</xdr:col>
                    <xdr:colOff>76200</xdr:colOff>
                    <xdr:row>103</xdr:row>
                    <xdr:rowOff>222250</xdr:rowOff>
                  </from>
                  <to>
                    <xdr:col>41</xdr:col>
                    <xdr:colOff>152400</xdr:colOff>
                    <xdr:row>104</xdr:row>
                    <xdr:rowOff>209550</xdr:rowOff>
                  </to>
                </anchor>
              </controlPr>
            </control>
          </mc:Choice>
        </mc:AlternateContent>
        <mc:AlternateContent xmlns:mc="http://schemas.openxmlformats.org/markup-compatibility/2006">
          <mc:Choice Requires="x14">
            <control shapeId="76812" r:id="rId15" name="Option Button 12">
              <controlPr defaultSize="0" autoFill="0" autoLine="0" autoPict="0">
                <anchor moveWithCells="1" sizeWithCells="1">
                  <from>
                    <xdr:col>43</xdr:col>
                    <xdr:colOff>76200</xdr:colOff>
                    <xdr:row>104</xdr:row>
                    <xdr:rowOff>0</xdr:rowOff>
                  </from>
                  <to>
                    <xdr:col>44</xdr:col>
                    <xdr:colOff>152400</xdr:colOff>
                    <xdr:row>104</xdr:row>
                    <xdr:rowOff>222250</xdr:rowOff>
                  </to>
                </anchor>
              </controlPr>
            </control>
          </mc:Choice>
        </mc:AlternateContent>
        <mc:AlternateContent xmlns:mc="http://schemas.openxmlformats.org/markup-compatibility/2006">
          <mc:Choice Requires="x14">
            <control shapeId="76813" r:id="rId16" name="Group Box 13">
              <controlPr defaultSize="0" autoFill="0" autoPict="0">
                <anchor moveWithCells="1">
                  <from>
                    <xdr:col>8</xdr:col>
                    <xdr:colOff>0</xdr:colOff>
                    <xdr:row>107</xdr:row>
                    <xdr:rowOff>0</xdr:rowOff>
                  </from>
                  <to>
                    <xdr:col>16</xdr:col>
                    <xdr:colOff>0</xdr:colOff>
                    <xdr:row>108</xdr:row>
                    <xdr:rowOff>222250</xdr:rowOff>
                  </to>
                </anchor>
              </controlPr>
            </control>
          </mc:Choice>
        </mc:AlternateContent>
        <mc:AlternateContent xmlns:mc="http://schemas.openxmlformats.org/markup-compatibility/2006">
          <mc:Choice Requires="x14">
            <control shapeId="76814" r:id="rId17" name="Check Box 14">
              <controlPr defaultSize="0" autoFill="0" autoLine="0" autoPict="0">
                <anchor moveWithCells="1">
                  <from>
                    <xdr:col>21</xdr:col>
                    <xdr:colOff>165100</xdr:colOff>
                    <xdr:row>90</xdr:row>
                    <xdr:rowOff>12700</xdr:rowOff>
                  </from>
                  <to>
                    <xdr:col>23</xdr:col>
                    <xdr:colOff>12700</xdr:colOff>
                    <xdr:row>90</xdr:row>
                    <xdr:rowOff>209550</xdr:rowOff>
                  </to>
                </anchor>
              </controlPr>
            </control>
          </mc:Choice>
        </mc:AlternateContent>
        <mc:AlternateContent xmlns:mc="http://schemas.openxmlformats.org/markup-compatibility/2006">
          <mc:Choice Requires="x14">
            <control shapeId="76815" r:id="rId18" name="Check Box 15">
              <controlPr defaultSize="0" autoFill="0" autoLine="0" autoPict="0">
                <anchor moveWithCells="1">
                  <from>
                    <xdr:col>12</xdr:col>
                    <xdr:colOff>184150</xdr:colOff>
                    <xdr:row>90</xdr:row>
                    <xdr:rowOff>12700</xdr:rowOff>
                  </from>
                  <to>
                    <xdr:col>14</xdr:col>
                    <xdr:colOff>31750</xdr:colOff>
                    <xdr:row>90</xdr:row>
                    <xdr:rowOff>209550</xdr:rowOff>
                  </to>
                </anchor>
              </controlPr>
            </control>
          </mc:Choice>
        </mc:AlternateContent>
        <mc:AlternateContent xmlns:mc="http://schemas.openxmlformats.org/markup-compatibility/2006">
          <mc:Choice Requires="x14">
            <control shapeId="76816" r:id="rId19" name="Check Box 16">
              <controlPr defaultSize="0" autoFill="0" autoLine="0" autoPict="0">
                <anchor moveWithCells="1">
                  <from>
                    <xdr:col>25</xdr:col>
                    <xdr:colOff>209550</xdr:colOff>
                    <xdr:row>90</xdr:row>
                    <xdr:rowOff>12700</xdr:rowOff>
                  </from>
                  <to>
                    <xdr:col>27</xdr:col>
                    <xdr:colOff>50800</xdr:colOff>
                    <xdr:row>90</xdr:row>
                    <xdr:rowOff>209550</xdr:rowOff>
                  </to>
                </anchor>
              </controlPr>
            </control>
          </mc:Choice>
        </mc:AlternateContent>
        <mc:AlternateContent xmlns:mc="http://schemas.openxmlformats.org/markup-compatibility/2006">
          <mc:Choice Requires="x14">
            <control shapeId="76817" r:id="rId20" name="Check Box 17">
              <controlPr defaultSize="0" autoFill="0" autoLine="0" autoPict="0">
                <anchor moveWithCells="1">
                  <from>
                    <xdr:col>31</xdr:col>
                    <xdr:colOff>0</xdr:colOff>
                    <xdr:row>90</xdr:row>
                    <xdr:rowOff>12700</xdr:rowOff>
                  </from>
                  <to>
                    <xdr:col>32</xdr:col>
                    <xdr:colOff>95250</xdr:colOff>
                    <xdr:row>90</xdr:row>
                    <xdr:rowOff>209550</xdr:rowOff>
                  </to>
                </anchor>
              </controlPr>
            </control>
          </mc:Choice>
        </mc:AlternateContent>
        <mc:AlternateContent xmlns:mc="http://schemas.openxmlformats.org/markup-compatibility/2006">
          <mc:Choice Requires="x14">
            <control shapeId="76818" r:id="rId21" name="Option Button 18">
              <controlPr defaultSize="0" autoFill="0" autoLine="0" autoPict="0">
                <anchor moveWithCells="1">
                  <from>
                    <xdr:col>18</xdr:col>
                    <xdr:colOff>69850</xdr:colOff>
                    <xdr:row>103</xdr:row>
                    <xdr:rowOff>12700</xdr:rowOff>
                  </from>
                  <to>
                    <xdr:col>19</xdr:col>
                    <xdr:colOff>165100</xdr:colOff>
                    <xdr:row>103</xdr:row>
                    <xdr:rowOff>222250</xdr:rowOff>
                  </to>
                </anchor>
              </controlPr>
            </control>
          </mc:Choice>
        </mc:AlternateContent>
        <mc:AlternateContent xmlns:mc="http://schemas.openxmlformats.org/markup-compatibility/2006">
          <mc:Choice Requires="x14">
            <control shapeId="76819" r:id="rId22" name="Option Button 19">
              <controlPr defaultSize="0" autoFill="0" autoLine="0" autoPict="0">
                <anchor moveWithCells="1">
                  <from>
                    <xdr:col>21</xdr:col>
                    <xdr:colOff>69850</xdr:colOff>
                    <xdr:row>103</xdr:row>
                    <xdr:rowOff>31750</xdr:rowOff>
                  </from>
                  <to>
                    <xdr:col>22</xdr:col>
                    <xdr:colOff>165100</xdr:colOff>
                    <xdr:row>104</xdr:row>
                    <xdr:rowOff>12700</xdr:rowOff>
                  </to>
                </anchor>
              </controlPr>
            </control>
          </mc:Choice>
        </mc:AlternateContent>
        <mc:AlternateContent xmlns:mc="http://schemas.openxmlformats.org/markup-compatibility/2006">
          <mc:Choice Requires="x14">
            <control shapeId="76820" r:id="rId23" name="Option Button 20">
              <controlPr defaultSize="0" autoFill="0" autoLine="0" autoPict="0">
                <anchor moveWithCells="1">
                  <from>
                    <xdr:col>24</xdr:col>
                    <xdr:colOff>50800</xdr:colOff>
                    <xdr:row>103</xdr:row>
                    <xdr:rowOff>12700</xdr:rowOff>
                  </from>
                  <to>
                    <xdr:col>25</xdr:col>
                    <xdr:colOff>146050</xdr:colOff>
                    <xdr:row>103</xdr:row>
                    <xdr:rowOff>222250</xdr:rowOff>
                  </to>
                </anchor>
              </controlPr>
            </control>
          </mc:Choice>
        </mc:AlternateContent>
        <mc:AlternateContent xmlns:mc="http://schemas.openxmlformats.org/markup-compatibility/2006">
          <mc:Choice Requires="x14">
            <control shapeId="76821" r:id="rId24" name="Option Button 21">
              <controlPr defaultSize="0" autoFill="0" autoLine="0" autoPict="0">
                <anchor moveWithCells="1">
                  <from>
                    <xdr:col>18</xdr:col>
                    <xdr:colOff>69850</xdr:colOff>
                    <xdr:row>104</xdr:row>
                    <xdr:rowOff>19050</xdr:rowOff>
                  </from>
                  <to>
                    <xdr:col>19</xdr:col>
                    <xdr:colOff>165100</xdr:colOff>
                    <xdr:row>104</xdr:row>
                    <xdr:rowOff>222250</xdr:rowOff>
                  </to>
                </anchor>
              </controlPr>
            </control>
          </mc:Choice>
        </mc:AlternateContent>
        <mc:AlternateContent xmlns:mc="http://schemas.openxmlformats.org/markup-compatibility/2006">
          <mc:Choice Requires="x14">
            <control shapeId="76822" r:id="rId25" name="Option Button 22">
              <controlPr defaultSize="0" autoFill="0" autoLine="0" autoPict="0">
                <anchor moveWithCells="1">
                  <from>
                    <xdr:col>21</xdr:col>
                    <xdr:colOff>69850</xdr:colOff>
                    <xdr:row>104</xdr:row>
                    <xdr:rowOff>19050</xdr:rowOff>
                  </from>
                  <to>
                    <xdr:col>22</xdr:col>
                    <xdr:colOff>165100</xdr:colOff>
                    <xdr:row>104</xdr:row>
                    <xdr:rowOff>209550</xdr:rowOff>
                  </to>
                </anchor>
              </controlPr>
            </control>
          </mc:Choice>
        </mc:AlternateContent>
        <mc:AlternateContent xmlns:mc="http://schemas.openxmlformats.org/markup-compatibility/2006">
          <mc:Choice Requires="x14">
            <control shapeId="76823" r:id="rId26" name="Option Button 23">
              <controlPr defaultSize="0" autoFill="0" autoLine="0" autoPict="0">
                <anchor moveWithCells="1">
                  <from>
                    <xdr:col>24</xdr:col>
                    <xdr:colOff>50800</xdr:colOff>
                    <xdr:row>104</xdr:row>
                    <xdr:rowOff>12700</xdr:rowOff>
                  </from>
                  <to>
                    <xdr:col>25</xdr:col>
                    <xdr:colOff>146050</xdr:colOff>
                    <xdr:row>104</xdr:row>
                    <xdr:rowOff>209550</xdr:rowOff>
                  </to>
                </anchor>
              </controlPr>
            </control>
          </mc:Choice>
        </mc:AlternateContent>
        <mc:AlternateContent xmlns:mc="http://schemas.openxmlformats.org/markup-compatibility/2006">
          <mc:Choice Requires="x14">
            <control shapeId="76824" r:id="rId27" name="Check Box 24">
              <controlPr defaultSize="0" autoFill="0" autoLine="0" autoPict="0">
                <anchor moveWithCells="1">
                  <from>
                    <xdr:col>8</xdr:col>
                    <xdr:colOff>69850</xdr:colOff>
                    <xdr:row>68</xdr:row>
                    <xdr:rowOff>19050</xdr:rowOff>
                  </from>
                  <to>
                    <xdr:col>9</xdr:col>
                    <xdr:colOff>165100</xdr:colOff>
                    <xdr:row>69</xdr:row>
                    <xdr:rowOff>0</xdr:rowOff>
                  </to>
                </anchor>
              </controlPr>
            </control>
          </mc:Choice>
        </mc:AlternateContent>
        <mc:AlternateContent xmlns:mc="http://schemas.openxmlformats.org/markup-compatibility/2006">
          <mc:Choice Requires="x14">
            <control shapeId="76825" r:id="rId28" name="Check Box 25">
              <controlPr defaultSize="0" autoFill="0" autoLine="0" autoPict="0">
                <anchor moveWithCells="1">
                  <from>
                    <xdr:col>25</xdr:col>
                    <xdr:colOff>152400</xdr:colOff>
                    <xdr:row>79</xdr:row>
                    <xdr:rowOff>12700</xdr:rowOff>
                  </from>
                  <to>
                    <xdr:col>27</xdr:col>
                    <xdr:colOff>0</xdr:colOff>
                    <xdr:row>79</xdr:row>
                    <xdr:rowOff>222250</xdr:rowOff>
                  </to>
                </anchor>
              </controlPr>
            </control>
          </mc:Choice>
        </mc:AlternateContent>
        <mc:AlternateContent xmlns:mc="http://schemas.openxmlformats.org/markup-compatibility/2006">
          <mc:Choice Requires="x14">
            <control shapeId="76826" r:id="rId29" name="Check Box 26">
              <controlPr defaultSize="0" autoFill="0" autoLine="0" autoPict="0">
                <anchor moveWithCells="1">
                  <from>
                    <xdr:col>29</xdr:col>
                    <xdr:colOff>165100</xdr:colOff>
                    <xdr:row>79</xdr:row>
                    <xdr:rowOff>12700</xdr:rowOff>
                  </from>
                  <to>
                    <xdr:col>31</xdr:col>
                    <xdr:colOff>0</xdr:colOff>
                    <xdr:row>79</xdr:row>
                    <xdr:rowOff>222250</xdr:rowOff>
                  </to>
                </anchor>
              </controlPr>
            </control>
          </mc:Choice>
        </mc:AlternateContent>
        <mc:AlternateContent xmlns:mc="http://schemas.openxmlformats.org/markup-compatibility/2006">
          <mc:Choice Requires="x14">
            <control shapeId="76827" r:id="rId30" name="Check Box 27">
              <controlPr defaultSize="0" autoFill="0" autoLine="0" autoPict="0">
                <anchor moveWithCells="1">
                  <from>
                    <xdr:col>27</xdr:col>
                    <xdr:colOff>152400</xdr:colOff>
                    <xdr:row>79</xdr:row>
                    <xdr:rowOff>12700</xdr:rowOff>
                  </from>
                  <to>
                    <xdr:col>28</xdr:col>
                    <xdr:colOff>247650</xdr:colOff>
                    <xdr:row>79</xdr:row>
                    <xdr:rowOff>222250</xdr:rowOff>
                  </to>
                </anchor>
              </controlPr>
            </control>
          </mc:Choice>
        </mc:AlternateContent>
        <mc:AlternateContent xmlns:mc="http://schemas.openxmlformats.org/markup-compatibility/2006">
          <mc:Choice Requires="x14">
            <control shapeId="76828" r:id="rId31" name="Check Box 28">
              <controlPr defaultSize="0" autoFill="0" autoLine="0" autoPict="0">
                <anchor moveWithCells="1">
                  <from>
                    <xdr:col>31</xdr:col>
                    <xdr:colOff>165100</xdr:colOff>
                    <xdr:row>79</xdr:row>
                    <xdr:rowOff>12700</xdr:rowOff>
                  </from>
                  <to>
                    <xdr:col>33</xdr:col>
                    <xdr:colOff>0</xdr:colOff>
                    <xdr:row>79</xdr:row>
                    <xdr:rowOff>222250</xdr:rowOff>
                  </to>
                </anchor>
              </controlPr>
            </control>
          </mc:Choice>
        </mc:AlternateContent>
        <mc:AlternateContent xmlns:mc="http://schemas.openxmlformats.org/markup-compatibility/2006">
          <mc:Choice Requires="x14">
            <control shapeId="76829" r:id="rId32" name="Check Box 29">
              <controlPr defaultSize="0" autoFill="0" autoLine="0" autoPict="0">
                <anchor moveWithCells="1">
                  <from>
                    <xdr:col>33</xdr:col>
                    <xdr:colOff>165100</xdr:colOff>
                    <xdr:row>79</xdr:row>
                    <xdr:rowOff>12700</xdr:rowOff>
                  </from>
                  <to>
                    <xdr:col>35</xdr:col>
                    <xdr:colOff>0</xdr:colOff>
                    <xdr:row>79</xdr:row>
                    <xdr:rowOff>222250</xdr:rowOff>
                  </to>
                </anchor>
              </controlPr>
            </control>
          </mc:Choice>
        </mc:AlternateContent>
        <mc:AlternateContent xmlns:mc="http://schemas.openxmlformats.org/markup-compatibility/2006">
          <mc:Choice Requires="x14">
            <control shapeId="76830" r:id="rId33" name="Check Box 30">
              <controlPr defaultSize="0" autoFill="0" autoLine="0" autoPict="0">
                <anchor moveWithCells="1">
                  <from>
                    <xdr:col>35</xdr:col>
                    <xdr:colOff>165100</xdr:colOff>
                    <xdr:row>79</xdr:row>
                    <xdr:rowOff>12700</xdr:rowOff>
                  </from>
                  <to>
                    <xdr:col>37</xdr:col>
                    <xdr:colOff>0</xdr:colOff>
                    <xdr:row>79</xdr:row>
                    <xdr:rowOff>222250</xdr:rowOff>
                  </to>
                </anchor>
              </controlPr>
            </control>
          </mc:Choice>
        </mc:AlternateContent>
        <mc:AlternateContent xmlns:mc="http://schemas.openxmlformats.org/markup-compatibility/2006">
          <mc:Choice Requires="x14">
            <control shapeId="76831" r:id="rId34" name="Check Box 31">
              <controlPr defaultSize="0" autoFill="0" autoLine="0" autoPict="0">
                <anchor moveWithCells="1">
                  <from>
                    <xdr:col>37</xdr:col>
                    <xdr:colOff>165100</xdr:colOff>
                    <xdr:row>79</xdr:row>
                    <xdr:rowOff>12700</xdr:rowOff>
                  </from>
                  <to>
                    <xdr:col>39</xdr:col>
                    <xdr:colOff>0</xdr:colOff>
                    <xdr:row>79</xdr:row>
                    <xdr:rowOff>222250</xdr:rowOff>
                  </to>
                </anchor>
              </controlPr>
            </control>
          </mc:Choice>
        </mc:AlternateContent>
        <mc:AlternateContent xmlns:mc="http://schemas.openxmlformats.org/markup-compatibility/2006">
          <mc:Choice Requires="x14">
            <control shapeId="76832" r:id="rId35" name="Check Box 32">
              <controlPr defaultSize="0" autoFill="0" autoLine="0" autoPict="0">
                <anchor moveWithCells="1">
                  <from>
                    <xdr:col>39</xdr:col>
                    <xdr:colOff>165100</xdr:colOff>
                    <xdr:row>79</xdr:row>
                    <xdr:rowOff>12700</xdr:rowOff>
                  </from>
                  <to>
                    <xdr:col>41</xdr:col>
                    <xdr:colOff>19050</xdr:colOff>
                    <xdr:row>79</xdr:row>
                    <xdr:rowOff>222250</xdr:rowOff>
                  </to>
                </anchor>
              </controlPr>
            </control>
          </mc:Choice>
        </mc:AlternateContent>
        <mc:AlternateContent xmlns:mc="http://schemas.openxmlformats.org/markup-compatibility/2006">
          <mc:Choice Requires="x14">
            <control shapeId="76833" r:id="rId36" name="Group Box 33">
              <controlPr defaultSize="0" autoFill="0" autoPict="0">
                <anchor moveWithCells="1">
                  <from>
                    <xdr:col>8</xdr:col>
                    <xdr:colOff>0</xdr:colOff>
                    <xdr:row>126</xdr:row>
                    <xdr:rowOff>222250</xdr:rowOff>
                  </from>
                  <to>
                    <xdr:col>45</xdr:col>
                    <xdr:colOff>241300</xdr:colOff>
                    <xdr:row>127</xdr:row>
                    <xdr:rowOff>222250</xdr:rowOff>
                  </to>
                </anchor>
              </controlPr>
            </control>
          </mc:Choice>
        </mc:AlternateContent>
        <mc:AlternateContent xmlns:mc="http://schemas.openxmlformats.org/markup-compatibility/2006">
          <mc:Choice Requires="x14">
            <control shapeId="76834" r:id="rId37" name="Check Box 34">
              <controlPr defaultSize="0" autoFill="0" autoLine="0" autoPict="0">
                <anchor moveWithCells="1">
                  <from>
                    <xdr:col>8</xdr:col>
                    <xdr:colOff>209550</xdr:colOff>
                    <xdr:row>90</xdr:row>
                    <xdr:rowOff>0</xdr:rowOff>
                  </from>
                  <to>
                    <xdr:col>10</xdr:col>
                    <xdr:colOff>38100</xdr:colOff>
                    <xdr:row>90</xdr:row>
                    <xdr:rowOff>222250</xdr:rowOff>
                  </to>
                </anchor>
              </controlPr>
            </control>
          </mc:Choice>
        </mc:AlternateContent>
        <mc:AlternateContent xmlns:mc="http://schemas.openxmlformats.org/markup-compatibility/2006">
          <mc:Choice Requires="x14">
            <control shapeId="76835" r:id="rId38" name="Check Box 35">
              <controlPr defaultSize="0" autoFill="0" autoLine="0" autoPict="0">
                <anchor moveWithCells="1">
                  <from>
                    <xdr:col>16</xdr:col>
                    <xdr:colOff>190500</xdr:colOff>
                    <xdr:row>90</xdr:row>
                    <xdr:rowOff>0</xdr:rowOff>
                  </from>
                  <to>
                    <xdr:col>18</xdr:col>
                    <xdr:colOff>19050</xdr:colOff>
                    <xdr:row>90</xdr:row>
                    <xdr:rowOff>209550</xdr:rowOff>
                  </to>
                </anchor>
              </controlPr>
            </control>
          </mc:Choice>
        </mc:AlternateContent>
        <mc:AlternateContent xmlns:mc="http://schemas.openxmlformats.org/markup-compatibility/2006">
          <mc:Choice Requires="x14">
            <control shapeId="76836" r:id="rId39" name="Option Button 36">
              <controlPr defaultSize="0" autoFill="0" autoLine="0" autoPict="0">
                <anchor moveWithCells="1">
                  <from>
                    <xdr:col>9</xdr:col>
                    <xdr:colOff>19050</xdr:colOff>
                    <xdr:row>92</xdr:row>
                    <xdr:rowOff>127000</xdr:rowOff>
                  </from>
                  <to>
                    <xdr:col>11</xdr:col>
                    <xdr:colOff>50800</xdr:colOff>
                    <xdr:row>93</xdr:row>
                    <xdr:rowOff>107950</xdr:rowOff>
                  </to>
                </anchor>
              </controlPr>
            </control>
          </mc:Choice>
        </mc:AlternateContent>
        <mc:AlternateContent xmlns:mc="http://schemas.openxmlformats.org/markup-compatibility/2006">
          <mc:Choice Requires="x14">
            <control shapeId="76837" r:id="rId40" name="Option Button 37">
              <controlPr defaultSize="0" autoFill="0" autoLine="0" autoPict="0">
                <anchor moveWithCells="1">
                  <from>
                    <xdr:col>13</xdr:col>
                    <xdr:colOff>19050</xdr:colOff>
                    <xdr:row>92</xdr:row>
                    <xdr:rowOff>127000</xdr:rowOff>
                  </from>
                  <to>
                    <xdr:col>15</xdr:col>
                    <xdr:colOff>50800</xdr:colOff>
                    <xdr:row>93</xdr:row>
                    <xdr:rowOff>107950</xdr:rowOff>
                  </to>
                </anchor>
              </controlPr>
            </control>
          </mc:Choice>
        </mc:AlternateContent>
        <mc:AlternateContent xmlns:mc="http://schemas.openxmlformats.org/markup-compatibility/2006">
          <mc:Choice Requires="x14">
            <control shapeId="76838" r:id="rId41" name="Group Box 38">
              <controlPr defaultSize="0" autoFill="0" autoPict="0">
                <anchor moveWithCells="1">
                  <from>
                    <xdr:col>8</xdr:col>
                    <xdr:colOff>0</xdr:colOff>
                    <xdr:row>92</xdr:row>
                    <xdr:rowOff>0</xdr:rowOff>
                  </from>
                  <to>
                    <xdr:col>17</xdr:col>
                    <xdr:colOff>0</xdr:colOff>
                    <xdr:row>94</xdr:row>
                    <xdr:rowOff>0</xdr:rowOff>
                  </to>
                </anchor>
              </controlPr>
            </control>
          </mc:Choice>
        </mc:AlternateContent>
        <mc:AlternateContent xmlns:mc="http://schemas.openxmlformats.org/markup-compatibility/2006">
          <mc:Choice Requires="x14">
            <control shapeId="76839" r:id="rId42" name="Option Button 39">
              <controlPr defaultSize="0" autoFill="0" autoLine="0" autoPict="0">
                <anchor moveWithCells="1">
                  <from>
                    <xdr:col>9</xdr:col>
                    <xdr:colOff>31750</xdr:colOff>
                    <xdr:row>94</xdr:row>
                    <xdr:rowOff>114300</xdr:rowOff>
                  </from>
                  <to>
                    <xdr:col>11</xdr:col>
                    <xdr:colOff>50800</xdr:colOff>
                    <xdr:row>95</xdr:row>
                    <xdr:rowOff>95250</xdr:rowOff>
                  </to>
                </anchor>
              </controlPr>
            </control>
          </mc:Choice>
        </mc:AlternateContent>
        <mc:AlternateContent xmlns:mc="http://schemas.openxmlformats.org/markup-compatibility/2006">
          <mc:Choice Requires="x14">
            <control shapeId="76840" r:id="rId43" name="Option Button 40">
              <controlPr defaultSize="0" autoFill="0" autoLine="0" autoPict="0">
                <anchor moveWithCells="1">
                  <from>
                    <xdr:col>13</xdr:col>
                    <xdr:colOff>31750</xdr:colOff>
                    <xdr:row>94</xdr:row>
                    <xdr:rowOff>114300</xdr:rowOff>
                  </from>
                  <to>
                    <xdr:col>15</xdr:col>
                    <xdr:colOff>50800</xdr:colOff>
                    <xdr:row>95</xdr:row>
                    <xdr:rowOff>95250</xdr:rowOff>
                  </to>
                </anchor>
              </controlPr>
            </control>
          </mc:Choice>
        </mc:AlternateContent>
        <mc:AlternateContent xmlns:mc="http://schemas.openxmlformats.org/markup-compatibility/2006">
          <mc:Choice Requires="x14">
            <control shapeId="76841" r:id="rId44" name="Group Box 41">
              <controlPr defaultSize="0" autoFill="0" autoPict="0">
                <anchor moveWithCells="1">
                  <from>
                    <xdr:col>8</xdr:col>
                    <xdr:colOff>0</xdr:colOff>
                    <xdr:row>94</xdr:row>
                    <xdr:rowOff>0</xdr:rowOff>
                  </from>
                  <to>
                    <xdr:col>17</xdr:col>
                    <xdr:colOff>0</xdr:colOff>
                    <xdr:row>96</xdr:row>
                    <xdr:rowOff>0</xdr:rowOff>
                  </to>
                </anchor>
              </controlPr>
            </control>
          </mc:Choice>
        </mc:AlternateContent>
        <mc:AlternateContent xmlns:mc="http://schemas.openxmlformats.org/markup-compatibility/2006">
          <mc:Choice Requires="x14">
            <control shapeId="76842" r:id="rId45" name="Option Button 42">
              <controlPr defaultSize="0" autoFill="0" autoLine="0" autoPict="0">
                <anchor moveWithCells="1">
                  <from>
                    <xdr:col>24</xdr:col>
                    <xdr:colOff>38100</xdr:colOff>
                    <xdr:row>92</xdr:row>
                    <xdr:rowOff>127000</xdr:rowOff>
                  </from>
                  <to>
                    <xdr:col>26</xdr:col>
                    <xdr:colOff>69850</xdr:colOff>
                    <xdr:row>93</xdr:row>
                    <xdr:rowOff>107950</xdr:rowOff>
                  </to>
                </anchor>
              </controlPr>
            </control>
          </mc:Choice>
        </mc:AlternateContent>
        <mc:AlternateContent xmlns:mc="http://schemas.openxmlformats.org/markup-compatibility/2006">
          <mc:Choice Requires="x14">
            <control shapeId="76843" r:id="rId46" name="Option Button 43">
              <controlPr defaultSize="0" autoFill="0" autoLine="0" autoPict="0">
                <anchor moveWithCells="1">
                  <from>
                    <xdr:col>28</xdr:col>
                    <xdr:colOff>38100</xdr:colOff>
                    <xdr:row>92</xdr:row>
                    <xdr:rowOff>127000</xdr:rowOff>
                  </from>
                  <to>
                    <xdr:col>30</xdr:col>
                    <xdr:colOff>69850</xdr:colOff>
                    <xdr:row>93</xdr:row>
                    <xdr:rowOff>107950</xdr:rowOff>
                  </to>
                </anchor>
              </controlPr>
            </control>
          </mc:Choice>
        </mc:AlternateContent>
        <mc:AlternateContent xmlns:mc="http://schemas.openxmlformats.org/markup-compatibility/2006">
          <mc:Choice Requires="x14">
            <control shapeId="76844" r:id="rId47" name="Option Button 44">
              <controlPr defaultSize="0" autoFill="0" autoLine="0" autoPict="0">
                <anchor moveWithCells="1">
                  <from>
                    <xdr:col>24</xdr:col>
                    <xdr:colOff>38100</xdr:colOff>
                    <xdr:row>94</xdr:row>
                    <xdr:rowOff>114300</xdr:rowOff>
                  </from>
                  <to>
                    <xdr:col>26</xdr:col>
                    <xdr:colOff>69850</xdr:colOff>
                    <xdr:row>95</xdr:row>
                    <xdr:rowOff>95250</xdr:rowOff>
                  </to>
                </anchor>
              </controlPr>
            </control>
          </mc:Choice>
        </mc:AlternateContent>
        <mc:AlternateContent xmlns:mc="http://schemas.openxmlformats.org/markup-compatibility/2006">
          <mc:Choice Requires="x14">
            <control shapeId="76845" r:id="rId48" name="Option Button 45">
              <controlPr defaultSize="0" autoFill="0" autoLine="0" autoPict="0">
                <anchor moveWithCells="1">
                  <from>
                    <xdr:col>28</xdr:col>
                    <xdr:colOff>38100</xdr:colOff>
                    <xdr:row>94</xdr:row>
                    <xdr:rowOff>114300</xdr:rowOff>
                  </from>
                  <to>
                    <xdr:col>30</xdr:col>
                    <xdr:colOff>69850</xdr:colOff>
                    <xdr:row>95</xdr:row>
                    <xdr:rowOff>95250</xdr:rowOff>
                  </to>
                </anchor>
              </controlPr>
            </control>
          </mc:Choice>
        </mc:AlternateContent>
        <mc:AlternateContent xmlns:mc="http://schemas.openxmlformats.org/markup-compatibility/2006">
          <mc:Choice Requires="x14">
            <control shapeId="76846" r:id="rId49" name="Option Button 46">
              <controlPr defaultSize="0" autoFill="0" autoLine="0" autoPict="0">
                <anchor moveWithCells="1">
                  <from>
                    <xdr:col>39</xdr:col>
                    <xdr:colOff>38100</xdr:colOff>
                    <xdr:row>92</xdr:row>
                    <xdr:rowOff>127000</xdr:rowOff>
                  </from>
                  <to>
                    <xdr:col>41</xdr:col>
                    <xdr:colOff>69850</xdr:colOff>
                    <xdr:row>93</xdr:row>
                    <xdr:rowOff>107950</xdr:rowOff>
                  </to>
                </anchor>
              </controlPr>
            </control>
          </mc:Choice>
        </mc:AlternateContent>
        <mc:AlternateContent xmlns:mc="http://schemas.openxmlformats.org/markup-compatibility/2006">
          <mc:Choice Requires="x14">
            <control shapeId="76847" r:id="rId50" name="Option Button 47">
              <controlPr defaultSize="0" autoFill="0" autoLine="0" autoPict="0">
                <anchor moveWithCells="1">
                  <from>
                    <xdr:col>43</xdr:col>
                    <xdr:colOff>38100</xdr:colOff>
                    <xdr:row>92</xdr:row>
                    <xdr:rowOff>127000</xdr:rowOff>
                  </from>
                  <to>
                    <xdr:col>45</xdr:col>
                    <xdr:colOff>69850</xdr:colOff>
                    <xdr:row>93</xdr:row>
                    <xdr:rowOff>107950</xdr:rowOff>
                  </to>
                </anchor>
              </controlPr>
            </control>
          </mc:Choice>
        </mc:AlternateContent>
        <mc:AlternateContent xmlns:mc="http://schemas.openxmlformats.org/markup-compatibility/2006">
          <mc:Choice Requires="x14">
            <control shapeId="76848" r:id="rId51" name="Option Button 48">
              <controlPr defaultSize="0" autoFill="0" autoLine="0" autoPict="0">
                <anchor moveWithCells="1">
                  <from>
                    <xdr:col>39</xdr:col>
                    <xdr:colOff>38100</xdr:colOff>
                    <xdr:row>94</xdr:row>
                    <xdr:rowOff>114300</xdr:rowOff>
                  </from>
                  <to>
                    <xdr:col>41</xdr:col>
                    <xdr:colOff>69850</xdr:colOff>
                    <xdr:row>95</xdr:row>
                    <xdr:rowOff>95250</xdr:rowOff>
                  </to>
                </anchor>
              </controlPr>
            </control>
          </mc:Choice>
        </mc:AlternateContent>
        <mc:AlternateContent xmlns:mc="http://schemas.openxmlformats.org/markup-compatibility/2006">
          <mc:Choice Requires="x14">
            <control shapeId="76849" r:id="rId52" name="Option Button 49">
              <controlPr defaultSize="0" autoFill="0" autoLine="0" autoPict="0">
                <anchor moveWithCells="1">
                  <from>
                    <xdr:col>43</xdr:col>
                    <xdr:colOff>38100</xdr:colOff>
                    <xdr:row>94</xdr:row>
                    <xdr:rowOff>114300</xdr:rowOff>
                  </from>
                  <to>
                    <xdr:col>45</xdr:col>
                    <xdr:colOff>69850</xdr:colOff>
                    <xdr:row>95</xdr:row>
                    <xdr:rowOff>95250</xdr:rowOff>
                  </to>
                </anchor>
              </controlPr>
            </control>
          </mc:Choice>
        </mc:AlternateContent>
        <mc:AlternateContent xmlns:mc="http://schemas.openxmlformats.org/markup-compatibility/2006">
          <mc:Choice Requires="x14">
            <control shapeId="76850" r:id="rId53" name="Group Box 50">
              <controlPr defaultSize="0" autoFill="0" autoPict="0">
                <anchor moveWithCells="1">
                  <from>
                    <xdr:col>23</xdr:col>
                    <xdr:colOff>0</xdr:colOff>
                    <xdr:row>92</xdr:row>
                    <xdr:rowOff>0</xdr:rowOff>
                  </from>
                  <to>
                    <xdr:col>32</xdr:col>
                    <xdr:colOff>0</xdr:colOff>
                    <xdr:row>94</xdr:row>
                    <xdr:rowOff>0</xdr:rowOff>
                  </to>
                </anchor>
              </controlPr>
            </control>
          </mc:Choice>
        </mc:AlternateContent>
        <mc:AlternateContent xmlns:mc="http://schemas.openxmlformats.org/markup-compatibility/2006">
          <mc:Choice Requires="x14">
            <control shapeId="76851" r:id="rId54" name="Group Box 51">
              <controlPr defaultSize="0" autoFill="0" autoPict="0">
                <anchor moveWithCells="1">
                  <from>
                    <xdr:col>23</xdr:col>
                    <xdr:colOff>0</xdr:colOff>
                    <xdr:row>94</xdr:row>
                    <xdr:rowOff>0</xdr:rowOff>
                  </from>
                  <to>
                    <xdr:col>32</xdr:col>
                    <xdr:colOff>0</xdr:colOff>
                    <xdr:row>96</xdr:row>
                    <xdr:rowOff>0</xdr:rowOff>
                  </to>
                </anchor>
              </controlPr>
            </control>
          </mc:Choice>
        </mc:AlternateContent>
        <mc:AlternateContent xmlns:mc="http://schemas.openxmlformats.org/markup-compatibility/2006">
          <mc:Choice Requires="x14">
            <control shapeId="76852" r:id="rId55" name="Group Box 52">
              <controlPr defaultSize="0" autoFill="0" autoPict="0">
                <anchor moveWithCells="1">
                  <from>
                    <xdr:col>38</xdr:col>
                    <xdr:colOff>0</xdr:colOff>
                    <xdr:row>92</xdr:row>
                    <xdr:rowOff>0</xdr:rowOff>
                  </from>
                  <to>
                    <xdr:col>46</xdr:col>
                    <xdr:colOff>0</xdr:colOff>
                    <xdr:row>94</xdr:row>
                    <xdr:rowOff>0</xdr:rowOff>
                  </to>
                </anchor>
              </controlPr>
            </control>
          </mc:Choice>
        </mc:AlternateContent>
        <mc:AlternateContent xmlns:mc="http://schemas.openxmlformats.org/markup-compatibility/2006">
          <mc:Choice Requires="x14">
            <control shapeId="76853" r:id="rId56" name="Group Box 53">
              <controlPr defaultSize="0" autoFill="0" autoPict="0">
                <anchor moveWithCells="1">
                  <from>
                    <xdr:col>38</xdr:col>
                    <xdr:colOff>0</xdr:colOff>
                    <xdr:row>94</xdr:row>
                    <xdr:rowOff>0</xdr:rowOff>
                  </from>
                  <to>
                    <xdr:col>46</xdr:col>
                    <xdr:colOff>0</xdr:colOff>
                    <xdr:row>96</xdr:row>
                    <xdr:rowOff>0</xdr:rowOff>
                  </to>
                </anchor>
              </controlPr>
            </control>
          </mc:Choice>
        </mc:AlternateContent>
        <mc:AlternateContent xmlns:mc="http://schemas.openxmlformats.org/markup-compatibility/2006">
          <mc:Choice Requires="x14">
            <control shapeId="76854" r:id="rId57" name="Option Button 54">
              <controlPr defaultSize="0" autoFill="0" autoLine="0" autoPict="0">
                <anchor moveWithCells="1">
                  <from>
                    <xdr:col>41</xdr:col>
                    <xdr:colOff>0</xdr:colOff>
                    <xdr:row>20</xdr:row>
                    <xdr:rowOff>69850</xdr:rowOff>
                  </from>
                  <to>
                    <xdr:col>42</xdr:col>
                    <xdr:colOff>107950</xdr:colOff>
                    <xdr:row>21</xdr:row>
                    <xdr:rowOff>95250</xdr:rowOff>
                  </to>
                </anchor>
              </controlPr>
            </control>
          </mc:Choice>
        </mc:AlternateContent>
        <mc:AlternateContent xmlns:mc="http://schemas.openxmlformats.org/markup-compatibility/2006">
          <mc:Choice Requires="x14">
            <control shapeId="76855" r:id="rId58" name="Option Button 55">
              <controlPr defaultSize="0" autoFill="0" autoLine="0" autoPict="0">
                <anchor moveWithCells="1">
                  <from>
                    <xdr:col>43</xdr:col>
                    <xdr:colOff>127000</xdr:colOff>
                    <xdr:row>20</xdr:row>
                    <xdr:rowOff>69850</xdr:rowOff>
                  </from>
                  <to>
                    <xdr:col>44</xdr:col>
                    <xdr:colOff>222250</xdr:colOff>
                    <xdr:row>21</xdr:row>
                    <xdr:rowOff>95250</xdr:rowOff>
                  </to>
                </anchor>
              </controlPr>
            </control>
          </mc:Choice>
        </mc:AlternateContent>
        <mc:AlternateContent xmlns:mc="http://schemas.openxmlformats.org/markup-compatibility/2006">
          <mc:Choice Requires="x14">
            <control shapeId="76856" r:id="rId59" name="Group Box 56">
              <controlPr defaultSize="0" autoFill="0" autoPict="0">
                <anchor moveWithCells="1">
                  <from>
                    <xdr:col>40</xdr:col>
                    <xdr:colOff>152400</xdr:colOff>
                    <xdr:row>19</xdr:row>
                    <xdr:rowOff>19050</xdr:rowOff>
                  </from>
                  <to>
                    <xdr:col>45</xdr:col>
                    <xdr:colOff>228600</xdr:colOff>
                    <xdr:row>21</xdr:row>
                    <xdr:rowOff>203200</xdr:rowOff>
                  </to>
                </anchor>
              </controlPr>
            </control>
          </mc:Choice>
        </mc:AlternateContent>
        <mc:AlternateContent xmlns:mc="http://schemas.openxmlformats.org/markup-compatibility/2006">
          <mc:Choice Requires="x14">
            <control shapeId="76857" r:id="rId60" name="Option Button 57">
              <controlPr defaultSize="0" autoFill="0" autoLine="0" autoPict="0">
                <anchor moveWithCells="1">
                  <from>
                    <xdr:col>28</xdr:col>
                    <xdr:colOff>107950</xdr:colOff>
                    <xdr:row>17</xdr:row>
                    <xdr:rowOff>127000</xdr:rowOff>
                  </from>
                  <to>
                    <xdr:col>31</xdr:col>
                    <xdr:colOff>165100</xdr:colOff>
                    <xdr:row>18</xdr:row>
                    <xdr:rowOff>95250</xdr:rowOff>
                  </to>
                </anchor>
              </controlPr>
            </control>
          </mc:Choice>
        </mc:AlternateContent>
        <mc:AlternateContent xmlns:mc="http://schemas.openxmlformats.org/markup-compatibility/2006">
          <mc:Choice Requires="x14">
            <control shapeId="76858" r:id="rId61" name="Option Button 58">
              <controlPr defaultSize="0" autoFill="0" autoLine="0" autoPict="0">
                <anchor moveWithCells="1">
                  <from>
                    <xdr:col>35</xdr:col>
                    <xdr:colOff>114300</xdr:colOff>
                    <xdr:row>17</xdr:row>
                    <xdr:rowOff>127000</xdr:rowOff>
                  </from>
                  <to>
                    <xdr:col>38</xdr:col>
                    <xdr:colOff>171450</xdr:colOff>
                    <xdr:row>18</xdr:row>
                    <xdr:rowOff>95250</xdr:rowOff>
                  </to>
                </anchor>
              </controlPr>
            </control>
          </mc:Choice>
        </mc:AlternateContent>
        <mc:AlternateContent xmlns:mc="http://schemas.openxmlformats.org/markup-compatibility/2006">
          <mc:Choice Requires="x14">
            <control shapeId="76859" r:id="rId62" name="Group Box 59">
              <controlPr defaultSize="0" autoFill="0" autoPict="0">
                <anchor moveWithCells="1">
                  <from>
                    <xdr:col>8</xdr:col>
                    <xdr:colOff>12700</xdr:colOff>
                    <xdr:row>12</xdr:row>
                    <xdr:rowOff>50800</xdr:rowOff>
                  </from>
                  <to>
                    <xdr:col>14</xdr:col>
                    <xdr:colOff>247650</xdr:colOff>
                    <xdr:row>26</xdr:row>
                    <xdr:rowOff>184150</xdr:rowOff>
                  </to>
                </anchor>
              </controlPr>
            </control>
          </mc:Choice>
        </mc:AlternateContent>
        <mc:AlternateContent xmlns:mc="http://schemas.openxmlformats.org/markup-compatibility/2006">
          <mc:Choice Requires="x14">
            <control shapeId="76860" r:id="rId63" name="Option Button 60">
              <controlPr defaultSize="0" autoFill="0" autoLine="0" autoPict="0">
                <anchor moveWithCells="1">
                  <from>
                    <xdr:col>8</xdr:col>
                    <xdr:colOff>228600</xdr:colOff>
                    <xdr:row>127</xdr:row>
                    <xdr:rowOff>12700</xdr:rowOff>
                  </from>
                  <to>
                    <xdr:col>12</xdr:col>
                    <xdr:colOff>31750</xdr:colOff>
                    <xdr:row>127</xdr:row>
                    <xdr:rowOff>203200</xdr:rowOff>
                  </to>
                </anchor>
              </controlPr>
            </control>
          </mc:Choice>
        </mc:AlternateContent>
        <mc:AlternateContent xmlns:mc="http://schemas.openxmlformats.org/markup-compatibility/2006">
          <mc:Choice Requires="x14">
            <control shapeId="76861" r:id="rId64" name="Option Button 61">
              <controlPr defaultSize="0" autoFill="0" autoLine="0" autoPict="0">
                <anchor moveWithCells="1">
                  <from>
                    <xdr:col>20</xdr:col>
                    <xdr:colOff>222250</xdr:colOff>
                    <xdr:row>127</xdr:row>
                    <xdr:rowOff>12700</xdr:rowOff>
                  </from>
                  <to>
                    <xdr:col>24</xdr:col>
                    <xdr:colOff>19050</xdr:colOff>
                    <xdr:row>127</xdr:row>
                    <xdr:rowOff>203200</xdr:rowOff>
                  </to>
                </anchor>
              </controlPr>
            </control>
          </mc:Choice>
        </mc:AlternateContent>
        <mc:AlternateContent xmlns:mc="http://schemas.openxmlformats.org/markup-compatibility/2006">
          <mc:Choice Requires="x14">
            <control shapeId="76862" r:id="rId65" name="Group Box 62">
              <controlPr defaultSize="0" autoFill="0" autoPict="0">
                <anchor moveWithCells="1">
                  <from>
                    <xdr:col>8</xdr:col>
                    <xdr:colOff>12700</xdr:colOff>
                    <xdr:row>126</xdr:row>
                    <xdr:rowOff>203200</xdr:rowOff>
                  </from>
                  <to>
                    <xdr:col>26</xdr:col>
                    <xdr:colOff>241300</xdr:colOff>
                    <xdr:row>131</xdr:row>
                    <xdr:rowOff>19050</xdr:rowOff>
                  </to>
                </anchor>
              </controlPr>
            </control>
          </mc:Choice>
        </mc:AlternateContent>
        <mc:AlternateContent xmlns:mc="http://schemas.openxmlformats.org/markup-compatibility/2006">
          <mc:Choice Requires="x14">
            <control shapeId="76863" r:id="rId66" name="Group Box 63">
              <controlPr defaultSize="0" autoFill="0" autoPict="0">
                <anchor moveWithCells="1">
                  <from>
                    <xdr:col>9</xdr:col>
                    <xdr:colOff>38100</xdr:colOff>
                    <xdr:row>17</xdr:row>
                    <xdr:rowOff>19050</xdr:rowOff>
                  </from>
                  <to>
                    <xdr:col>24</xdr:col>
                    <xdr:colOff>76200</xdr:colOff>
                    <xdr:row>18</xdr:row>
                    <xdr:rowOff>203200</xdr:rowOff>
                  </to>
                </anchor>
              </controlPr>
            </control>
          </mc:Choice>
        </mc:AlternateContent>
        <mc:AlternateContent xmlns:mc="http://schemas.openxmlformats.org/markup-compatibility/2006">
          <mc:Choice Requires="x14">
            <control shapeId="76864" r:id="rId67" name="Option Button 64">
              <controlPr defaultSize="0" autoFill="0" autoLine="0" autoPict="0">
                <anchor moveWithCells="1">
                  <from>
                    <xdr:col>9</xdr:col>
                    <xdr:colOff>133350</xdr:colOff>
                    <xdr:row>17</xdr:row>
                    <xdr:rowOff>127000</xdr:rowOff>
                  </from>
                  <to>
                    <xdr:col>12</xdr:col>
                    <xdr:colOff>190500</xdr:colOff>
                    <xdr:row>18</xdr:row>
                    <xdr:rowOff>95250</xdr:rowOff>
                  </to>
                </anchor>
              </controlPr>
            </control>
          </mc:Choice>
        </mc:AlternateContent>
        <mc:AlternateContent xmlns:mc="http://schemas.openxmlformats.org/markup-compatibility/2006">
          <mc:Choice Requires="x14">
            <control shapeId="76865" r:id="rId68" name="Option Button 65">
              <controlPr defaultSize="0" autoFill="0" autoLine="0" autoPict="0">
                <anchor moveWithCells="1">
                  <from>
                    <xdr:col>16</xdr:col>
                    <xdr:colOff>127000</xdr:colOff>
                    <xdr:row>17</xdr:row>
                    <xdr:rowOff>127000</xdr:rowOff>
                  </from>
                  <to>
                    <xdr:col>19</xdr:col>
                    <xdr:colOff>171450</xdr:colOff>
                    <xdr:row>18</xdr:row>
                    <xdr:rowOff>107950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00FF"/>
  </sheetPr>
  <dimension ref="B1:G96"/>
  <sheetViews>
    <sheetView showGridLines="0" zoomScale="85" zoomScaleNormal="85" workbookViewId="0">
      <pane ySplit="6" topLeftCell="A40" activePane="bottomLeft" state="frozen"/>
      <selection pane="bottomLeft" activeCell="A40" sqref="A40"/>
    </sheetView>
  </sheetViews>
  <sheetFormatPr defaultColWidth="9" defaultRowHeight="15"/>
  <cols>
    <col min="1" max="1" width="3.7265625" style="1120" customWidth="1"/>
    <col min="2" max="2" width="14.6328125" style="1120" customWidth="1"/>
    <col min="3" max="3" width="30.6328125" style="1120" customWidth="1"/>
    <col min="4" max="4" width="100.6328125" style="1120" customWidth="1"/>
    <col min="5" max="7" width="8.6328125" style="1120" hidden="1" customWidth="1"/>
    <col min="8" max="16384" width="9" style="1120"/>
  </cols>
  <sheetData>
    <row r="1" spans="2:7">
      <c r="E1" s="1121" t="s">
        <v>1073</v>
      </c>
      <c r="F1" s="1121" t="s">
        <v>1073</v>
      </c>
      <c r="G1" s="1121" t="s">
        <v>1073</v>
      </c>
    </row>
    <row r="2" spans="2:7" ht="26.5">
      <c r="B2" s="1122" t="s">
        <v>4150</v>
      </c>
    </row>
    <row r="4" spans="2:7">
      <c r="B4" s="527" t="s">
        <v>1885</v>
      </c>
      <c r="C4" s="1161" t="str">
        <f ca="1">IF(G5=0,"該当する業種を一覧の中からご選択ください。",OFFSET(C6,G5,0))</f>
        <v>該当する業種を一覧の中からご選択ください。</v>
      </c>
      <c r="G4" s="1333">
        <f ca="1">IF(G5=0,0,OFFSET(G6,G5,0))</f>
        <v>0</v>
      </c>
    </row>
    <row r="5" spans="2:7">
      <c r="G5" s="1190">
        <v>0</v>
      </c>
    </row>
    <row r="6" spans="2:7" ht="30">
      <c r="B6" s="1124" t="s">
        <v>1884</v>
      </c>
      <c r="C6" s="1125" t="s">
        <v>4151</v>
      </c>
      <c r="D6" s="1126" t="s">
        <v>4152</v>
      </c>
      <c r="G6" s="1120" t="s">
        <v>4153</v>
      </c>
    </row>
    <row r="7" spans="2:7" ht="16.5" customHeight="1">
      <c r="B7" s="1127"/>
      <c r="C7" s="1127" t="s">
        <v>4154</v>
      </c>
      <c r="D7" s="1128"/>
      <c r="G7" s="1120" t="s">
        <v>4155</v>
      </c>
    </row>
    <row r="8" spans="2:7" ht="16.5" customHeight="1">
      <c r="B8" s="1127"/>
      <c r="C8" s="1127" t="s">
        <v>1507</v>
      </c>
      <c r="D8" s="1128"/>
      <c r="G8" s="1120" t="s">
        <v>4156</v>
      </c>
    </row>
    <row r="9" spans="2:7" ht="16.5" customHeight="1">
      <c r="B9" s="1127"/>
      <c r="C9" s="1127" t="s">
        <v>1510</v>
      </c>
      <c r="D9" s="1128"/>
      <c r="G9" s="1120" t="s">
        <v>4157</v>
      </c>
    </row>
    <row r="10" spans="2:7" ht="16.5" customHeight="1">
      <c r="B10" s="1127"/>
      <c r="C10" s="1127" t="s">
        <v>4158</v>
      </c>
      <c r="D10" s="1128" t="s">
        <v>4159</v>
      </c>
      <c r="G10" s="1120" t="s">
        <v>4160</v>
      </c>
    </row>
    <row r="11" spans="2:7" ht="16.5" customHeight="1">
      <c r="B11" s="1127"/>
      <c r="C11" s="1127" t="s">
        <v>4161</v>
      </c>
      <c r="D11" s="1128"/>
      <c r="G11" s="1120" t="s">
        <v>4162</v>
      </c>
    </row>
    <row r="12" spans="2:7" ht="16.5" customHeight="1">
      <c r="B12" s="1127"/>
      <c r="C12" s="1127" t="s">
        <v>4163</v>
      </c>
      <c r="D12" s="1128"/>
      <c r="G12" s="1120" t="s">
        <v>4164</v>
      </c>
    </row>
    <row r="13" spans="2:7" ht="16.5" customHeight="1">
      <c r="B13" s="1127"/>
      <c r="C13" s="1127" t="s">
        <v>4165</v>
      </c>
      <c r="D13" s="1128"/>
      <c r="G13" s="1120" t="s">
        <v>4166</v>
      </c>
    </row>
    <row r="14" spans="2:7" ht="16.5" customHeight="1">
      <c r="B14" s="1127"/>
      <c r="C14" s="1127" t="s">
        <v>4167</v>
      </c>
      <c r="D14" s="1128"/>
      <c r="G14" s="1120" t="s">
        <v>4168</v>
      </c>
    </row>
    <row r="15" spans="2:7" ht="16.5" customHeight="1">
      <c r="B15" s="1127"/>
      <c r="C15" s="1127" t="s">
        <v>4169</v>
      </c>
      <c r="D15" s="1128"/>
      <c r="G15" s="1120" t="s">
        <v>3649</v>
      </c>
    </row>
    <row r="16" spans="2:7" ht="16.5" customHeight="1">
      <c r="B16" s="1127"/>
      <c r="C16" s="1127" t="s">
        <v>4170</v>
      </c>
      <c r="D16" s="1128"/>
      <c r="G16" s="1120" t="s">
        <v>4171</v>
      </c>
    </row>
    <row r="17" spans="2:7" ht="16.5" customHeight="1">
      <c r="B17" s="1127"/>
      <c r="C17" s="1127" t="s">
        <v>4172</v>
      </c>
      <c r="D17" s="1128"/>
      <c r="G17" s="1120" t="s">
        <v>4173</v>
      </c>
    </row>
    <row r="18" spans="2:7" ht="16.5" customHeight="1">
      <c r="B18" s="1127"/>
      <c r="C18" s="1127" t="s">
        <v>4174</v>
      </c>
      <c r="D18" s="1128"/>
      <c r="G18" s="1120" t="s">
        <v>4175</v>
      </c>
    </row>
    <row r="19" spans="2:7" ht="16.5" customHeight="1">
      <c r="B19" s="1127"/>
      <c r="C19" s="1127" t="s">
        <v>4176</v>
      </c>
      <c r="D19" s="1128"/>
      <c r="G19" s="1120" t="s">
        <v>4177</v>
      </c>
    </row>
    <row r="20" spans="2:7" ht="16.5" customHeight="1">
      <c r="B20" s="1127"/>
      <c r="C20" s="1127" t="s">
        <v>4178</v>
      </c>
      <c r="D20" s="1128" t="s">
        <v>4179</v>
      </c>
      <c r="G20" s="1120" t="s">
        <v>4180</v>
      </c>
    </row>
    <row r="21" spans="2:7" ht="16.5" customHeight="1">
      <c r="B21" s="1127"/>
      <c r="C21" s="1127" t="s">
        <v>4181</v>
      </c>
      <c r="D21" s="1128"/>
      <c r="G21" s="1120" t="s">
        <v>4182</v>
      </c>
    </row>
    <row r="22" spans="2:7" ht="16.5" customHeight="1">
      <c r="B22" s="1127"/>
      <c r="C22" s="1127" t="s">
        <v>4183</v>
      </c>
      <c r="D22" s="1128"/>
      <c r="G22" s="1120" t="s">
        <v>4184</v>
      </c>
    </row>
    <row r="23" spans="2:7" ht="16.5" customHeight="1">
      <c r="B23" s="1127"/>
      <c r="C23" s="1127" t="s">
        <v>4185</v>
      </c>
      <c r="D23" s="1128"/>
      <c r="G23" s="1120" t="s">
        <v>4186</v>
      </c>
    </row>
    <row r="24" spans="2:7" ht="16.5" customHeight="1">
      <c r="B24" s="1127"/>
      <c r="C24" s="1127" t="s">
        <v>2450</v>
      </c>
      <c r="D24" s="1128"/>
      <c r="G24" s="1120" t="s">
        <v>4187</v>
      </c>
    </row>
    <row r="25" spans="2:7" ht="16.5" customHeight="1">
      <c r="B25" s="1127"/>
      <c r="C25" s="1127" t="s">
        <v>4188</v>
      </c>
      <c r="D25" s="1128"/>
      <c r="G25" s="1120" t="s">
        <v>4189</v>
      </c>
    </row>
    <row r="26" spans="2:7" ht="16.5" customHeight="1">
      <c r="B26" s="1127"/>
      <c r="C26" s="1127" t="s">
        <v>4190</v>
      </c>
      <c r="D26" s="1128"/>
      <c r="G26" s="1120" t="s">
        <v>4191</v>
      </c>
    </row>
    <row r="27" spans="2:7" ht="16.5" customHeight="1">
      <c r="B27" s="1127"/>
      <c r="C27" s="1127" t="s">
        <v>4192</v>
      </c>
      <c r="D27" s="1128"/>
      <c r="G27" s="1120" t="s">
        <v>4193</v>
      </c>
    </row>
    <row r="28" spans="2:7" ht="16.5" customHeight="1">
      <c r="B28" s="1127"/>
      <c r="C28" s="1127" t="s">
        <v>1675</v>
      </c>
      <c r="D28" s="1128"/>
      <c r="G28" s="1120" t="s">
        <v>4095</v>
      </c>
    </row>
    <row r="29" spans="2:7" ht="16.5" customHeight="1">
      <c r="B29" s="1127"/>
      <c r="C29" s="1127" t="s">
        <v>4194</v>
      </c>
      <c r="D29" s="1128"/>
      <c r="G29" s="1120" t="s">
        <v>4195</v>
      </c>
    </row>
    <row r="30" spans="2:7" ht="16.5" customHeight="1">
      <c r="B30" s="1127"/>
      <c r="C30" s="1127" t="s">
        <v>4196</v>
      </c>
      <c r="D30" s="1128"/>
      <c r="G30" s="1120" t="s">
        <v>4197</v>
      </c>
    </row>
    <row r="31" spans="2:7" ht="16.5" customHeight="1">
      <c r="B31" s="1127"/>
      <c r="C31" s="1127" t="s">
        <v>4198</v>
      </c>
      <c r="D31" s="1128"/>
      <c r="G31" s="1120" t="s">
        <v>4199</v>
      </c>
    </row>
    <row r="32" spans="2:7" ht="16.5" customHeight="1">
      <c r="B32" s="1127"/>
      <c r="C32" s="1127" t="s">
        <v>4200</v>
      </c>
      <c r="D32" s="1128"/>
      <c r="G32" s="1120" t="s">
        <v>4201</v>
      </c>
    </row>
    <row r="33" spans="2:7" ht="16.5" customHeight="1">
      <c r="B33" s="1127"/>
      <c r="C33" s="1127" t="s">
        <v>4202</v>
      </c>
      <c r="D33" s="1128" t="s">
        <v>4203</v>
      </c>
      <c r="G33" s="1120" t="s">
        <v>4204</v>
      </c>
    </row>
    <row r="34" spans="2:7" ht="16.5" customHeight="1">
      <c r="B34" s="1127"/>
      <c r="C34" s="1127" t="s">
        <v>4205</v>
      </c>
      <c r="D34" s="1128" t="s">
        <v>4206</v>
      </c>
      <c r="G34" s="1120" t="s">
        <v>4207</v>
      </c>
    </row>
    <row r="35" spans="2:7" ht="16.5" customHeight="1">
      <c r="B35" s="1127"/>
      <c r="C35" s="1127" t="s">
        <v>4208</v>
      </c>
      <c r="D35" s="1128" t="s">
        <v>4209</v>
      </c>
      <c r="G35" s="1120" t="s">
        <v>4210</v>
      </c>
    </row>
    <row r="36" spans="2:7" ht="16.5" customHeight="1">
      <c r="B36" s="1127"/>
      <c r="C36" s="1127" t="s">
        <v>4211</v>
      </c>
      <c r="D36" s="1128" t="s">
        <v>4212</v>
      </c>
      <c r="G36" s="1120" t="s">
        <v>4213</v>
      </c>
    </row>
    <row r="37" spans="2:7" ht="16.5" customHeight="1">
      <c r="B37" s="1127"/>
      <c r="C37" s="1127" t="s">
        <v>4214</v>
      </c>
      <c r="D37" s="1128"/>
      <c r="G37" s="1120" t="s">
        <v>4215</v>
      </c>
    </row>
    <row r="38" spans="2:7" ht="16.5" customHeight="1">
      <c r="B38" s="1127"/>
      <c r="C38" s="1127" t="s">
        <v>4216</v>
      </c>
      <c r="D38" s="1128"/>
      <c r="G38" s="1120" t="s">
        <v>4217</v>
      </c>
    </row>
    <row r="39" spans="2:7" ht="16.5" customHeight="1">
      <c r="B39" s="1127"/>
      <c r="C39" s="1127" t="s">
        <v>4218</v>
      </c>
      <c r="D39" s="1128" t="s">
        <v>4219</v>
      </c>
      <c r="G39" s="1120" t="s">
        <v>4220</v>
      </c>
    </row>
    <row r="40" spans="2:7" ht="16.5" customHeight="1">
      <c r="B40" s="1127"/>
      <c r="C40" s="1127" t="s">
        <v>4221</v>
      </c>
      <c r="D40" s="1128"/>
      <c r="G40" s="1120" t="s">
        <v>4098</v>
      </c>
    </row>
    <row r="41" spans="2:7" ht="16.5" customHeight="1">
      <c r="B41" s="1127"/>
      <c r="C41" s="1127" t="s">
        <v>4222</v>
      </c>
      <c r="D41" s="1128"/>
      <c r="G41" s="1120" t="s">
        <v>4223</v>
      </c>
    </row>
    <row r="42" spans="2:7" ht="16.5" customHeight="1">
      <c r="B42" s="1127"/>
      <c r="C42" s="1127" t="s">
        <v>4224</v>
      </c>
      <c r="D42" s="1128" t="s">
        <v>4225</v>
      </c>
      <c r="G42" s="1120" t="s">
        <v>4226</v>
      </c>
    </row>
    <row r="43" spans="2:7" ht="16.5" customHeight="1">
      <c r="B43" s="1127"/>
      <c r="C43" s="1127" t="s">
        <v>4227</v>
      </c>
      <c r="D43" s="1128"/>
      <c r="G43" s="1120" t="s">
        <v>4228</v>
      </c>
    </row>
    <row r="44" spans="2:7" ht="16.5" customHeight="1">
      <c r="B44" s="1127"/>
      <c r="C44" s="1127" t="s">
        <v>4229</v>
      </c>
      <c r="D44" s="1128" t="s">
        <v>4230</v>
      </c>
      <c r="G44" s="1120" t="s">
        <v>4231</v>
      </c>
    </row>
    <row r="45" spans="2:7" ht="16.5" customHeight="1">
      <c r="B45" s="1127"/>
      <c r="C45" s="1127" t="s">
        <v>4232</v>
      </c>
      <c r="D45" s="1128"/>
      <c r="G45" s="1120" t="s">
        <v>4233</v>
      </c>
    </row>
    <row r="46" spans="2:7" ht="16.5" customHeight="1">
      <c r="B46" s="1127"/>
      <c r="C46" s="1127" t="s">
        <v>4234</v>
      </c>
      <c r="D46" s="1128"/>
      <c r="G46" s="1120" t="s">
        <v>4235</v>
      </c>
    </row>
    <row r="47" spans="2:7" ht="16.5" customHeight="1">
      <c r="B47" s="1127"/>
      <c r="C47" s="1127" t="s">
        <v>4236</v>
      </c>
      <c r="D47" s="1128" t="s">
        <v>4237</v>
      </c>
      <c r="G47" s="1120" t="s">
        <v>4238</v>
      </c>
    </row>
    <row r="48" spans="2:7" ht="16.5" customHeight="1">
      <c r="B48" s="1127"/>
      <c r="C48" s="1127" t="s">
        <v>5679</v>
      </c>
      <c r="D48" s="1128" t="s">
        <v>5680</v>
      </c>
      <c r="G48" s="1120" t="s">
        <v>5681</v>
      </c>
    </row>
    <row r="49" spans="2:7" ht="16.5" customHeight="1">
      <c r="B49" s="1127"/>
      <c r="C49" s="1127" t="s">
        <v>4239</v>
      </c>
      <c r="D49" s="1128"/>
      <c r="G49" s="1120" t="s">
        <v>4240</v>
      </c>
    </row>
    <row r="50" spans="2:7" ht="16.5" customHeight="1">
      <c r="B50" s="1127"/>
      <c r="C50" s="1127" t="s">
        <v>4241</v>
      </c>
      <c r="D50" s="1128" t="s">
        <v>4242</v>
      </c>
      <c r="G50" s="1120" t="s">
        <v>4243</v>
      </c>
    </row>
    <row r="51" spans="2:7" ht="16.5" customHeight="1">
      <c r="B51" s="1127"/>
      <c r="C51" s="1127" t="s">
        <v>4244</v>
      </c>
      <c r="D51" s="1128"/>
      <c r="G51" s="1120" t="s">
        <v>4245</v>
      </c>
    </row>
    <row r="52" spans="2:7" ht="16.5" customHeight="1">
      <c r="B52" s="1127"/>
      <c r="C52" s="1127" t="s">
        <v>4246</v>
      </c>
      <c r="D52" s="1128" t="s">
        <v>4247</v>
      </c>
      <c r="G52" s="1120" t="s">
        <v>4248</v>
      </c>
    </row>
    <row r="53" spans="2:7" ht="16.5" customHeight="1">
      <c r="B53" s="1127"/>
      <c r="C53" s="1127" t="s">
        <v>4249</v>
      </c>
      <c r="D53" s="1128"/>
      <c r="G53" s="1120" t="s">
        <v>4250</v>
      </c>
    </row>
    <row r="54" spans="2:7" ht="16.5" customHeight="1">
      <c r="B54" s="1127"/>
      <c r="C54" s="1127" t="s">
        <v>4251</v>
      </c>
      <c r="D54" s="1128" t="s">
        <v>4252</v>
      </c>
      <c r="G54" s="1120" t="s">
        <v>4253</v>
      </c>
    </row>
    <row r="55" spans="2:7" ht="16.5" customHeight="1">
      <c r="B55" s="1127"/>
      <c r="C55" s="1127" t="s">
        <v>4254</v>
      </c>
      <c r="D55" s="1128" t="s">
        <v>4255</v>
      </c>
      <c r="G55" s="1120" t="s">
        <v>4256</v>
      </c>
    </row>
    <row r="56" spans="2:7" ht="16.5" customHeight="1">
      <c r="B56" s="1127"/>
      <c r="C56" s="1127" t="s">
        <v>4257</v>
      </c>
      <c r="D56" s="1128"/>
      <c r="G56" s="1120" t="s">
        <v>4258</v>
      </c>
    </row>
    <row r="57" spans="2:7" ht="16.5" customHeight="1">
      <c r="B57" s="1127"/>
      <c r="C57" s="1127" t="s">
        <v>4259</v>
      </c>
      <c r="D57" s="1128"/>
      <c r="G57" s="1120" t="s">
        <v>4260</v>
      </c>
    </row>
    <row r="58" spans="2:7" ht="16.5" customHeight="1">
      <c r="B58" s="1127"/>
      <c r="C58" s="1127" t="s">
        <v>4261</v>
      </c>
      <c r="D58" s="1128"/>
      <c r="G58" s="1120" t="s">
        <v>4262</v>
      </c>
    </row>
    <row r="59" spans="2:7" ht="16.5" customHeight="1">
      <c r="B59" s="1127"/>
      <c r="C59" s="1127" t="s">
        <v>4263</v>
      </c>
      <c r="D59" s="1128"/>
      <c r="G59" s="1120" t="s">
        <v>4264</v>
      </c>
    </row>
    <row r="60" spans="2:7" ht="16.5" customHeight="1">
      <c r="B60" s="1127"/>
      <c r="C60" s="1127" t="s">
        <v>4265</v>
      </c>
      <c r="D60" s="1128" t="s">
        <v>4266</v>
      </c>
      <c r="G60" s="1120" t="s">
        <v>4267</v>
      </c>
    </row>
    <row r="61" spans="2:7" ht="16.5" customHeight="1">
      <c r="B61" s="1127"/>
      <c r="C61" s="1127" t="s">
        <v>4268</v>
      </c>
      <c r="D61" s="1128"/>
      <c r="G61" s="1120" t="s">
        <v>4269</v>
      </c>
    </row>
    <row r="62" spans="2:7" ht="16.5" customHeight="1">
      <c r="B62" s="1127"/>
      <c r="C62" s="1127" t="s">
        <v>4270</v>
      </c>
      <c r="D62" s="1128"/>
      <c r="G62" s="1120" t="s">
        <v>4271</v>
      </c>
    </row>
    <row r="63" spans="2:7" ht="16.5" customHeight="1">
      <c r="B63" s="1127"/>
      <c r="C63" s="1127" t="s">
        <v>4272</v>
      </c>
      <c r="D63" s="1128" t="s">
        <v>4203</v>
      </c>
      <c r="G63" s="1120" t="s">
        <v>4273</v>
      </c>
    </row>
    <row r="64" spans="2:7" ht="16.5" customHeight="1">
      <c r="B64" s="1127"/>
      <c r="C64" s="1127" t="s">
        <v>4274</v>
      </c>
      <c r="D64" s="1128"/>
      <c r="G64" s="1120" t="s">
        <v>4275</v>
      </c>
    </row>
    <row r="65" spans="2:7" ht="75">
      <c r="B65" s="1127"/>
      <c r="C65" s="1127" t="s">
        <v>4276</v>
      </c>
      <c r="D65" s="1128" t="s">
        <v>4277</v>
      </c>
      <c r="G65" s="1120" t="s">
        <v>4278</v>
      </c>
    </row>
    <row r="66" spans="2:7" ht="16.5" customHeight="1">
      <c r="B66" s="1127"/>
      <c r="C66" s="1127" t="s">
        <v>4279</v>
      </c>
      <c r="D66" s="1128" t="s">
        <v>4203</v>
      </c>
      <c r="G66" s="1120" t="s">
        <v>4280</v>
      </c>
    </row>
    <row r="67" spans="2:7" ht="16.5" customHeight="1">
      <c r="B67" s="1127"/>
      <c r="C67" s="1127" t="s">
        <v>4281</v>
      </c>
      <c r="D67" s="1128"/>
      <c r="G67" s="1120" t="s">
        <v>4282</v>
      </c>
    </row>
    <row r="68" spans="2:7" ht="16.5" customHeight="1">
      <c r="B68" s="1127"/>
      <c r="C68" s="1127" t="s">
        <v>4283</v>
      </c>
      <c r="D68" s="1128"/>
      <c r="G68" s="1120" t="s">
        <v>4284</v>
      </c>
    </row>
    <row r="69" spans="2:7" ht="16.5" customHeight="1">
      <c r="B69" s="1127"/>
      <c r="C69" s="1127" t="s">
        <v>4285</v>
      </c>
      <c r="D69" s="1128"/>
      <c r="G69" s="1120" t="s">
        <v>4286</v>
      </c>
    </row>
    <row r="70" spans="2:7" ht="16.5" customHeight="1">
      <c r="B70" s="1127"/>
      <c r="C70" s="1127" t="s">
        <v>4287</v>
      </c>
      <c r="D70" s="1128"/>
      <c r="G70" s="1120" t="s">
        <v>4288</v>
      </c>
    </row>
    <row r="71" spans="2:7" ht="16.5" customHeight="1">
      <c r="B71" s="1127"/>
      <c r="C71" s="1127" t="s">
        <v>4289</v>
      </c>
      <c r="D71" s="1128" t="s">
        <v>4290</v>
      </c>
      <c r="G71" s="1120" t="s">
        <v>4291</v>
      </c>
    </row>
    <row r="72" spans="2:7" ht="16.5" customHeight="1">
      <c r="B72" s="1127"/>
      <c r="C72" s="1127" t="s">
        <v>4292</v>
      </c>
      <c r="D72" s="1128"/>
      <c r="G72" s="1120" t="s">
        <v>4293</v>
      </c>
    </row>
    <row r="73" spans="2:7" ht="16.5" customHeight="1">
      <c r="B73" s="1127"/>
      <c r="C73" s="1127" t="s">
        <v>4294</v>
      </c>
      <c r="D73" s="1128" t="s">
        <v>4295</v>
      </c>
      <c r="G73" s="1120" t="s">
        <v>4296</v>
      </c>
    </row>
    <row r="74" spans="2:7" ht="16.5" customHeight="1">
      <c r="B74" s="1127"/>
      <c r="C74" s="1127" t="s">
        <v>4297</v>
      </c>
      <c r="D74" s="1128"/>
      <c r="G74" s="1120" t="s">
        <v>4298</v>
      </c>
    </row>
    <row r="75" spans="2:7" ht="16.5" customHeight="1">
      <c r="B75" s="1127"/>
      <c r="C75" s="1127" t="s">
        <v>4299</v>
      </c>
      <c r="D75" s="1128"/>
      <c r="G75" s="1120" t="s">
        <v>4300</v>
      </c>
    </row>
    <row r="76" spans="2:7" ht="16.5" customHeight="1">
      <c r="B76" s="1127"/>
      <c r="C76" s="1127" t="s">
        <v>4301</v>
      </c>
      <c r="D76" s="1128"/>
      <c r="G76" s="1120" t="s">
        <v>4302</v>
      </c>
    </row>
    <row r="77" spans="2:7" ht="16.5" customHeight="1">
      <c r="B77" s="1127"/>
      <c r="C77" s="1127" t="s">
        <v>4303</v>
      </c>
      <c r="D77" s="1128"/>
      <c r="G77" s="1120" t="s">
        <v>4304</v>
      </c>
    </row>
    <row r="78" spans="2:7" ht="16.5" customHeight="1">
      <c r="B78" s="1127"/>
      <c r="C78" s="1127" t="s">
        <v>4305</v>
      </c>
      <c r="D78" s="1128"/>
      <c r="G78" s="1120" t="s">
        <v>4306</v>
      </c>
    </row>
    <row r="79" spans="2:7" ht="16.5" customHeight="1">
      <c r="B79" s="1127"/>
      <c r="C79" s="1127" t="s">
        <v>4307</v>
      </c>
      <c r="D79" s="1128"/>
      <c r="G79" s="1120" t="s">
        <v>4308</v>
      </c>
    </row>
    <row r="80" spans="2:7" ht="16.5" customHeight="1">
      <c r="B80" s="1127"/>
      <c r="C80" s="1127" t="s">
        <v>4309</v>
      </c>
      <c r="D80" s="1128" t="s">
        <v>4310</v>
      </c>
      <c r="G80" s="1120" t="s">
        <v>4311</v>
      </c>
    </row>
    <row r="81" spans="2:7" ht="16.5" customHeight="1">
      <c r="B81" s="1127"/>
      <c r="C81" s="1127" t="s">
        <v>4312</v>
      </c>
      <c r="D81" s="1128"/>
      <c r="G81" s="1120" t="s">
        <v>4313</v>
      </c>
    </row>
    <row r="82" spans="2:7" ht="16.5" customHeight="1">
      <c r="B82" s="1127"/>
      <c r="C82" s="1127" t="s">
        <v>4314</v>
      </c>
      <c r="D82" s="1128"/>
      <c r="G82" s="1120" t="s">
        <v>4315</v>
      </c>
    </row>
    <row r="83" spans="2:7" ht="16.5" customHeight="1">
      <c r="B83" s="1127"/>
      <c r="C83" s="1127" t="s">
        <v>4316</v>
      </c>
      <c r="D83" s="1128"/>
      <c r="G83" s="1120" t="s">
        <v>4317</v>
      </c>
    </row>
    <row r="84" spans="2:7" ht="16.5" customHeight="1">
      <c r="B84" s="1127"/>
      <c r="C84" s="1127" t="s">
        <v>4318</v>
      </c>
      <c r="D84" s="1128"/>
      <c r="G84" s="1120" t="s">
        <v>4319</v>
      </c>
    </row>
    <row r="85" spans="2:7" ht="16.5" customHeight="1">
      <c r="B85" s="1127"/>
      <c r="C85" s="1127" t="s">
        <v>4320</v>
      </c>
      <c r="D85" s="1128"/>
      <c r="G85" s="1120" t="s">
        <v>4321</v>
      </c>
    </row>
    <row r="86" spans="2:7" ht="16.5" customHeight="1">
      <c r="B86" s="1127"/>
      <c r="C86" s="1127" t="s">
        <v>4322</v>
      </c>
      <c r="D86" s="1128"/>
      <c r="G86" s="1120" t="s">
        <v>4323</v>
      </c>
    </row>
    <row r="87" spans="2:7" ht="16.5" customHeight="1">
      <c r="B87" s="1127"/>
      <c r="C87" s="1127" t="s">
        <v>4096</v>
      </c>
      <c r="D87" s="1128"/>
      <c r="G87" s="1120" t="s">
        <v>4324</v>
      </c>
    </row>
    <row r="88" spans="2:7" ht="16.5" customHeight="1">
      <c r="B88" s="1127"/>
      <c r="C88" s="1127" t="s">
        <v>4325</v>
      </c>
      <c r="D88" s="1128"/>
      <c r="G88" s="1120" t="s">
        <v>4326</v>
      </c>
    </row>
    <row r="89" spans="2:7" ht="16.5" customHeight="1">
      <c r="B89" s="1127"/>
      <c r="C89" s="1127" t="s">
        <v>4327</v>
      </c>
      <c r="D89" s="1128"/>
      <c r="G89" s="1120" t="s">
        <v>4328</v>
      </c>
    </row>
    <row r="90" spans="2:7" ht="16.5" customHeight="1">
      <c r="B90" s="1127"/>
      <c r="C90" s="1127" t="s">
        <v>4329</v>
      </c>
      <c r="D90" s="1128"/>
      <c r="G90" s="1120" t="s">
        <v>4330</v>
      </c>
    </row>
    <row r="91" spans="2:7" ht="16.5" customHeight="1">
      <c r="B91" s="1127"/>
      <c r="C91" s="1127" t="s">
        <v>4331</v>
      </c>
      <c r="D91" s="1128"/>
      <c r="G91" s="1120" t="s">
        <v>4332</v>
      </c>
    </row>
    <row r="92" spans="2:7" ht="16.5" customHeight="1">
      <c r="B92" s="1127"/>
      <c r="C92" s="1127" t="s">
        <v>4333</v>
      </c>
      <c r="D92" s="1128"/>
      <c r="G92" s="1120" t="s">
        <v>4334</v>
      </c>
    </row>
    <row r="93" spans="2:7" ht="16.5" customHeight="1">
      <c r="B93" s="1127"/>
      <c r="C93" s="1127" t="s">
        <v>4335</v>
      </c>
      <c r="D93" s="1128"/>
      <c r="G93" s="1120" t="s">
        <v>4336</v>
      </c>
    </row>
    <row r="94" spans="2:7" ht="16.5" customHeight="1">
      <c r="B94" s="1127"/>
      <c r="C94" s="1127" t="s">
        <v>4337</v>
      </c>
      <c r="D94" s="1128"/>
      <c r="G94" s="1120" t="s">
        <v>4338</v>
      </c>
    </row>
    <row r="95" spans="2:7" ht="16.5" customHeight="1">
      <c r="B95" s="1127"/>
      <c r="C95" s="1127" t="s">
        <v>4339</v>
      </c>
      <c r="D95" s="1128" t="s">
        <v>4340</v>
      </c>
      <c r="G95" s="1120" t="s">
        <v>4341</v>
      </c>
    </row>
    <row r="96" spans="2:7" ht="16.5" customHeight="1">
      <c r="B96" s="1127"/>
      <c r="C96" s="1127" t="s">
        <v>4342</v>
      </c>
      <c r="D96" s="1128" t="s">
        <v>4343</v>
      </c>
      <c r="G96" s="1120" t="s">
        <v>4344</v>
      </c>
    </row>
  </sheetData>
  <sheetProtection algorithmName="SHA-512" hashValue="IN9ki4s/GggsTIdKqGV6mPVz+FmBfk/UAYPfb2mSp7BG+gPd79VsLsbLUgJwEe419LB5iHP/WdkVb8Tdm0XKog==" saltValue="Z0wndNyR4afYBYNMAkAx2Q==" spinCount="100000" sheet="1" objects="1" scenarios="1"/>
  <phoneticPr fontId="3"/>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17761" r:id="rId3" name="Option Button 1">
              <controlPr defaultSize="0" autoFill="0" autoLine="0" autoPict="0">
                <anchor moveWithCells="1">
                  <from>
                    <xdr:col>1</xdr:col>
                    <xdr:colOff>438150</xdr:colOff>
                    <xdr:row>6</xdr:row>
                    <xdr:rowOff>31750</xdr:rowOff>
                  </from>
                  <to>
                    <xdr:col>1</xdr:col>
                    <xdr:colOff>984250</xdr:colOff>
                    <xdr:row>6</xdr:row>
                    <xdr:rowOff>184150</xdr:rowOff>
                  </to>
                </anchor>
              </controlPr>
            </control>
          </mc:Choice>
        </mc:AlternateContent>
        <mc:AlternateContent xmlns:mc="http://schemas.openxmlformats.org/markup-compatibility/2006">
          <mc:Choice Requires="x14">
            <control shapeId="117762" r:id="rId4" name="Option Button 2">
              <controlPr defaultSize="0" autoFill="0" autoLine="0" autoPict="0">
                <anchor moveWithCells="1">
                  <from>
                    <xdr:col>1</xdr:col>
                    <xdr:colOff>438150</xdr:colOff>
                    <xdr:row>7</xdr:row>
                    <xdr:rowOff>31750</xdr:rowOff>
                  </from>
                  <to>
                    <xdr:col>1</xdr:col>
                    <xdr:colOff>984250</xdr:colOff>
                    <xdr:row>7</xdr:row>
                    <xdr:rowOff>184150</xdr:rowOff>
                  </to>
                </anchor>
              </controlPr>
            </control>
          </mc:Choice>
        </mc:AlternateContent>
        <mc:AlternateContent xmlns:mc="http://schemas.openxmlformats.org/markup-compatibility/2006">
          <mc:Choice Requires="x14">
            <control shapeId="117763" r:id="rId5" name="Option Button 3">
              <controlPr defaultSize="0" autoFill="0" autoLine="0" autoPict="0">
                <anchor moveWithCells="1">
                  <from>
                    <xdr:col>1</xdr:col>
                    <xdr:colOff>438150</xdr:colOff>
                    <xdr:row>8</xdr:row>
                    <xdr:rowOff>31750</xdr:rowOff>
                  </from>
                  <to>
                    <xdr:col>1</xdr:col>
                    <xdr:colOff>984250</xdr:colOff>
                    <xdr:row>8</xdr:row>
                    <xdr:rowOff>184150</xdr:rowOff>
                  </to>
                </anchor>
              </controlPr>
            </control>
          </mc:Choice>
        </mc:AlternateContent>
        <mc:AlternateContent xmlns:mc="http://schemas.openxmlformats.org/markup-compatibility/2006">
          <mc:Choice Requires="x14">
            <control shapeId="117764" r:id="rId6" name="Option Button 4">
              <controlPr defaultSize="0" autoFill="0" autoLine="0" autoPict="0">
                <anchor moveWithCells="1">
                  <from>
                    <xdr:col>1</xdr:col>
                    <xdr:colOff>438150</xdr:colOff>
                    <xdr:row>9</xdr:row>
                    <xdr:rowOff>31750</xdr:rowOff>
                  </from>
                  <to>
                    <xdr:col>1</xdr:col>
                    <xdr:colOff>984250</xdr:colOff>
                    <xdr:row>9</xdr:row>
                    <xdr:rowOff>184150</xdr:rowOff>
                  </to>
                </anchor>
              </controlPr>
            </control>
          </mc:Choice>
        </mc:AlternateContent>
        <mc:AlternateContent xmlns:mc="http://schemas.openxmlformats.org/markup-compatibility/2006">
          <mc:Choice Requires="x14">
            <control shapeId="117765" r:id="rId7" name="Option Button 5">
              <controlPr defaultSize="0" autoFill="0" autoLine="0" autoPict="0">
                <anchor moveWithCells="1">
                  <from>
                    <xdr:col>1</xdr:col>
                    <xdr:colOff>438150</xdr:colOff>
                    <xdr:row>10</xdr:row>
                    <xdr:rowOff>31750</xdr:rowOff>
                  </from>
                  <to>
                    <xdr:col>1</xdr:col>
                    <xdr:colOff>984250</xdr:colOff>
                    <xdr:row>10</xdr:row>
                    <xdr:rowOff>184150</xdr:rowOff>
                  </to>
                </anchor>
              </controlPr>
            </control>
          </mc:Choice>
        </mc:AlternateContent>
        <mc:AlternateContent xmlns:mc="http://schemas.openxmlformats.org/markup-compatibility/2006">
          <mc:Choice Requires="x14">
            <control shapeId="117766" r:id="rId8" name="Option Button 6">
              <controlPr defaultSize="0" autoFill="0" autoLine="0" autoPict="0">
                <anchor moveWithCells="1">
                  <from>
                    <xdr:col>1</xdr:col>
                    <xdr:colOff>438150</xdr:colOff>
                    <xdr:row>11</xdr:row>
                    <xdr:rowOff>31750</xdr:rowOff>
                  </from>
                  <to>
                    <xdr:col>1</xdr:col>
                    <xdr:colOff>984250</xdr:colOff>
                    <xdr:row>11</xdr:row>
                    <xdr:rowOff>184150</xdr:rowOff>
                  </to>
                </anchor>
              </controlPr>
            </control>
          </mc:Choice>
        </mc:AlternateContent>
        <mc:AlternateContent xmlns:mc="http://schemas.openxmlformats.org/markup-compatibility/2006">
          <mc:Choice Requires="x14">
            <control shapeId="117767" r:id="rId9" name="Option Button 7">
              <controlPr defaultSize="0" autoFill="0" autoLine="0" autoPict="0">
                <anchor moveWithCells="1">
                  <from>
                    <xdr:col>1</xdr:col>
                    <xdr:colOff>438150</xdr:colOff>
                    <xdr:row>12</xdr:row>
                    <xdr:rowOff>31750</xdr:rowOff>
                  </from>
                  <to>
                    <xdr:col>1</xdr:col>
                    <xdr:colOff>984250</xdr:colOff>
                    <xdr:row>12</xdr:row>
                    <xdr:rowOff>184150</xdr:rowOff>
                  </to>
                </anchor>
              </controlPr>
            </control>
          </mc:Choice>
        </mc:AlternateContent>
        <mc:AlternateContent xmlns:mc="http://schemas.openxmlformats.org/markup-compatibility/2006">
          <mc:Choice Requires="x14">
            <control shapeId="117768" r:id="rId10" name="Option Button 8">
              <controlPr defaultSize="0" autoFill="0" autoLine="0" autoPict="0">
                <anchor moveWithCells="1">
                  <from>
                    <xdr:col>1</xdr:col>
                    <xdr:colOff>438150</xdr:colOff>
                    <xdr:row>13</xdr:row>
                    <xdr:rowOff>31750</xdr:rowOff>
                  </from>
                  <to>
                    <xdr:col>1</xdr:col>
                    <xdr:colOff>984250</xdr:colOff>
                    <xdr:row>13</xdr:row>
                    <xdr:rowOff>184150</xdr:rowOff>
                  </to>
                </anchor>
              </controlPr>
            </control>
          </mc:Choice>
        </mc:AlternateContent>
        <mc:AlternateContent xmlns:mc="http://schemas.openxmlformats.org/markup-compatibility/2006">
          <mc:Choice Requires="x14">
            <control shapeId="117769" r:id="rId11" name="Option Button 9">
              <controlPr defaultSize="0" autoFill="0" autoLine="0" autoPict="0">
                <anchor moveWithCells="1">
                  <from>
                    <xdr:col>1</xdr:col>
                    <xdr:colOff>438150</xdr:colOff>
                    <xdr:row>14</xdr:row>
                    <xdr:rowOff>31750</xdr:rowOff>
                  </from>
                  <to>
                    <xdr:col>1</xdr:col>
                    <xdr:colOff>984250</xdr:colOff>
                    <xdr:row>14</xdr:row>
                    <xdr:rowOff>184150</xdr:rowOff>
                  </to>
                </anchor>
              </controlPr>
            </control>
          </mc:Choice>
        </mc:AlternateContent>
        <mc:AlternateContent xmlns:mc="http://schemas.openxmlformats.org/markup-compatibility/2006">
          <mc:Choice Requires="x14">
            <control shapeId="117770" r:id="rId12" name="Option Button 10">
              <controlPr defaultSize="0" autoFill="0" autoLine="0" autoPict="0">
                <anchor moveWithCells="1">
                  <from>
                    <xdr:col>1</xdr:col>
                    <xdr:colOff>438150</xdr:colOff>
                    <xdr:row>15</xdr:row>
                    <xdr:rowOff>31750</xdr:rowOff>
                  </from>
                  <to>
                    <xdr:col>1</xdr:col>
                    <xdr:colOff>984250</xdr:colOff>
                    <xdr:row>15</xdr:row>
                    <xdr:rowOff>184150</xdr:rowOff>
                  </to>
                </anchor>
              </controlPr>
            </control>
          </mc:Choice>
        </mc:AlternateContent>
        <mc:AlternateContent xmlns:mc="http://schemas.openxmlformats.org/markup-compatibility/2006">
          <mc:Choice Requires="x14">
            <control shapeId="117771" r:id="rId13" name="Option Button 11">
              <controlPr defaultSize="0" autoFill="0" autoLine="0" autoPict="0">
                <anchor moveWithCells="1">
                  <from>
                    <xdr:col>1</xdr:col>
                    <xdr:colOff>438150</xdr:colOff>
                    <xdr:row>16</xdr:row>
                    <xdr:rowOff>31750</xdr:rowOff>
                  </from>
                  <to>
                    <xdr:col>1</xdr:col>
                    <xdr:colOff>984250</xdr:colOff>
                    <xdr:row>16</xdr:row>
                    <xdr:rowOff>184150</xdr:rowOff>
                  </to>
                </anchor>
              </controlPr>
            </control>
          </mc:Choice>
        </mc:AlternateContent>
        <mc:AlternateContent xmlns:mc="http://schemas.openxmlformats.org/markup-compatibility/2006">
          <mc:Choice Requires="x14">
            <control shapeId="117772" r:id="rId14" name="Option Button 12">
              <controlPr defaultSize="0" autoFill="0" autoLine="0" autoPict="0">
                <anchor moveWithCells="1">
                  <from>
                    <xdr:col>1</xdr:col>
                    <xdr:colOff>438150</xdr:colOff>
                    <xdr:row>17</xdr:row>
                    <xdr:rowOff>31750</xdr:rowOff>
                  </from>
                  <to>
                    <xdr:col>1</xdr:col>
                    <xdr:colOff>984250</xdr:colOff>
                    <xdr:row>17</xdr:row>
                    <xdr:rowOff>184150</xdr:rowOff>
                  </to>
                </anchor>
              </controlPr>
            </control>
          </mc:Choice>
        </mc:AlternateContent>
        <mc:AlternateContent xmlns:mc="http://schemas.openxmlformats.org/markup-compatibility/2006">
          <mc:Choice Requires="x14">
            <control shapeId="117773" r:id="rId15" name="Option Button 13">
              <controlPr defaultSize="0" autoFill="0" autoLine="0" autoPict="0">
                <anchor moveWithCells="1">
                  <from>
                    <xdr:col>1</xdr:col>
                    <xdr:colOff>438150</xdr:colOff>
                    <xdr:row>18</xdr:row>
                    <xdr:rowOff>31750</xdr:rowOff>
                  </from>
                  <to>
                    <xdr:col>1</xdr:col>
                    <xdr:colOff>984250</xdr:colOff>
                    <xdr:row>18</xdr:row>
                    <xdr:rowOff>184150</xdr:rowOff>
                  </to>
                </anchor>
              </controlPr>
            </control>
          </mc:Choice>
        </mc:AlternateContent>
        <mc:AlternateContent xmlns:mc="http://schemas.openxmlformats.org/markup-compatibility/2006">
          <mc:Choice Requires="x14">
            <control shapeId="117774" r:id="rId16" name="Option Button 14">
              <controlPr defaultSize="0" autoFill="0" autoLine="0" autoPict="0">
                <anchor moveWithCells="1">
                  <from>
                    <xdr:col>1</xdr:col>
                    <xdr:colOff>438150</xdr:colOff>
                    <xdr:row>19</xdr:row>
                    <xdr:rowOff>31750</xdr:rowOff>
                  </from>
                  <to>
                    <xdr:col>1</xdr:col>
                    <xdr:colOff>984250</xdr:colOff>
                    <xdr:row>19</xdr:row>
                    <xdr:rowOff>184150</xdr:rowOff>
                  </to>
                </anchor>
              </controlPr>
            </control>
          </mc:Choice>
        </mc:AlternateContent>
        <mc:AlternateContent xmlns:mc="http://schemas.openxmlformats.org/markup-compatibility/2006">
          <mc:Choice Requires="x14">
            <control shapeId="117775" r:id="rId17" name="Option Button 15">
              <controlPr defaultSize="0" autoFill="0" autoLine="0" autoPict="0">
                <anchor moveWithCells="1">
                  <from>
                    <xdr:col>1</xdr:col>
                    <xdr:colOff>438150</xdr:colOff>
                    <xdr:row>20</xdr:row>
                    <xdr:rowOff>31750</xdr:rowOff>
                  </from>
                  <to>
                    <xdr:col>1</xdr:col>
                    <xdr:colOff>984250</xdr:colOff>
                    <xdr:row>20</xdr:row>
                    <xdr:rowOff>184150</xdr:rowOff>
                  </to>
                </anchor>
              </controlPr>
            </control>
          </mc:Choice>
        </mc:AlternateContent>
        <mc:AlternateContent xmlns:mc="http://schemas.openxmlformats.org/markup-compatibility/2006">
          <mc:Choice Requires="x14">
            <control shapeId="117776" r:id="rId18" name="Option Button 16">
              <controlPr defaultSize="0" autoFill="0" autoLine="0" autoPict="0">
                <anchor moveWithCells="1">
                  <from>
                    <xdr:col>1</xdr:col>
                    <xdr:colOff>438150</xdr:colOff>
                    <xdr:row>21</xdr:row>
                    <xdr:rowOff>31750</xdr:rowOff>
                  </from>
                  <to>
                    <xdr:col>1</xdr:col>
                    <xdr:colOff>984250</xdr:colOff>
                    <xdr:row>21</xdr:row>
                    <xdr:rowOff>184150</xdr:rowOff>
                  </to>
                </anchor>
              </controlPr>
            </control>
          </mc:Choice>
        </mc:AlternateContent>
        <mc:AlternateContent xmlns:mc="http://schemas.openxmlformats.org/markup-compatibility/2006">
          <mc:Choice Requires="x14">
            <control shapeId="117777" r:id="rId19" name="Option Button 17">
              <controlPr defaultSize="0" autoFill="0" autoLine="0" autoPict="0">
                <anchor moveWithCells="1">
                  <from>
                    <xdr:col>1</xdr:col>
                    <xdr:colOff>438150</xdr:colOff>
                    <xdr:row>22</xdr:row>
                    <xdr:rowOff>31750</xdr:rowOff>
                  </from>
                  <to>
                    <xdr:col>1</xdr:col>
                    <xdr:colOff>984250</xdr:colOff>
                    <xdr:row>22</xdr:row>
                    <xdr:rowOff>184150</xdr:rowOff>
                  </to>
                </anchor>
              </controlPr>
            </control>
          </mc:Choice>
        </mc:AlternateContent>
        <mc:AlternateContent xmlns:mc="http://schemas.openxmlformats.org/markup-compatibility/2006">
          <mc:Choice Requires="x14">
            <control shapeId="117778" r:id="rId20" name="Option Button 18">
              <controlPr defaultSize="0" autoFill="0" autoLine="0" autoPict="0">
                <anchor moveWithCells="1">
                  <from>
                    <xdr:col>1</xdr:col>
                    <xdr:colOff>438150</xdr:colOff>
                    <xdr:row>23</xdr:row>
                    <xdr:rowOff>31750</xdr:rowOff>
                  </from>
                  <to>
                    <xdr:col>1</xdr:col>
                    <xdr:colOff>984250</xdr:colOff>
                    <xdr:row>23</xdr:row>
                    <xdr:rowOff>184150</xdr:rowOff>
                  </to>
                </anchor>
              </controlPr>
            </control>
          </mc:Choice>
        </mc:AlternateContent>
        <mc:AlternateContent xmlns:mc="http://schemas.openxmlformats.org/markup-compatibility/2006">
          <mc:Choice Requires="x14">
            <control shapeId="117779" r:id="rId21" name="Option Button 19">
              <controlPr defaultSize="0" autoFill="0" autoLine="0" autoPict="0">
                <anchor moveWithCells="1">
                  <from>
                    <xdr:col>1</xdr:col>
                    <xdr:colOff>438150</xdr:colOff>
                    <xdr:row>24</xdr:row>
                    <xdr:rowOff>31750</xdr:rowOff>
                  </from>
                  <to>
                    <xdr:col>1</xdr:col>
                    <xdr:colOff>984250</xdr:colOff>
                    <xdr:row>24</xdr:row>
                    <xdr:rowOff>184150</xdr:rowOff>
                  </to>
                </anchor>
              </controlPr>
            </control>
          </mc:Choice>
        </mc:AlternateContent>
        <mc:AlternateContent xmlns:mc="http://schemas.openxmlformats.org/markup-compatibility/2006">
          <mc:Choice Requires="x14">
            <control shapeId="117780" r:id="rId22" name="Option Button 20">
              <controlPr defaultSize="0" autoFill="0" autoLine="0" autoPict="0">
                <anchor moveWithCells="1">
                  <from>
                    <xdr:col>1</xdr:col>
                    <xdr:colOff>438150</xdr:colOff>
                    <xdr:row>25</xdr:row>
                    <xdr:rowOff>31750</xdr:rowOff>
                  </from>
                  <to>
                    <xdr:col>1</xdr:col>
                    <xdr:colOff>984250</xdr:colOff>
                    <xdr:row>25</xdr:row>
                    <xdr:rowOff>184150</xdr:rowOff>
                  </to>
                </anchor>
              </controlPr>
            </control>
          </mc:Choice>
        </mc:AlternateContent>
        <mc:AlternateContent xmlns:mc="http://schemas.openxmlformats.org/markup-compatibility/2006">
          <mc:Choice Requires="x14">
            <control shapeId="117781" r:id="rId23" name="Option Button 21">
              <controlPr defaultSize="0" autoFill="0" autoLine="0" autoPict="0">
                <anchor moveWithCells="1">
                  <from>
                    <xdr:col>1</xdr:col>
                    <xdr:colOff>438150</xdr:colOff>
                    <xdr:row>26</xdr:row>
                    <xdr:rowOff>31750</xdr:rowOff>
                  </from>
                  <to>
                    <xdr:col>1</xdr:col>
                    <xdr:colOff>984250</xdr:colOff>
                    <xdr:row>26</xdr:row>
                    <xdr:rowOff>184150</xdr:rowOff>
                  </to>
                </anchor>
              </controlPr>
            </control>
          </mc:Choice>
        </mc:AlternateContent>
        <mc:AlternateContent xmlns:mc="http://schemas.openxmlformats.org/markup-compatibility/2006">
          <mc:Choice Requires="x14">
            <control shapeId="117782" r:id="rId24" name="Option Button 22">
              <controlPr defaultSize="0" autoFill="0" autoLine="0" autoPict="0">
                <anchor moveWithCells="1">
                  <from>
                    <xdr:col>1</xdr:col>
                    <xdr:colOff>438150</xdr:colOff>
                    <xdr:row>27</xdr:row>
                    <xdr:rowOff>31750</xdr:rowOff>
                  </from>
                  <to>
                    <xdr:col>1</xdr:col>
                    <xdr:colOff>984250</xdr:colOff>
                    <xdr:row>27</xdr:row>
                    <xdr:rowOff>184150</xdr:rowOff>
                  </to>
                </anchor>
              </controlPr>
            </control>
          </mc:Choice>
        </mc:AlternateContent>
        <mc:AlternateContent xmlns:mc="http://schemas.openxmlformats.org/markup-compatibility/2006">
          <mc:Choice Requires="x14">
            <control shapeId="117783" r:id="rId25" name="Option Button 23">
              <controlPr defaultSize="0" autoFill="0" autoLine="0" autoPict="0">
                <anchor moveWithCells="1">
                  <from>
                    <xdr:col>1</xdr:col>
                    <xdr:colOff>438150</xdr:colOff>
                    <xdr:row>28</xdr:row>
                    <xdr:rowOff>31750</xdr:rowOff>
                  </from>
                  <to>
                    <xdr:col>1</xdr:col>
                    <xdr:colOff>984250</xdr:colOff>
                    <xdr:row>28</xdr:row>
                    <xdr:rowOff>184150</xdr:rowOff>
                  </to>
                </anchor>
              </controlPr>
            </control>
          </mc:Choice>
        </mc:AlternateContent>
        <mc:AlternateContent xmlns:mc="http://schemas.openxmlformats.org/markup-compatibility/2006">
          <mc:Choice Requires="x14">
            <control shapeId="117784" r:id="rId26" name="Option Button 24">
              <controlPr defaultSize="0" autoFill="0" autoLine="0" autoPict="0">
                <anchor moveWithCells="1">
                  <from>
                    <xdr:col>1</xdr:col>
                    <xdr:colOff>438150</xdr:colOff>
                    <xdr:row>29</xdr:row>
                    <xdr:rowOff>31750</xdr:rowOff>
                  </from>
                  <to>
                    <xdr:col>1</xdr:col>
                    <xdr:colOff>984250</xdr:colOff>
                    <xdr:row>29</xdr:row>
                    <xdr:rowOff>184150</xdr:rowOff>
                  </to>
                </anchor>
              </controlPr>
            </control>
          </mc:Choice>
        </mc:AlternateContent>
        <mc:AlternateContent xmlns:mc="http://schemas.openxmlformats.org/markup-compatibility/2006">
          <mc:Choice Requires="x14">
            <control shapeId="117785" r:id="rId27" name="Option Button 25">
              <controlPr defaultSize="0" autoFill="0" autoLine="0" autoPict="0">
                <anchor moveWithCells="1">
                  <from>
                    <xdr:col>1</xdr:col>
                    <xdr:colOff>438150</xdr:colOff>
                    <xdr:row>30</xdr:row>
                    <xdr:rowOff>31750</xdr:rowOff>
                  </from>
                  <to>
                    <xdr:col>1</xdr:col>
                    <xdr:colOff>984250</xdr:colOff>
                    <xdr:row>30</xdr:row>
                    <xdr:rowOff>184150</xdr:rowOff>
                  </to>
                </anchor>
              </controlPr>
            </control>
          </mc:Choice>
        </mc:AlternateContent>
        <mc:AlternateContent xmlns:mc="http://schemas.openxmlformats.org/markup-compatibility/2006">
          <mc:Choice Requires="x14">
            <control shapeId="117786" r:id="rId28" name="Option Button 26">
              <controlPr defaultSize="0" autoFill="0" autoLine="0" autoPict="0">
                <anchor moveWithCells="1">
                  <from>
                    <xdr:col>1</xdr:col>
                    <xdr:colOff>438150</xdr:colOff>
                    <xdr:row>31</xdr:row>
                    <xdr:rowOff>31750</xdr:rowOff>
                  </from>
                  <to>
                    <xdr:col>1</xdr:col>
                    <xdr:colOff>984250</xdr:colOff>
                    <xdr:row>31</xdr:row>
                    <xdr:rowOff>184150</xdr:rowOff>
                  </to>
                </anchor>
              </controlPr>
            </control>
          </mc:Choice>
        </mc:AlternateContent>
        <mc:AlternateContent xmlns:mc="http://schemas.openxmlformats.org/markup-compatibility/2006">
          <mc:Choice Requires="x14">
            <control shapeId="117787" r:id="rId29" name="Option Button 27">
              <controlPr defaultSize="0" autoFill="0" autoLine="0" autoPict="0">
                <anchor moveWithCells="1">
                  <from>
                    <xdr:col>1</xdr:col>
                    <xdr:colOff>438150</xdr:colOff>
                    <xdr:row>32</xdr:row>
                    <xdr:rowOff>31750</xdr:rowOff>
                  </from>
                  <to>
                    <xdr:col>1</xdr:col>
                    <xdr:colOff>984250</xdr:colOff>
                    <xdr:row>32</xdr:row>
                    <xdr:rowOff>184150</xdr:rowOff>
                  </to>
                </anchor>
              </controlPr>
            </control>
          </mc:Choice>
        </mc:AlternateContent>
        <mc:AlternateContent xmlns:mc="http://schemas.openxmlformats.org/markup-compatibility/2006">
          <mc:Choice Requires="x14">
            <control shapeId="117788" r:id="rId30" name="Option Button 28">
              <controlPr defaultSize="0" autoFill="0" autoLine="0" autoPict="0">
                <anchor moveWithCells="1">
                  <from>
                    <xdr:col>1</xdr:col>
                    <xdr:colOff>438150</xdr:colOff>
                    <xdr:row>33</xdr:row>
                    <xdr:rowOff>31750</xdr:rowOff>
                  </from>
                  <to>
                    <xdr:col>1</xdr:col>
                    <xdr:colOff>984250</xdr:colOff>
                    <xdr:row>33</xdr:row>
                    <xdr:rowOff>184150</xdr:rowOff>
                  </to>
                </anchor>
              </controlPr>
            </control>
          </mc:Choice>
        </mc:AlternateContent>
        <mc:AlternateContent xmlns:mc="http://schemas.openxmlformats.org/markup-compatibility/2006">
          <mc:Choice Requires="x14">
            <control shapeId="117789" r:id="rId31" name="Option Button 29">
              <controlPr defaultSize="0" autoFill="0" autoLine="0" autoPict="0">
                <anchor moveWithCells="1">
                  <from>
                    <xdr:col>1</xdr:col>
                    <xdr:colOff>438150</xdr:colOff>
                    <xdr:row>34</xdr:row>
                    <xdr:rowOff>31750</xdr:rowOff>
                  </from>
                  <to>
                    <xdr:col>1</xdr:col>
                    <xdr:colOff>984250</xdr:colOff>
                    <xdr:row>34</xdr:row>
                    <xdr:rowOff>184150</xdr:rowOff>
                  </to>
                </anchor>
              </controlPr>
            </control>
          </mc:Choice>
        </mc:AlternateContent>
        <mc:AlternateContent xmlns:mc="http://schemas.openxmlformats.org/markup-compatibility/2006">
          <mc:Choice Requires="x14">
            <control shapeId="117790" r:id="rId32" name="Option Button 30">
              <controlPr defaultSize="0" autoFill="0" autoLine="0" autoPict="0">
                <anchor moveWithCells="1">
                  <from>
                    <xdr:col>1</xdr:col>
                    <xdr:colOff>438150</xdr:colOff>
                    <xdr:row>35</xdr:row>
                    <xdr:rowOff>31750</xdr:rowOff>
                  </from>
                  <to>
                    <xdr:col>1</xdr:col>
                    <xdr:colOff>984250</xdr:colOff>
                    <xdr:row>35</xdr:row>
                    <xdr:rowOff>184150</xdr:rowOff>
                  </to>
                </anchor>
              </controlPr>
            </control>
          </mc:Choice>
        </mc:AlternateContent>
        <mc:AlternateContent xmlns:mc="http://schemas.openxmlformats.org/markup-compatibility/2006">
          <mc:Choice Requires="x14">
            <control shapeId="117791" r:id="rId33" name="Option Button 31">
              <controlPr defaultSize="0" autoFill="0" autoLine="0" autoPict="0">
                <anchor moveWithCells="1">
                  <from>
                    <xdr:col>1</xdr:col>
                    <xdr:colOff>438150</xdr:colOff>
                    <xdr:row>36</xdr:row>
                    <xdr:rowOff>31750</xdr:rowOff>
                  </from>
                  <to>
                    <xdr:col>1</xdr:col>
                    <xdr:colOff>984250</xdr:colOff>
                    <xdr:row>36</xdr:row>
                    <xdr:rowOff>184150</xdr:rowOff>
                  </to>
                </anchor>
              </controlPr>
            </control>
          </mc:Choice>
        </mc:AlternateContent>
        <mc:AlternateContent xmlns:mc="http://schemas.openxmlformats.org/markup-compatibility/2006">
          <mc:Choice Requires="x14">
            <control shapeId="117792" r:id="rId34" name="Option Button 32">
              <controlPr defaultSize="0" autoFill="0" autoLine="0" autoPict="0">
                <anchor moveWithCells="1">
                  <from>
                    <xdr:col>1</xdr:col>
                    <xdr:colOff>438150</xdr:colOff>
                    <xdr:row>37</xdr:row>
                    <xdr:rowOff>31750</xdr:rowOff>
                  </from>
                  <to>
                    <xdr:col>1</xdr:col>
                    <xdr:colOff>984250</xdr:colOff>
                    <xdr:row>37</xdr:row>
                    <xdr:rowOff>184150</xdr:rowOff>
                  </to>
                </anchor>
              </controlPr>
            </control>
          </mc:Choice>
        </mc:AlternateContent>
        <mc:AlternateContent xmlns:mc="http://schemas.openxmlformats.org/markup-compatibility/2006">
          <mc:Choice Requires="x14">
            <control shapeId="117793" r:id="rId35" name="Option Button 33">
              <controlPr defaultSize="0" autoFill="0" autoLine="0" autoPict="0">
                <anchor moveWithCells="1">
                  <from>
                    <xdr:col>1</xdr:col>
                    <xdr:colOff>438150</xdr:colOff>
                    <xdr:row>38</xdr:row>
                    <xdr:rowOff>31750</xdr:rowOff>
                  </from>
                  <to>
                    <xdr:col>1</xdr:col>
                    <xdr:colOff>984250</xdr:colOff>
                    <xdr:row>38</xdr:row>
                    <xdr:rowOff>184150</xdr:rowOff>
                  </to>
                </anchor>
              </controlPr>
            </control>
          </mc:Choice>
        </mc:AlternateContent>
        <mc:AlternateContent xmlns:mc="http://schemas.openxmlformats.org/markup-compatibility/2006">
          <mc:Choice Requires="x14">
            <control shapeId="117794" r:id="rId36" name="Option Button 34">
              <controlPr defaultSize="0" autoFill="0" autoLine="0" autoPict="0">
                <anchor moveWithCells="1">
                  <from>
                    <xdr:col>1</xdr:col>
                    <xdr:colOff>438150</xdr:colOff>
                    <xdr:row>39</xdr:row>
                    <xdr:rowOff>31750</xdr:rowOff>
                  </from>
                  <to>
                    <xdr:col>1</xdr:col>
                    <xdr:colOff>984250</xdr:colOff>
                    <xdr:row>39</xdr:row>
                    <xdr:rowOff>184150</xdr:rowOff>
                  </to>
                </anchor>
              </controlPr>
            </control>
          </mc:Choice>
        </mc:AlternateContent>
        <mc:AlternateContent xmlns:mc="http://schemas.openxmlformats.org/markup-compatibility/2006">
          <mc:Choice Requires="x14">
            <control shapeId="117795" r:id="rId37" name="Option Button 35">
              <controlPr defaultSize="0" autoFill="0" autoLine="0" autoPict="0">
                <anchor moveWithCells="1">
                  <from>
                    <xdr:col>1</xdr:col>
                    <xdr:colOff>438150</xdr:colOff>
                    <xdr:row>40</xdr:row>
                    <xdr:rowOff>31750</xdr:rowOff>
                  </from>
                  <to>
                    <xdr:col>1</xdr:col>
                    <xdr:colOff>984250</xdr:colOff>
                    <xdr:row>40</xdr:row>
                    <xdr:rowOff>184150</xdr:rowOff>
                  </to>
                </anchor>
              </controlPr>
            </control>
          </mc:Choice>
        </mc:AlternateContent>
        <mc:AlternateContent xmlns:mc="http://schemas.openxmlformats.org/markup-compatibility/2006">
          <mc:Choice Requires="x14">
            <control shapeId="117796" r:id="rId38" name="Option Button 36">
              <controlPr defaultSize="0" autoFill="0" autoLine="0" autoPict="0">
                <anchor moveWithCells="1">
                  <from>
                    <xdr:col>1</xdr:col>
                    <xdr:colOff>438150</xdr:colOff>
                    <xdr:row>41</xdr:row>
                    <xdr:rowOff>31750</xdr:rowOff>
                  </from>
                  <to>
                    <xdr:col>1</xdr:col>
                    <xdr:colOff>984250</xdr:colOff>
                    <xdr:row>41</xdr:row>
                    <xdr:rowOff>184150</xdr:rowOff>
                  </to>
                </anchor>
              </controlPr>
            </control>
          </mc:Choice>
        </mc:AlternateContent>
        <mc:AlternateContent xmlns:mc="http://schemas.openxmlformats.org/markup-compatibility/2006">
          <mc:Choice Requires="x14">
            <control shapeId="117797" r:id="rId39" name="Option Button 37">
              <controlPr defaultSize="0" autoFill="0" autoLine="0" autoPict="0">
                <anchor moveWithCells="1">
                  <from>
                    <xdr:col>1</xdr:col>
                    <xdr:colOff>438150</xdr:colOff>
                    <xdr:row>42</xdr:row>
                    <xdr:rowOff>31750</xdr:rowOff>
                  </from>
                  <to>
                    <xdr:col>1</xdr:col>
                    <xdr:colOff>984250</xdr:colOff>
                    <xdr:row>42</xdr:row>
                    <xdr:rowOff>184150</xdr:rowOff>
                  </to>
                </anchor>
              </controlPr>
            </control>
          </mc:Choice>
        </mc:AlternateContent>
        <mc:AlternateContent xmlns:mc="http://schemas.openxmlformats.org/markup-compatibility/2006">
          <mc:Choice Requires="x14">
            <control shapeId="117798" r:id="rId40" name="Option Button 38">
              <controlPr defaultSize="0" autoFill="0" autoLine="0" autoPict="0">
                <anchor moveWithCells="1">
                  <from>
                    <xdr:col>1</xdr:col>
                    <xdr:colOff>438150</xdr:colOff>
                    <xdr:row>43</xdr:row>
                    <xdr:rowOff>31750</xdr:rowOff>
                  </from>
                  <to>
                    <xdr:col>1</xdr:col>
                    <xdr:colOff>984250</xdr:colOff>
                    <xdr:row>43</xdr:row>
                    <xdr:rowOff>184150</xdr:rowOff>
                  </to>
                </anchor>
              </controlPr>
            </control>
          </mc:Choice>
        </mc:AlternateContent>
        <mc:AlternateContent xmlns:mc="http://schemas.openxmlformats.org/markup-compatibility/2006">
          <mc:Choice Requires="x14">
            <control shapeId="117799" r:id="rId41" name="Option Button 39">
              <controlPr defaultSize="0" autoFill="0" autoLine="0" autoPict="0">
                <anchor moveWithCells="1">
                  <from>
                    <xdr:col>1</xdr:col>
                    <xdr:colOff>438150</xdr:colOff>
                    <xdr:row>44</xdr:row>
                    <xdr:rowOff>31750</xdr:rowOff>
                  </from>
                  <to>
                    <xdr:col>1</xdr:col>
                    <xdr:colOff>984250</xdr:colOff>
                    <xdr:row>44</xdr:row>
                    <xdr:rowOff>184150</xdr:rowOff>
                  </to>
                </anchor>
              </controlPr>
            </control>
          </mc:Choice>
        </mc:AlternateContent>
        <mc:AlternateContent xmlns:mc="http://schemas.openxmlformats.org/markup-compatibility/2006">
          <mc:Choice Requires="x14">
            <control shapeId="117800" r:id="rId42" name="Option Button 40">
              <controlPr defaultSize="0" autoFill="0" autoLine="0" autoPict="0">
                <anchor moveWithCells="1">
                  <from>
                    <xdr:col>1</xdr:col>
                    <xdr:colOff>438150</xdr:colOff>
                    <xdr:row>45</xdr:row>
                    <xdr:rowOff>31750</xdr:rowOff>
                  </from>
                  <to>
                    <xdr:col>1</xdr:col>
                    <xdr:colOff>984250</xdr:colOff>
                    <xdr:row>45</xdr:row>
                    <xdr:rowOff>184150</xdr:rowOff>
                  </to>
                </anchor>
              </controlPr>
            </control>
          </mc:Choice>
        </mc:AlternateContent>
        <mc:AlternateContent xmlns:mc="http://schemas.openxmlformats.org/markup-compatibility/2006">
          <mc:Choice Requires="x14">
            <control shapeId="117801" r:id="rId43" name="Option Button 41">
              <controlPr defaultSize="0" autoFill="0" autoLine="0" autoPict="0">
                <anchor moveWithCells="1">
                  <from>
                    <xdr:col>1</xdr:col>
                    <xdr:colOff>438150</xdr:colOff>
                    <xdr:row>46</xdr:row>
                    <xdr:rowOff>31750</xdr:rowOff>
                  </from>
                  <to>
                    <xdr:col>1</xdr:col>
                    <xdr:colOff>984250</xdr:colOff>
                    <xdr:row>46</xdr:row>
                    <xdr:rowOff>184150</xdr:rowOff>
                  </to>
                </anchor>
              </controlPr>
            </control>
          </mc:Choice>
        </mc:AlternateContent>
        <mc:AlternateContent xmlns:mc="http://schemas.openxmlformats.org/markup-compatibility/2006">
          <mc:Choice Requires="x14">
            <control shapeId="117802" r:id="rId44" name="Option Button 42">
              <controlPr defaultSize="0" autoFill="0" autoLine="0" autoPict="0">
                <anchor moveWithCells="1">
                  <from>
                    <xdr:col>1</xdr:col>
                    <xdr:colOff>438150</xdr:colOff>
                    <xdr:row>47</xdr:row>
                    <xdr:rowOff>31750</xdr:rowOff>
                  </from>
                  <to>
                    <xdr:col>1</xdr:col>
                    <xdr:colOff>984250</xdr:colOff>
                    <xdr:row>47</xdr:row>
                    <xdr:rowOff>184150</xdr:rowOff>
                  </to>
                </anchor>
              </controlPr>
            </control>
          </mc:Choice>
        </mc:AlternateContent>
        <mc:AlternateContent xmlns:mc="http://schemas.openxmlformats.org/markup-compatibility/2006">
          <mc:Choice Requires="x14">
            <control shapeId="117803" r:id="rId45" name="Option Button 43">
              <controlPr defaultSize="0" autoFill="0" autoLine="0" autoPict="0">
                <anchor moveWithCells="1">
                  <from>
                    <xdr:col>1</xdr:col>
                    <xdr:colOff>438150</xdr:colOff>
                    <xdr:row>48</xdr:row>
                    <xdr:rowOff>31750</xdr:rowOff>
                  </from>
                  <to>
                    <xdr:col>1</xdr:col>
                    <xdr:colOff>984250</xdr:colOff>
                    <xdr:row>48</xdr:row>
                    <xdr:rowOff>184150</xdr:rowOff>
                  </to>
                </anchor>
              </controlPr>
            </control>
          </mc:Choice>
        </mc:AlternateContent>
        <mc:AlternateContent xmlns:mc="http://schemas.openxmlformats.org/markup-compatibility/2006">
          <mc:Choice Requires="x14">
            <control shapeId="117804" r:id="rId46" name="Option Button 44">
              <controlPr defaultSize="0" autoFill="0" autoLine="0" autoPict="0">
                <anchor moveWithCells="1">
                  <from>
                    <xdr:col>1</xdr:col>
                    <xdr:colOff>438150</xdr:colOff>
                    <xdr:row>49</xdr:row>
                    <xdr:rowOff>31750</xdr:rowOff>
                  </from>
                  <to>
                    <xdr:col>1</xdr:col>
                    <xdr:colOff>984250</xdr:colOff>
                    <xdr:row>49</xdr:row>
                    <xdr:rowOff>184150</xdr:rowOff>
                  </to>
                </anchor>
              </controlPr>
            </control>
          </mc:Choice>
        </mc:AlternateContent>
        <mc:AlternateContent xmlns:mc="http://schemas.openxmlformats.org/markup-compatibility/2006">
          <mc:Choice Requires="x14">
            <control shapeId="117805" r:id="rId47" name="Option Button 45">
              <controlPr defaultSize="0" autoFill="0" autoLine="0" autoPict="0">
                <anchor moveWithCells="1">
                  <from>
                    <xdr:col>1</xdr:col>
                    <xdr:colOff>438150</xdr:colOff>
                    <xdr:row>50</xdr:row>
                    <xdr:rowOff>31750</xdr:rowOff>
                  </from>
                  <to>
                    <xdr:col>1</xdr:col>
                    <xdr:colOff>984250</xdr:colOff>
                    <xdr:row>50</xdr:row>
                    <xdr:rowOff>184150</xdr:rowOff>
                  </to>
                </anchor>
              </controlPr>
            </control>
          </mc:Choice>
        </mc:AlternateContent>
        <mc:AlternateContent xmlns:mc="http://schemas.openxmlformats.org/markup-compatibility/2006">
          <mc:Choice Requires="x14">
            <control shapeId="117806" r:id="rId48" name="Option Button 46">
              <controlPr defaultSize="0" autoFill="0" autoLine="0" autoPict="0">
                <anchor moveWithCells="1">
                  <from>
                    <xdr:col>1</xdr:col>
                    <xdr:colOff>438150</xdr:colOff>
                    <xdr:row>51</xdr:row>
                    <xdr:rowOff>31750</xdr:rowOff>
                  </from>
                  <to>
                    <xdr:col>1</xdr:col>
                    <xdr:colOff>984250</xdr:colOff>
                    <xdr:row>51</xdr:row>
                    <xdr:rowOff>184150</xdr:rowOff>
                  </to>
                </anchor>
              </controlPr>
            </control>
          </mc:Choice>
        </mc:AlternateContent>
        <mc:AlternateContent xmlns:mc="http://schemas.openxmlformats.org/markup-compatibility/2006">
          <mc:Choice Requires="x14">
            <control shapeId="117807" r:id="rId49" name="Option Button 47">
              <controlPr defaultSize="0" autoFill="0" autoLine="0" autoPict="0">
                <anchor moveWithCells="1">
                  <from>
                    <xdr:col>1</xdr:col>
                    <xdr:colOff>438150</xdr:colOff>
                    <xdr:row>52</xdr:row>
                    <xdr:rowOff>31750</xdr:rowOff>
                  </from>
                  <to>
                    <xdr:col>1</xdr:col>
                    <xdr:colOff>984250</xdr:colOff>
                    <xdr:row>52</xdr:row>
                    <xdr:rowOff>184150</xdr:rowOff>
                  </to>
                </anchor>
              </controlPr>
            </control>
          </mc:Choice>
        </mc:AlternateContent>
        <mc:AlternateContent xmlns:mc="http://schemas.openxmlformats.org/markup-compatibility/2006">
          <mc:Choice Requires="x14">
            <control shapeId="117808" r:id="rId50" name="Option Button 48">
              <controlPr defaultSize="0" autoFill="0" autoLine="0" autoPict="0">
                <anchor moveWithCells="1">
                  <from>
                    <xdr:col>1</xdr:col>
                    <xdr:colOff>438150</xdr:colOff>
                    <xdr:row>53</xdr:row>
                    <xdr:rowOff>31750</xdr:rowOff>
                  </from>
                  <to>
                    <xdr:col>1</xdr:col>
                    <xdr:colOff>984250</xdr:colOff>
                    <xdr:row>53</xdr:row>
                    <xdr:rowOff>184150</xdr:rowOff>
                  </to>
                </anchor>
              </controlPr>
            </control>
          </mc:Choice>
        </mc:AlternateContent>
        <mc:AlternateContent xmlns:mc="http://schemas.openxmlformats.org/markup-compatibility/2006">
          <mc:Choice Requires="x14">
            <control shapeId="117809" r:id="rId51" name="Option Button 49">
              <controlPr defaultSize="0" autoFill="0" autoLine="0" autoPict="0">
                <anchor moveWithCells="1">
                  <from>
                    <xdr:col>1</xdr:col>
                    <xdr:colOff>438150</xdr:colOff>
                    <xdr:row>54</xdr:row>
                    <xdr:rowOff>31750</xdr:rowOff>
                  </from>
                  <to>
                    <xdr:col>1</xdr:col>
                    <xdr:colOff>984250</xdr:colOff>
                    <xdr:row>54</xdr:row>
                    <xdr:rowOff>184150</xdr:rowOff>
                  </to>
                </anchor>
              </controlPr>
            </control>
          </mc:Choice>
        </mc:AlternateContent>
        <mc:AlternateContent xmlns:mc="http://schemas.openxmlformats.org/markup-compatibility/2006">
          <mc:Choice Requires="x14">
            <control shapeId="117810" r:id="rId52" name="Option Button 50">
              <controlPr defaultSize="0" autoFill="0" autoLine="0" autoPict="0">
                <anchor moveWithCells="1">
                  <from>
                    <xdr:col>1</xdr:col>
                    <xdr:colOff>438150</xdr:colOff>
                    <xdr:row>55</xdr:row>
                    <xdr:rowOff>31750</xdr:rowOff>
                  </from>
                  <to>
                    <xdr:col>1</xdr:col>
                    <xdr:colOff>984250</xdr:colOff>
                    <xdr:row>55</xdr:row>
                    <xdr:rowOff>184150</xdr:rowOff>
                  </to>
                </anchor>
              </controlPr>
            </control>
          </mc:Choice>
        </mc:AlternateContent>
        <mc:AlternateContent xmlns:mc="http://schemas.openxmlformats.org/markup-compatibility/2006">
          <mc:Choice Requires="x14">
            <control shapeId="117811" r:id="rId53" name="Option Button 51">
              <controlPr defaultSize="0" autoFill="0" autoLine="0" autoPict="0">
                <anchor moveWithCells="1">
                  <from>
                    <xdr:col>1</xdr:col>
                    <xdr:colOff>438150</xdr:colOff>
                    <xdr:row>56</xdr:row>
                    <xdr:rowOff>31750</xdr:rowOff>
                  </from>
                  <to>
                    <xdr:col>1</xdr:col>
                    <xdr:colOff>984250</xdr:colOff>
                    <xdr:row>56</xdr:row>
                    <xdr:rowOff>184150</xdr:rowOff>
                  </to>
                </anchor>
              </controlPr>
            </control>
          </mc:Choice>
        </mc:AlternateContent>
        <mc:AlternateContent xmlns:mc="http://schemas.openxmlformats.org/markup-compatibility/2006">
          <mc:Choice Requires="x14">
            <control shapeId="117812" r:id="rId54" name="Option Button 52">
              <controlPr defaultSize="0" autoFill="0" autoLine="0" autoPict="0">
                <anchor moveWithCells="1">
                  <from>
                    <xdr:col>1</xdr:col>
                    <xdr:colOff>438150</xdr:colOff>
                    <xdr:row>57</xdr:row>
                    <xdr:rowOff>31750</xdr:rowOff>
                  </from>
                  <to>
                    <xdr:col>1</xdr:col>
                    <xdr:colOff>984250</xdr:colOff>
                    <xdr:row>57</xdr:row>
                    <xdr:rowOff>184150</xdr:rowOff>
                  </to>
                </anchor>
              </controlPr>
            </control>
          </mc:Choice>
        </mc:AlternateContent>
        <mc:AlternateContent xmlns:mc="http://schemas.openxmlformats.org/markup-compatibility/2006">
          <mc:Choice Requires="x14">
            <control shapeId="117813" r:id="rId55" name="Option Button 53">
              <controlPr defaultSize="0" autoFill="0" autoLine="0" autoPict="0">
                <anchor moveWithCells="1">
                  <from>
                    <xdr:col>1</xdr:col>
                    <xdr:colOff>438150</xdr:colOff>
                    <xdr:row>58</xdr:row>
                    <xdr:rowOff>31750</xdr:rowOff>
                  </from>
                  <to>
                    <xdr:col>1</xdr:col>
                    <xdr:colOff>984250</xdr:colOff>
                    <xdr:row>58</xdr:row>
                    <xdr:rowOff>184150</xdr:rowOff>
                  </to>
                </anchor>
              </controlPr>
            </control>
          </mc:Choice>
        </mc:AlternateContent>
        <mc:AlternateContent xmlns:mc="http://schemas.openxmlformats.org/markup-compatibility/2006">
          <mc:Choice Requires="x14">
            <control shapeId="117814" r:id="rId56" name="Option Button 54">
              <controlPr defaultSize="0" autoFill="0" autoLine="0" autoPict="0">
                <anchor moveWithCells="1">
                  <from>
                    <xdr:col>1</xdr:col>
                    <xdr:colOff>438150</xdr:colOff>
                    <xdr:row>59</xdr:row>
                    <xdr:rowOff>31750</xdr:rowOff>
                  </from>
                  <to>
                    <xdr:col>1</xdr:col>
                    <xdr:colOff>984250</xdr:colOff>
                    <xdr:row>59</xdr:row>
                    <xdr:rowOff>184150</xdr:rowOff>
                  </to>
                </anchor>
              </controlPr>
            </control>
          </mc:Choice>
        </mc:AlternateContent>
        <mc:AlternateContent xmlns:mc="http://schemas.openxmlformats.org/markup-compatibility/2006">
          <mc:Choice Requires="x14">
            <control shapeId="117815" r:id="rId57" name="Option Button 55">
              <controlPr defaultSize="0" autoFill="0" autoLine="0" autoPict="0">
                <anchor moveWithCells="1">
                  <from>
                    <xdr:col>1</xdr:col>
                    <xdr:colOff>438150</xdr:colOff>
                    <xdr:row>60</xdr:row>
                    <xdr:rowOff>31750</xdr:rowOff>
                  </from>
                  <to>
                    <xdr:col>1</xdr:col>
                    <xdr:colOff>984250</xdr:colOff>
                    <xdr:row>60</xdr:row>
                    <xdr:rowOff>184150</xdr:rowOff>
                  </to>
                </anchor>
              </controlPr>
            </control>
          </mc:Choice>
        </mc:AlternateContent>
        <mc:AlternateContent xmlns:mc="http://schemas.openxmlformats.org/markup-compatibility/2006">
          <mc:Choice Requires="x14">
            <control shapeId="117816" r:id="rId58" name="Option Button 56">
              <controlPr defaultSize="0" autoFill="0" autoLine="0" autoPict="0">
                <anchor moveWithCells="1">
                  <from>
                    <xdr:col>1</xdr:col>
                    <xdr:colOff>438150</xdr:colOff>
                    <xdr:row>61</xdr:row>
                    <xdr:rowOff>31750</xdr:rowOff>
                  </from>
                  <to>
                    <xdr:col>1</xdr:col>
                    <xdr:colOff>984250</xdr:colOff>
                    <xdr:row>61</xdr:row>
                    <xdr:rowOff>184150</xdr:rowOff>
                  </to>
                </anchor>
              </controlPr>
            </control>
          </mc:Choice>
        </mc:AlternateContent>
        <mc:AlternateContent xmlns:mc="http://schemas.openxmlformats.org/markup-compatibility/2006">
          <mc:Choice Requires="x14">
            <control shapeId="117817" r:id="rId59" name="Option Button 57">
              <controlPr defaultSize="0" autoFill="0" autoLine="0" autoPict="0">
                <anchor moveWithCells="1">
                  <from>
                    <xdr:col>1</xdr:col>
                    <xdr:colOff>438150</xdr:colOff>
                    <xdr:row>62</xdr:row>
                    <xdr:rowOff>31750</xdr:rowOff>
                  </from>
                  <to>
                    <xdr:col>1</xdr:col>
                    <xdr:colOff>984250</xdr:colOff>
                    <xdr:row>62</xdr:row>
                    <xdr:rowOff>184150</xdr:rowOff>
                  </to>
                </anchor>
              </controlPr>
            </control>
          </mc:Choice>
        </mc:AlternateContent>
        <mc:AlternateContent xmlns:mc="http://schemas.openxmlformats.org/markup-compatibility/2006">
          <mc:Choice Requires="x14">
            <control shapeId="117818" r:id="rId60" name="Option Button 58">
              <controlPr defaultSize="0" autoFill="0" autoLine="0" autoPict="0">
                <anchor moveWithCells="1">
                  <from>
                    <xdr:col>1</xdr:col>
                    <xdr:colOff>438150</xdr:colOff>
                    <xdr:row>63</xdr:row>
                    <xdr:rowOff>31750</xdr:rowOff>
                  </from>
                  <to>
                    <xdr:col>1</xdr:col>
                    <xdr:colOff>984250</xdr:colOff>
                    <xdr:row>63</xdr:row>
                    <xdr:rowOff>184150</xdr:rowOff>
                  </to>
                </anchor>
              </controlPr>
            </control>
          </mc:Choice>
        </mc:AlternateContent>
        <mc:AlternateContent xmlns:mc="http://schemas.openxmlformats.org/markup-compatibility/2006">
          <mc:Choice Requires="x14">
            <control shapeId="117819" r:id="rId61" name="Option Button 59">
              <controlPr defaultSize="0" autoFill="0" autoLine="0" autoPict="0">
                <anchor moveWithCells="1">
                  <from>
                    <xdr:col>1</xdr:col>
                    <xdr:colOff>438150</xdr:colOff>
                    <xdr:row>64</xdr:row>
                    <xdr:rowOff>323850</xdr:rowOff>
                  </from>
                  <to>
                    <xdr:col>1</xdr:col>
                    <xdr:colOff>984250</xdr:colOff>
                    <xdr:row>64</xdr:row>
                    <xdr:rowOff>476250</xdr:rowOff>
                  </to>
                </anchor>
              </controlPr>
            </control>
          </mc:Choice>
        </mc:AlternateContent>
        <mc:AlternateContent xmlns:mc="http://schemas.openxmlformats.org/markup-compatibility/2006">
          <mc:Choice Requires="x14">
            <control shapeId="117820" r:id="rId62" name="Option Button 60">
              <controlPr defaultSize="0" autoFill="0" autoLine="0" autoPict="0">
                <anchor moveWithCells="1">
                  <from>
                    <xdr:col>1</xdr:col>
                    <xdr:colOff>438150</xdr:colOff>
                    <xdr:row>65</xdr:row>
                    <xdr:rowOff>31750</xdr:rowOff>
                  </from>
                  <to>
                    <xdr:col>1</xdr:col>
                    <xdr:colOff>984250</xdr:colOff>
                    <xdr:row>65</xdr:row>
                    <xdr:rowOff>184150</xdr:rowOff>
                  </to>
                </anchor>
              </controlPr>
            </control>
          </mc:Choice>
        </mc:AlternateContent>
        <mc:AlternateContent xmlns:mc="http://schemas.openxmlformats.org/markup-compatibility/2006">
          <mc:Choice Requires="x14">
            <control shapeId="117821" r:id="rId63" name="Option Button 61">
              <controlPr defaultSize="0" autoFill="0" autoLine="0" autoPict="0">
                <anchor moveWithCells="1">
                  <from>
                    <xdr:col>1</xdr:col>
                    <xdr:colOff>438150</xdr:colOff>
                    <xdr:row>66</xdr:row>
                    <xdr:rowOff>31750</xdr:rowOff>
                  </from>
                  <to>
                    <xdr:col>1</xdr:col>
                    <xdr:colOff>984250</xdr:colOff>
                    <xdr:row>66</xdr:row>
                    <xdr:rowOff>184150</xdr:rowOff>
                  </to>
                </anchor>
              </controlPr>
            </control>
          </mc:Choice>
        </mc:AlternateContent>
        <mc:AlternateContent xmlns:mc="http://schemas.openxmlformats.org/markup-compatibility/2006">
          <mc:Choice Requires="x14">
            <control shapeId="117822" r:id="rId64" name="Option Button 62">
              <controlPr defaultSize="0" autoFill="0" autoLine="0" autoPict="0">
                <anchor moveWithCells="1">
                  <from>
                    <xdr:col>1</xdr:col>
                    <xdr:colOff>438150</xdr:colOff>
                    <xdr:row>67</xdr:row>
                    <xdr:rowOff>31750</xdr:rowOff>
                  </from>
                  <to>
                    <xdr:col>1</xdr:col>
                    <xdr:colOff>984250</xdr:colOff>
                    <xdr:row>67</xdr:row>
                    <xdr:rowOff>184150</xdr:rowOff>
                  </to>
                </anchor>
              </controlPr>
            </control>
          </mc:Choice>
        </mc:AlternateContent>
        <mc:AlternateContent xmlns:mc="http://schemas.openxmlformats.org/markup-compatibility/2006">
          <mc:Choice Requires="x14">
            <control shapeId="117823" r:id="rId65" name="Option Button 63">
              <controlPr defaultSize="0" autoFill="0" autoLine="0" autoPict="0">
                <anchor moveWithCells="1">
                  <from>
                    <xdr:col>1</xdr:col>
                    <xdr:colOff>438150</xdr:colOff>
                    <xdr:row>68</xdr:row>
                    <xdr:rowOff>31750</xdr:rowOff>
                  </from>
                  <to>
                    <xdr:col>1</xdr:col>
                    <xdr:colOff>984250</xdr:colOff>
                    <xdr:row>68</xdr:row>
                    <xdr:rowOff>184150</xdr:rowOff>
                  </to>
                </anchor>
              </controlPr>
            </control>
          </mc:Choice>
        </mc:AlternateContent>
        <mc:AlternateContent xmlns:mc="http://schemas.openxmlformats.org/markup-compatibility/2006">
          <mc:Choice Requires="x14">
            <control shapeId="117824" r:id="rId66" name="Option Button 64">
              <controlPr defaultSize="0" autoFill="0" autoLine="0" autoPict="0">
                <anchor moveWithCells="1">
                  <from>
                    <xdr:col>1</xdr:col>
                    <xdr:colOff>438150</xdr:colOff>
                    <xdr:row>69</xdr:row>
                    <xdr:rowOff>31750</xdr:rowOff>
                  </from>
                  <to>
                    <xdr:col>1</xdr:col>
                    <xdr:colOff>984250</xdr:colOff>
                    <xdr:row>69</xdr:row>
                    <xdr:rowOff>184150</xdr:rowOff>
                  </to>
                </anchor>
              </controlPr>
            </control>
          </mc:Choice>
        </mc:AlternateContent>
        <mc:AlternateContent xmlns:mc="http://schemas.openxmlformats.org/markup-compatibility/2006">
          <mc:Choice Requires="x14">
            <control shapeId="117825" r:id="rId67" name="Option Button 65">
              <controlPr defaultSize="0" autoFill="0" autoLine="0" autoPict="0">
                <anchor moveWithCells="1">
                  <from>
                    <xdr:col>1</xdr:col>
                    <xdr:colOff>438150</xdr:colOff>
                    <xdr:row>70</xdr:row>
                    <xdr:rowOff>31750</xdr:rowOff>
                  </from>
                  <to>
                    <xdr:col>1</xdr:col>
                    <xdr:colOff>984250</xdr:colOff>
                    <xdr:row>70</xdr:row>
                    <xdr:rowOff>184150</xdr:rowOff>
                  </to>
                </anchor>
              </controlPr>
            </control>
          </mc:Choice>
        </mc:AlternateContent>
        <mc:AlternateContent xmlns:mc="http://schemas.openxmlformats.org/markup-compatibility/2006">
          <mc:Choice Requires="x14">
            <control shapeId="117826" r:id="rId68" name="Option Button 66">
              <controlPr defaultSize="0" autoFill="0" autoLine="0" autoPict="0">
                <anchor moveWithCells="1">
                  <from>
                    <xdr:col>1</xdr:col>
                    <xdr:colOff>438150</xdr:colOff>
                    <xdr:row>71</xdr:row>
                    <xdr:rowOff>31750</xdr:rowOff>
                  </from>
                  <to>
                    <xdr:col>1</xdr:col>
                    <xdr:colOff>984250</xdr:colOff>
                    <xdr:row>71</xdr:row>
                    <xdr:rowOff>184150</xdr:rowOff>
                  </to>
                </anchor>
              </controlPr>
            </control>
          </mc:Choice>
        </mc:AlternateContent>
        <mc:AlternateContent xmlns:mc="http://schemas.openxmlformats.org/markup-compatibility/2006">
          <mc:Choice Requires="x14">
            <control shapeId="117827" r:id="rId69" name="Option Button 67">
              <controlPr defaultSize="0" autoFill="0" autoLine="0" autoPict="0">
                <anchor moveWithCells="1">
                  <from>
                    <xdr:col>1</xdr:col>
                    <xdr:colOff>438150</xdr:colOff>
                    <xdr:row>72</xdr:row>
                    <xdr:rowOff>31750</xdr:rowOff>
                  </from>
                  <to>
                    <xdr:col>1</xdr:col>
                    <xdr:colOff>984250</xdr:colOff>
                    <xdr:row>72</xdr:row>
                    <xdr:rowOff>184150</xdr:rowOff>
                  </to>
                </anchor>
              </controlPr>
            </control>
          </mc:Choice>
        </mc:AlternateContent>
        <mc:AlternateContent xmlns:mc="http://schemas.openxmlformats.org/markup-compatibility/2006">
          <mc:Choice Requires="x14">
            <control shapeId="117828" r:id="rId70" name="Option Button 68">
              <controlPr defaultSize="0" autoFill="0" autoLine="0" autoPict="0">
                <anchor moveWithCells="1">
                  <from>
                    <xdr:col>1</xdr:col>
                    <xdr:colOff>438150</xdr:colOff>
                    <xdr:row>73</xdr:row>
                    <xdr:rowOff>31750</xdr:rowOff>
                  </from>
                  <to>
                    <xdr:col>1</xdr:col>
                    <xdr:colOff>984250</xdr:colOff>
                    <xdr:row>73</xdr:row>
                    <xdr:rowOff>184150</xdr:rowOff>
                  </to>
                </anchor>
              </controlPr>
            </control>
          </mc:Choice>
        </mc:AlternateContent>
        <mc:AlternateContent xmlns:mc="http://schemas.openxmlformats.org/markup-compatibility/2006">
          <mc:Choice Requires="x14">
            <control shapeId="117829" r:id="rId71" name="Option Button 69">
              <controlPr defaultSize="0" autoFill="0" autoLine="0" autoPict="0">
                <anchor moveWithCells="1">
                  <from>
                    <xdr:col>1</xdr:col>
                    <xdr:colOff>438150</xdr:colOff>
                    <xdr:row>74</xdr:row>
                    <xdr:rowOff>31750</xdr:rowOff>
                  </from>
                  <to>
                    <xdr:col>1</xdr:col>
                    <xdr:colOff>984250</xdr:colOff>
                    <xdr:row>74</xdr:row>
                    <xdr:rowOff>184150</xdr:rowOff>
                  </to>
                </anchor>
              </controlPr>
            </control>
          </mc:Choice>
        </mc:AlternateContent>
        <mc:AlternateContent xmlns:mc="http://schemas.openxmlformats.org/markup-compatibility/2006">
          <mc:Choice Requires="x14">
            <control shapeId="117830" r:id="rId72" name="Option Button 70">
              <controlPr defaultSize="0" autoFill="0" autoLine="0" autoPict="0">
                <anchor moveWithCells="1">
                  <from>
                    <xdr:col>1</xdr:col>
                    <xdr:colOff>438150</xdr:colOff>
                    <xdr:row>75</xdr:row>
                    <xdr:rowOff>31750</xdr:rowOff>
                  </from>
                  <to>
                    <xdr:col>1</xdr:col>
                    <xdr:colOff>984250</xdr:colOff>
                    <xdr:row>75</xdr:row>
                    <xdr:rowOff>184150</xdr:rowOff>
                  </to>
                </anchor>
              </controlPr>
            </control>
          </mc:Choice>
        </mc:AlternateContent>
        <mc:AlternateContent xmlns:mc="http://schemas.openxmlformats.org/markup-compatibility/2006">
          <mc:Choice Requires="x14">
            <control shapeId="117831" r:id="rId73" name="Option Button 71">
              <controlPr defaultSize="0" autoFill="0" autoLine="0" autoPict="0">
                <anchor moveWithCells="1">
                  <from>
                    <xdr:col>1</xdr:col>
                    <xdr:colOff>438150</xdr:colOff>
                    <xdr:row>76</xdr:row>
                    <xdr:rowOff>31750</xdr:rowOff>
                  </from>
                  <to>
                    <xdr:col>1</xdr:col>
                    <xdr:colOff>984250</xdr:colOff>
                    <xdr:row>76</xdr:row>
                    <xdr:rowOff>184150</xdr:rowOff>
                  </to>
                </anchor>
              </controlPr>
            </control>
          </mc:Choice>
        </mc:AlternateContent>
        <mc:AlternateContent xmlns:mc="http://schemas.openxmlformats.org/markup-compatibility/2006">
          <mc:Choice Requires="x14">
            <control shapeId="117832" r:id="rId74" name="Option Button 72">
              <controlPr defaultSize="0" autoFill="0" autoLine="0" autoPict="0">
                <anchor moveWithCells="1">
                  <from>
                    <xdr:col>1</xdr:col>
                    <xdr:colOff>438150</xdr:colOff>
                    <xdr:row>77</xdr:row>
                    <xdr:rowOff>31750</xdr:rowOff>
                  </from>
                  <to>
                    <xdr:col>1</xdr:col>
                    <xdr:colOff>984250</xdr:colOff>
                    <xdr:row>77</xdr:row>
                    <xdr:rowOff>184150</xdr:rowOff>
                  </to>
                </anchor>
              </controlPr>
            </control>
          </mc:Choice>
        </mc:AlternateContent>
        <mc:AlternateContent xmlns:mc="http://schemas.openxmlformats.org/markup-compatibility/2006">
          <mc:Choice Requires="x14">
            <control shapeId="117833" r:id="rId75" name="Option Button 73">
              <controlPr defaultSize="0" autoFill="0" autoLine="0" autoPict="0">
                <anchor moveWithCells="1">
                  <from>
                    <xdr:col>1</xdr:col>
                    <xdr:colOff>438150</xdr:colOff>
                    <xdr:row>78</xdr:row>
                    <xdr:rowOff>31750</xdr:rowOff>
                  </from>
                  <to>
                    <xdr:col>1</xdr:col>
                    <xdr:colOff>984250</xdr:colOff>
                    <xdr:row>78</xdr:row>
                    <xdr:rowOff>184150</xdr:rowOff>
                  </to>
                </anchor>
              </controlPr>
            </control>
          </mc:Choice>
        </mc:AlternateContent>
        <mc:AlternateContent xmlns:mc="http://schemas.openxmlformats.org/markup-compatibility/2006">
          <mc:Choice Requires="x14">
            <control shapeId="117834" r:id="rId76" name="Option Button 74">
              <controlPr defaultSize="0" autoFill="0" autoLine="0" autoPict="0">
                <anchor moveWithCells="1">
                  <from>
                    <xdr:col>1</xdr:col>
                    <xdr:colOff>438150</xdr:colOff>
                    <xdr:row>79</xdr:row>
                    <xdr:rowOff>31750</xdr:rowOff>
                  </from>
                  <to>
                    <xdr:col>1</xdr:col>
                    <xdr:colOff>984250</xdr:colOff>
                    <xdr:row>79</xdr:row>
                    <xdr:rowOff>184150</xdr:rowOff>
                  </to>
                </anchor>
              </controlPr>
            </control>
          </mc:Choice>
        </mc:AlternateContent>
        <mc:AlternateContent xmlns:mc="http://schemas.openxmlformats.org/markup-compatibility/2006">
          <mc:Choice Requires="x14">
            <control shapeId="117835" r:id="rId77" name="Option Button 75">
              <controlPr defaultSize="0" autoFill="0" autoLine="0" autoPict="0">
                <anchor moveWithCells="1">
                  <from>
                    <xdr:col>1</xdr:col>
                    <xdr:colOff>438150</xdr:colOff>
                    <xdr:row>80</xdr:row>
                    <xdr:rowOff>31750</xdr:rowOff>
                  </from>
                  <to>
                    <xdr:col>1</xdr:col>
                    <xdr:colOff>984250</xdr:colOff>
                    <xdr:row>80</xdr:row>
                    <xdr:rowOff>184150</xdr:rowOff>
                  </to>
                </anchor>
              </controlPr>
            </control>
          </mc:Choice>
        </mc:AlternateContent>
        <mc:AlternateContent xmlns:mc="http://schemas.openxmlformats.org/markup-compatibility/2006">
          <mc:Choice Requires="x14">
            <control shapeId="117836" r:id="rId78" name="Option Button 76">
              <controlPr defaultSize="0" autoFill="0" autoLine="0" autoPict="0">
                <anchor moveWithCells="1">
                  <from>
                    <xdr:col>1</xdr:col>
                    <xdr:colOff>438150</xdr:colOff>
                    <xdr:row>81</xdr:row>
                    <xdr:rowOff>31750</xdr:rowOff>
                  </from>
                  <to>
                    <xdr:col>1</xdr:col>
                    <xdr:colOff>984250</xdr:colOff>
                    <xdr:row>81</xdr:row>
                    <xdr:rowOff>184150</xdr:rowOff>
                  </to>
                </anchor>
              </controlPr>
            </control>
          </mc:Choice>
        </mc:AlternateContent>
        <mc:AlternateContent xmlns:mc="http://schemas.openxmlformats.org/markup-compatibility/2006">
          <mc:Choice Requires="x14">
            <control shapeId="117837" r:id="rId79" name="Option Button 77">
              <controlPr defaultSize="0" autoFill="0" autoLine="0" autoPict="0">
                <anchor moveWithCells="1">
                  <from>
                    <xdr:col>1</xdr:col>
                    <xdr:colOff>438150</xdr:colOff>
                    <xdr:row>82</xdr:row>
                    <xdr:rowOff>31750</xdr:rowOff>
                  </from>
                  <to>
                    <xdr:col>1</xdr:col>
                    <xdr:colOff>984250</xdr:colOff>
                    <xdr:row>82</xdr:row>
                    <xdr:rowOff>184150</xdr:rowOff>
                  </to>
                </anchor>
              </controlPr>
            </control>
          </mc:Choice>
        </mc:AlternateContent>
        <mc:AlternateContent xmlns:mc="http://schemas.openxmlformats.org/markup-compatibility/2006">
          <mc:Choice Requires="x14">
            <control shapeId="117838" r:id="rId80" name="Option Button 78">
              <controlPr defaultSize="0" autoFill="0" autoLine="0" autoPict="0">
                <anchor moveWithCells="1">
                  <from>
                    <xdr:col>1</xdr:col>
                    <xdr:colOff>438150</xdr:colOff>
                    <xdr:row>83</xdr:row>
                    <xdr:rowOff>31750</xdr:rowOff>
                  </from>
                  <to>
                    <xdr:col>1</xdr:col>
                    <xdr:colOff>984250</xdr:colOff>
                    <xdr:row>83</xdr:row>
                    <xdr:rowOff>184150</xdr:rowOff>
                  </to>
                </anchor>
              </controlPr>
            </control>
          </mc:Choice>
        </mc:AlternateContent>
        <mc:AlternateContent xmlns:mc="http://schemas.openxmlformats.org/markup-compatibility/2006">
          <mc:Choice Requires="x14">
            <control shapeId="117839" r:id="rId81" name="Option Button 79">
              <controlPr defaultSize="0" autoFill="0" autoLine="0" autoPict="0">
                <anchor moveWithCells="1">
                  <from>
                    <xdr:col>1</xdr:col>
                    <xdr:colOff>438150</xdr:colOff>
                    <xdr:row>84</xdr:row>
                    <xdr:rowOff>31750</xdr:rowOff>
                  </from>
                  <to>
                    <xdr:col>1</xdr:col>
                    <xdr:colOff>984250</xdr:colOff>
                    <xdr:row>84</xdr:row>
                    <xdr:rowOff>184150</xdr:rowOff>
                  </to>
                </anchor>
              </controlPr>
            </control>
          </mc:Choice>
        </mc:AlternateContent>
        <mc:AlternateContent xmlns:mc="http://schemas.openxmlformats.org/markup-compatibility/2006">
          <mc:Choice Requires="x14">
            <control shapeId="117840" r:id="rId82" name="Option Button 80">
              <controlPr defaultSize="0" autoFill="0" autoLine="0" autoPict="0">
                <anchor moveWithCells="1">
                  <from>
                    <xdr:col>1</xdr:col>
                    <xdr:colOff>438150</xdr:colOff>
                    <xdr:row>85</xdr:row>
                    <xdr:rowOff>31750</xdr:rowOff>
                  </from>
                  <to>
                    <xdr:col>1</xdr:col>
                    <xdr:colOff>984250</xdr:colOff>
                    <xdr:row>85</xdr:row>
                    <xdr:rowOff>184150</xdr:rowOff>
                  </to>
                </anchor>
              </controlPr>
            </control>
          </mc:Choice>
        </mc:AlternateContent>
        <mc:AlternateContent xmlns:mc="http://schemas.openxmlformats.org/markup-compatibility/2006">
          <mc:Choice Requires="x14">
            <control shapeId="117841" r:id="rId83" name="Option Button 81">
              <controlPr defaultSize="0" autoFill="0" autoLine="0" autoPict="0">
                <anchor moveWithCells="1">
                  <from>
                    <xdr:col>1</xdr:col>
                    <xdr:colOff>438150</xdr:colOff>
                    <xdr:row>86</xdr:row>
                    <xdr:rowOff>31750</xdr:rowOff>
                  </from>
                  <to>
                    <xdr:col>1</xdr:col>
                    <xdr:colOff>984250</xdr:colOff>
                    <xdr:row>86</xdr:row>
                    <xdr:rowOff>184150</xdr:rowOff>
                  </to>
                </anchor>
              </controlPr>
            </control>
          </mc:Choice>
        </mc:AlternateContent>
        <mc:AlternateContent xmlns:mc="http://schemas.openxmlformats.org/markup-compatibility/2006">
          <mc:Choice Requires="x14">
            <control shapeId="117842" r:id="rId84" name="Option Button 82">
              <controlPr defaultSize="0" autoFill="0" autoLine="0" autoPict="0">
                <anchor moveWithCells="1">
                  <from>
                    <xdr:col>1</xdr:col>
                    <xdr:colOff>438150</xdr:colOff>
                    <xdr:row>87</xdr:row>
                    <xdr:rowOff>31750</xdr:rowOff>
                  </from>
                  <to>
                    <xdr:col>1</xdr:col>
                    <xdr:colOff>984250</xdr:colOff>
                    <xdr:row>87</xdr:row>
                    <xdr:rowOff>184150</xdr:rowOff>
                  </to>
                </anchor>
              </controlPr>
            </control>
          </mc:Choice>
        </mc:AlternateContent>
        <mc:AlternateContent xmlns:mc="http://schemas.openxmlformats.org/markup-compatibility/2006">
          <mc:Choice Requires="x14">
            <control shapeId="117843" r:id="rId85" name="Option Button 83">
              <controlPr defaultSize="0" autoFill="0" autoLine="0" autoPict="0">
                <anchor moveWithCells="1">
                  <from>
                    <xdr:col>1</xdr:col>
                    <xdr:colOff>438150</xdr:colOff>
                    <xdr:row>88</xdr:row>
                    <xdr:rowOff>31750</xdr:rowOff>
                  </from>
                  <to>
                    <xdr:col>1</xdr:col>
                    <xdr:colOff>984250</xdr:colOff>
                    <xdr:row>88</xdr:row>
                    <xdr:rowOff>184150</xdr:rowOff>
                  </to>
                </anchor>
              </controlPr>
            </control>
          </mc:Choice>
        </mc:AlternateContent>
        <mc:AlternateContent xmlns:mc="http://schemas.openxmlformats.org/markup-compatibility/2006">
          <mc:Choice Requires="x14">
            <control shapeId="117844" r:id="rId86" name="Option Button 84">
              <controlPr defaultSize="0" autoFill="0" autoLine="0" autoPict="0">
                <anchor moveWithCells="1">
                  <from>
                    <xdr:col>1</xdr:col>
                    <xdr:colOff>438150</xdr:colOff>
                    <xdr:row>89</xdr:row>
                    <xdr:rowOff>31750</xdr:rowOff>
                  </from>
                  <to>
                    <xdr:col>1</xdr:col>
                    <xdr:colOff>984250</xdr:colOff>
                    <xdr:row>89</xdr:row>
                    <xdr:rowOff>184150</xdr:rowOff>
                  </to>
                </anchor>
              </controlPr>
            </control>
          </mc:Choice>
        </mc:AlternateContent>
        <mc:AlternateContent xmlns:mc="http://schemas.openxmlformats.org/markup-compatibility/2006">
          <mc:Choice Requires="x14">
            <control shapeId="117845" r:id="rId87" name="Option Button 85">
              <controlPr defaultSize="0" autoFill="0" autoLine="0" autoPict="0">
                <anchor moveWithCells="1">
                  <from>
                    <xdr:col>1</xdr:col>
                    <xdr:colOff>438150</xdr:colOff>
                    <xdr:row>90</xdr:row>
                    <xdr:rowOff>31750</xdr:rowOff>
                  </from>
                  <to>
                    <xdr:col>1</xdr:col>
                    <xdr:colOff>984250</xdr:colOff>
                    <xdr:row>90</xdr:row>
                    <xdr:rowOff>184150</xdr:rowOff>
                  </to>
                </anchor>
              </controlPr>
            </control>
          </mc:Choice>
        </mc:AlternateContent>
        <mc:AlternateContent xmlns:mc="http://schemas.openxmlformats.org/markup-compatibility/2006">
          <mc:Choice Requires="x14">
            <control shapeId="117846" r:id="rId88" name="Option Button 86">
              <controlPr defaultSize="0" autoFill="0" autoLine="0" autoPict="0">
                <anchor moveWithCells="1">
                  <from>
                    <xdr:col>1</xdr:col>
                    <xdr:colOff>438150</xdr:colOff>
                    <xdr:row>91</xdr:row>
                    <xdr:rowOff>31750</xdr:rowOff>
                  </from>
                  <to>
                    <xdr:col>1</xdr:col>
                    <xdr:colOff>984250</xdr:colOff>
                    <xdr:row>91</xdr:row>
                    <xdr:rowOff>184150</xdr:rowOff>
                  </to>
                </anchor>
              </controlPr>
            </control>
          </mc:Choice>
        </mc:AlternateContent>
        <mc:AlternateContent xmlns:mc="http://schemas.openxmlformats.org/markup-compatibility/2006">
          <mc:Choice Requires="x14">
            <control shapeId="117847" r:id="rId89" name="Option Button 87">
              <controlPr defaultSize="0" autoFill="0" autoLine="0" autoPict="0">
                <anchor moveWithCells="1">
                  <from>
                    <xdr:col>1</xdr:col>
                    <xdr:colOff>438150</xdr:colOff>
                    <xdr:row>92</xdr:row>
                    <xdr:rowOff>31750</xdr:rowOff>
                  </from>
                  <to>
                    <xdr:col>1</xdr:col>
                    <xdr:colOff>984250</xdr:colOff>
                    <xdr:row>92</xdr:row>
                    <xdr:rowOff>184150</xdr:rowOff>
                  </to>
                </anchor>
              </controlPr>
            </control>
          </mc:Choice>
        </mc:AlternateContent>
        <mc:AlternateContent xmlns:mc="http://schemas.openxmlformats.org/markup-compatibility/2006">
          <mc:Choice Requires="x14">
            <control shapeId="117848" r:id="rId90" name="Option Button 88">
              <controlPr defaultSize="0" autoFill="0" autoLine="0" autoPict="0">
                <anchor moveWithCells="1">
                  <from>
                    <xdr:col>1</xdr:col>
                    <xdr:colOff>438150</xdr:colOff>
                    <xdr:row>93</xdr:row>
                    <xdr:rowOff>31750</xdr:rowOff>
                  </from>
                  <to>
                    <xdr:col>1</xdr:col>
                    <xdr:colOff>984250</xdr:colOff>
                    <xdr:row>93</xdr:row>
                    <xdr:rowOff>184150</xdr:rowOff>
                  </to>
                </anchor>
              </controlPr>
            </control>
          </mc:Choice>
        </mc:AlternateContent>
        <mc:AlternateContent xmlns:mc="http://schemas.openxmlformats.org/markup-compatibility/2006">
          <mc:Choice Requires="x14">
            <control shapeId="117849" r:id="rId91" name="Option Button 89">
              <controlPr defaultSize="0" autoFill="0" autoLine="0" autoPict="0">
                <anchor moveWithCells="1">
                  <from>
                    <xdr:col>1</xdr:col>
                    <xdr:colOff>438150</xdr:colOff>
                    <xdr:row>94</xdr:row>
                    <xdr:rowOff>31750</xdr:rowOff>
                  </from>
                  <to>
                    <xdr:col>1</xdr:col>
                    <xdr:colOff>984250</xdr:colOff>
                    <xdr:row>94</xdr:row>
                    <xdr:rowOff>184150</xdr:rowOff>
                  </to>
                </anchor>
              </controlPr>
            </control>
          </mc:Choice>
        </mc:AlternateContent>
        <mc:AlternateContent xmlns:mc="http://schemas.openxmlformats.org/markup-compatibility/2006">
          <mc:Choice Requires="x14">
            <control shapeId="117850" r:id="rId92" name="Option Button 90">
              <controlPr defaultSize="0" autoFill="0" autoLine="0" autoPict="0">
                <anchor moveWithCells="1">
                  <from>
                    <xdr:col>1</xdr:col>
                    <xdr:colOff>438150</xdr:colOff>
                    <xdr:row>95</xdr:row>
                    <xdr:rowOff>31750</xdr:rowOff>
                  </from>
                  <to>
                    <xdr:col>1</xdr:col>
                    <xdr:colOff>984250</xdr:colOff>
                    <xdr:row>95</xdr:row>
                    <xdr:rowOff>184150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CC00FF"/>
    <pageSetUpPr fitToPage="1"/>
  </sheetPr>
  <dimension ref="A1:H117"/>
  <sheetViews>
    <sheetView zoomScale="85" zoomScaleNormal="85" workbookViewId="0">
      <pane ySplit="6" topLeftCell="A7" activePane="bottomLeft" state="frozen"/>
      <selection activeCell="L31" sqref="L31"/>
      <selection pane="bottomLeft"/>
    </sheetView>
  </sheetViews>
  <sheetFormatPr defaultRowHeight="15"/>
  <cols>
    <col min="1" max="1" width="3.36328125" style="502" customWidth="1"/>
    <col min="2" max="2" width="14" style="502" bestFit="1" customWidth="1"/>
    <col min="3" max="3" width="52.6328125" style="502" customWidth="1"/>
    <col min="4" max="4" width="58.7265625" style="502" customWidth="1"/>
    <col min="5" max="5" width="45.6328125" style="502" hidden="1" customWidth="1"/>
    <col min="6" max="6" width="8.7265625" style="502" hidden="1" customWidth="1"/>
    <col min="7" max="7" width="12.6328125" style="502" hidden="1" customWidth="1"/>
    <col min="8" max="8" width="12.6328125" style="503" hidden="1" customWidth="1"/>
    <col min="9" max="256" width="9" style="502"/>
    <col min="257" max="257" width="9.08984375" style="502" customWidth="1"/>
    <col min="258" max="258" width="9.453125" style="502" bestFit="1" customWidth="1"/>
    <col min="259" max="259" width="21.6328125" style="502" customWidth="1"/>
    <col min="260" max="260" width="57.36328125" style="502" customWidth="1"/>
    <col min="261" max="261" width="73.453125" style="502" customWidth="1"/>
    <col min="262" max="262" width="70.6328125" style="502" bestFit="1" customWidth="1"/>
    <col min="263" max="512" width="9" style="502"/>
    <col min="513" max="513" width="9.08984375" style="502" customWidth="1"/>
    <col min="514" max="514" width="9.453125" style="502" bestFit="1" customWidth="1"/>
    <col min="515" max="515" width="21.6328125" style="502" customWidth="1"/>
    <col min="516" max="516" width="57.36328125" style="502" customWidth="1"/>
    <col min="517" max="517" width="73.453125" style="502" customWidth="1"/>
    <col min="518" max="518" width="70.6328125" style="502" bestFit="1" customWidth="1"/>
    <col min="519" max="768" width="9" style="502"/>
    <col min="769" max="769" width="9.08984375" style="502" customWidth="1"/>
    <col min="770" max="770" width="9.453125" style="502" bestFit="1" customWidth="1"/>
    <col min="771" max="771" width="21.6328125" style="502" customWidth="1"/>
    <col min="772" max="772" width="57.36328125" style="502" customWidth="1"/>
    <col min="773" max="773" width="73.453125" style="502" customWidth="1"/>
    <col min="774" max="774" width="70.6328125" style="502" bestFit="1" customWidth="1"/>
    <col min="775" max="1024" width="9" style="502"/>
    <col min="1025" max="1025" width="9.08984375" style="502" customWidth="1"/>
    <col min="1026" max="1026" width="9.453125" style="502" bestFit="1" customWidth="1"/>
    <col min="1027" max="1027" width="21.6328125" style="502" customWidth="1"/>
    <col min="1028" max="1028" width="57.36328125" style="502" customWidth="1"/>
    <col min="1029" max="1029" width="73.453125" style="502" customWidth="1"/>
    <col min="1030" max="1030" width="70.6328125" style="502" bestFit="1" customWidth="1"/>
    <col min="1031" max="1280" width="9" style="502"/>
    <col min="1281" max="1281" width="9.08984375" style="502" customWidth="1"/>
    <col min="1282" max="1282" width="9.453125" style="502" bestFit="1" customWidth="1"/>
    <col min="1283" max="1283" width="21.6328125" style="502" customWidth="1"/>
    <col min="1284" max="1284" width="57.36328125" style="502" customWidth="1"/>
    <col min="1285" max="1285" width="73.453125" style="502" customWidth="1"/>
    <col min="1286" max="1286" width="70.6328125" style="502" bestFit="1" customWidth="1"/>
    <col min="1287" max="1536" width="9" style="502"/>
    <col min="1537" max="1537" width="9.08984375" style="502" customWidth="1"/>
    <col min="1538" max="1538" width="9.453125" style="502" bestFit="1" customWidth="1"/>
    <col min="1539" max="1539" width="21.6328125" style="502" customWidth="1"/>
    <col min="1540" max="1540" width="57.36328125" style="502" customWidth="1"/>
    <col min="1541" max="1541" width="73.453125" style="502" customWidth="1"/>
    <col min="1542" max="1542" width="70.6328125" style="502" bestFit="1" customWidth="1"/>
    <col min="1543" max="1792" width="9" style="502"/>
    <col min="1793" max="1793" width="9.08984375" style="502" customWidth="1"/>
    <col min="1794" max="1794" width="9.453125" style="502" bestFit="1" customWidth="1"/>
    <col min="1795" max="1795" width="21.6328125" style="502" customWidth="1"/>
    <col min="1796" max="1796" width="57.36328125" style="502" customWidth="1"/>
    <col min="1797" max="1797" width="73.453125" style="502" customWidth="1"/>
    <col min="1798" max="1798" width="70.6328125" style="502" bestFit="1" customWidth="1"/>
    <col min="1799" max="2048" width="9" style="502"/>
    <col min="2049" max="2049" width="9.08984375" style="502" customWidth="1"/>
    <col min="2050" max="2050" width="9.453125" style="502" bestFit="1" customWidth="1"/>
    <col min="2051" max="2051" width="21.6328125" style="502" customWidth="1"/>
    <col min="2052" max="2052" width="57.36328125" style="502" customWidth="1"/>
    <col min="2053" max="2053" width="73.453125" style="502" customWidth="1"/>
    <col min="2054" max="2054" width="70.6328125" style="502" bestFit="1" customWidth="1"/>
    <col min="2055" max="2304" width="9" style="502"/>
    <col min="2305" max="2305" width="9.08984375" style="502" customWidth="1"/>
    <col min="2306" max="2306" width="9.453125" style="502" bestFit="1" customWidth="1"/>
    <col min="2307" max="2307" width="21.6328125" style="502" customWidth="1"/>
    <col min="2308" max="2308" width="57.36328125" style="502" customWidth="1"/>
    <col min="2309" max="2309" width="73.453125" style="502" customWidth="1"/>
    <col min="2310" max="2310" width="70.6328125" style="502" bestFit="1" customWidth="1"/>
    <col min="2311" max="2560" width="9" style="502"/>
    <col min="2561" max="2561" width="9.08984375" style="502" customWidth="1"/>
    <col min="2562" max="2562" width="9.453125" style="502" bestFit="1" customWidth="1"/>
    <col min="2563" max="2563" width="21.6328125" style="502" customWidth="1"/>
    <col min="2564" max="2564" width="57.36328125" style="502" customWidth="1"/>
    <col min="2565" max="2565" width="73.453125" style="502" customWidth="1"/>
    <col min="2566" max="2566" width="70.6328125" style="502" bestFit="1" customWidth="1"/>
    <col min="2567" max="2816" width="9" style="502"/>
    <col min="2817" max="2817" width="9.08984375" style="502" customWidth="1"/>
    <col min="2818" max="2818" width="9.453125" style="502" bestFit="1" customWidth="1"/>
    <col min="2819" max="2819" width="21.6328125" style="502" customWidth="1"/>
    <col min="2820" max="2820" width="57.36328125" style="502" customWidth="1"/>
    <col min="2821" max="2821" width="73.453125" style="502" customWidth="1"/>
    <col min="2822" max="2822" width="70.6328125" style="502" bestFit="1" customWidth="1"/>
    <col min="2823" max="3072" width="9" style="502"/>
    <col min="3073" max="3073" width="9.08984375" style="502" customWidth="1"/>
    <col min="3074" max="3074" width="9.453125" style="502" bestFit="1" customWidth="1"/>
    <col min="3075" max="3075" width="21.6328125" style="502" customWidth="1"/>
    <col min="3076" max="3076" width="57.36328125" style="502" customWidth="1"/>
    <col min="3077" max="3077" width="73.453125" style="502" customWidth="1"/>
    <col min="3078" max="3078" width="70.6328125" style="502" bestFit="1" customWidth="1"/>
    <col min="3079" max="3328" width="9" style="502"/>
    <col min="3329" max="3329" width="9.08984375" style="502" customWidth="1"/>
    <col min="3330" max="3330" width="9.453125" style="502" bestFit="1" customWidth="1"/>
    <col min="3331" max="3331" width="21.6328125" style="502" customWidth="1"/>
    <col min="3332" max="3332" width="57.36328125" style="502" customWidth="1"/>
    <col min="3333" max="3333" width="73.453125" style="502" customWidth="1"/>
    <col min="3334" max="3334" width="70.6328125" style="502" bestFit="1" customWidth="1"/>
    <col min="3335" max="3584" width="9" style="502"/>
    <col min="3585" max="3585" width="9.08984375" style="502" customWidth="1"/>
    <col min="3586" max="3586" width="9.453125" style="502" bestFit="1" customWidth="1"/>
    <col min="3587" max="3587" width="21.6328125" style="502" customWidth="1"/>
    <col min="3588" max="3588" width="57.36328125" style="502" customWidth="1"/>
    <col min="3589" max="3589" width="73.453125" style="502" customWidth="1"/>
    <col min="3590" max="3590" width="70.6328125" style="502" bestFit="1" customWidth="1"/>
    <col min="3591" max="3840" width="9" style="502"/>
    <col min="3841" max="3841" width="9.08984375" style="502" customWidth="1"/>
    <col min="3842" max="3842" width="9.453125" style="502" bestFit="1" customWidth="1"/>
    <col min="3843" max="3843" width="21.6328125" style="502" customWidth="1"/>
    <col min="3844" max="3844" width="57.36328125" style="502" customWidth="1"/>
    <col min="3845" max="3845" width="73.453125" style="502" customWidth="1"/>
    <col min="3846" max="3846" width="70.6328125" style="502" bestFit="1" customWidth="1"/>
    <col min="3847" max="4096" width="9" style="502"/>
    <col min="4097" max="4097" width="9.08984375" style="502" customWidth="1"/>
    <col min="4098" max="4098" width="9.453125" style="502" bestFit="1" customWidth="1"/>
    <col min="4099" max="4099" width="21.6328125" style="502" customWidth="1"/>
    <col min="4100" max="4100" width="57.36328125" style="502" customWidth="1"/>
    <col min="4101" max="4101" width="73.453125" style="502" customWidth="1"/>
    <col min="4102" max="4102" width="70.6328125" style="502" bestFit="1" customWidth="1"/>
    <col min="4103" max="4352" width="9" style="502"/>
    <col min="4353" max="4353" width="9.08984375" style="502" customWidth="1"/>
    <col min="4354" max="4354" width="9.453125" style="502" bestFit="1" customWidth="1"/>
    <col min="4355" max="4355" width="21.6328125" style="502" customWidth="1"/>
    <col min="4356" max="4356" width="57.36328125" style="502" customWidth="1"/>
    <col min="4357" max="4357" width="73.453125" style="502" customWidth="1"/>
    <col min="4358" max="4358" width="70.6328125" style="502" bestFit="1" customWidth="1"/>
    <col min="4359" max="4608" width="9" style="502"/>
    <col min="4609" max="4609" width="9.08984375" style="502" customWidth="1"/>
    <col min="4610" max="4610" width="9.453125" style="502" bestFit="1" customWidth="1"/>
    <col min="4611" max="4611" width="21.6328125" style="502" customWidth="1"/>
    <col min="4612" max="4612" width="57.36328125" style="502" customWidth="1"/>
    <col min="4613" max="4613" width="73.453125" style="502" customWidth="1"/>
    <col min="4614" max="4614" width="70.6328125" style="502" bestFit="1" customWidth="1"/>
    <col min="4615" max="4864" width="9" style="502"/>
    <col min="4865" max="4865" width="9.08984375" style="502" customWidth="1"/>
    <col min="4866" max="4866" width="9.453125" style="502" bestFit="1" customWidth="1"/>
    <col min="4867" max="4867" width="21.6328125" style="502" customWidth="1"/>
    <col min="4868" max="4868" width="57.36328125" style="502" customWidth="1"/>
    <col min="4869" max="4869" width="73.453125" style="502" customWidth="1"/>
    <col min="4870" max="4870" width="70.6328125" style="502" bestFit="1" customWidth="1"/>
    <col min="4871" max="5120" width="9" style="502"/>
    <col min="5121" max="5121" width="9.08984375" style="502" customWidth="1"/>
    <col min="5122" max="5122" width="9.453125" style="502" bestFit="1" customWidth="1"/>
    <col min="5123" max="5123" width="21.6328125" style="502" customWidth="1"/>
    <col min="5124" max="5124" width="57.36328125" style="502" customWidth="1"/>
    <col min="5125" max="5125" width="73.453125" style="502" customWidth="1"/>
    <col min="5126" max="5126" width="70.6328125" style="502" bestFit="1" customWidth="1"/>
    <col min="5127" max="5376" width="9" style="502"/>
    <col min="5377" max="5377" width="9.08984375" style="502" customWidth="1"/>
    <col min="5378" max="5378" width="9.453125" style="502" bestFit="1" customWidth="1"/>
    <col min="5379" max="5379" width="21.6328125" style="502" customWidth="1"/>
    <col min="5380" max="5380" width="57.36328125" style="502" customWidth="1"/>
    <col min="5381" max="5381" width="73.453125" style="502" customWidth="1"/>
    <col min="5382" max="5382" width="70.6328125" style="502" bestFit="1" customWidth="1"/>
    <col min="5383" max="5632" width="9" style="502"/>
    <col min="5633" max="5633" width="9.08984375" style="502" customWidth="1"/>
    <col min="5634" max="5634" width="9.453125" style="502" bestFit="1" customWidth="1"/>
    <col min="5635" max="5635" width="21.6328125" style="502" customWidth="1"/>
    <col min="5636" max="5636" width="57.36328125" style="502" customWidth="1"/>
    <col min="5637" max="5637" width="73.453125" style="502" customWidth="1"/>
    <col min="5638" max="5638" width="70.6328125" style="502" bestFit="1" customWidth="1"/>
    <col min="5639" max="5888" width="9" style="502"/>
    <col min="5889" max="5889" width="9.08984375" style="502" customWidth="1"/>
    <col min="5890" max="5890" width="9.453125" style="502" bestFit="1" customWidth="1"/>
    <col min="5891" max="5891" width="21.6328125" style="502" customWidth="1"/>
    <col min="5892" max="5892" width="57.36328125" style="502" customWidth="1"/>
    <col min="5893" max="5893" width="73.453125" style="502" customWidth="1"/>
    <col min="5894" max="5894" width="70.6328125" style="502" bestFit="1" customWidth="1"/>
    <col min="5895" max="6144" width="9" style="502"/>
    <col min="6145" max="6145" width="9.08984375" style="502" customWidth="1"/>
    <col min="6146" max="6146" width="9.453125" style="502" bestFit="1" customWidth="1"/>
    <col min="6147" max="6147" width="21.6328125" style="502" customWidth="1"/>
    <col min="6148" max="6148" width="57.36328125" style="502" customWidth="1"/>
    <col min="6149" max="6149" width="73.453125" style="502" customWidth="1"/>
    <col min="6150" max="6150" width="70.6328125" style="502" bestFit="1" customWidth="1"/>
    <col min="6151" max="6400" width="9" style="502"/>
    <col min="6401" max="6401" width="9.08984375" style="502" customWidth="1"/>
    <col min="6402" max="6402" width="9.453125" style="502" bestFit="1" customWidth="1"/>
    <col min="6403" max="6403" width="21.6328125" style="502" customWidth="1"/>
    <col min="6404" max="6404" width="57.36328125" style="502" customWidth="1"/>
    <col min="6405" max="6405" width="73.453125" style="502" customWidth="1"/>
    <col min="6406" max="6406" width="70.6328125" style="502" bestFit="1" customWidth="1"/>
    <col min="6407" max="6656" width="9" style="502"/>
    <col min="6657" max="6657" width="9.08984375" style="502" customWidth="1"/>
    <col min="6658" max="6658" width="9.453125" style="502" bestFit="1" customWidth="1"/>
    <col min="6659" max="6659" width="21.6328125" style="502" customWidth="1"/>
    <col min="6660" max="6660" width="57.36328125" style="502" customWidth="1"/>
    <col min="6661" max="6661" width="73.453125" style="502" customWidth="1"/>
    <col min="6662" max="6662" width="70.6328125" style="502" bestFit="1" customWidth="1"/>
    <col min="6663" max="6912" width="9" style="502"/>
    <col min="6913" max="6913" width="9.08984375" style="502" customWidth="1"/>
    <col min="6914" max="6914" width="9.453125" style="502" bestFit="1" customWidth="1"/>
    <col min="6915" max="6915" width="21.6328125" style="502" customWidth="1"/>
    <col min="6916" max="6916" width="57.36328125" style="502" customWidth="1"/>
    <col min="6917" max="6917" width="73.453125" style="502" customWidth="1"/>
    <col min="6918" max="6918" width="70.6328125" style="502" bestFit="1" customWidth="1"/>
    <col min="6919" max="7168" width="9" style="502"/>
    <col min="7169" max="7169" width="9.08984375" style="502" customWidth="1"/>
    <col min="7170" max="7170" width="9.453125" style="502" bestFit="1" customWidth="1"/>
    <col min="7171" max="7171" width="21.6328125" style="502" customWidth="1"/>
    <col min="7172" max="7172" width="57.36328125" style="502" customWidth="1"/>
    <col min="7173" max="7173" width="73.453125" style="502" customWidth="1"/>
    <col min="7174" max="7174" width="70.6328125" style="502" bestFit="1" customWidth="1"/>
    <col min="7175" max="7424" width="9" style="502"/>
    <col min="7425" max="7425" width="9.08984375" style="502" customWidth="1"/>
    <col min="7426" max="7426" width="9.453125" style="502" bestFit="1" customWidth="1"/>
    <col min="7427" max="7427" width="21.6328125" style="502" customWidth="1"/>
    <col min="7428" max="7428" width="57.36328125" style="502" customWidth="1"/>
    <col min="7429" max="7429" width="73.453125" style="502" customWidth="1"/>
    <col min="7430" max="7430" width="70.6328125" style="502" bestFit="1" customWidth="1"/>
    <col min="7431" max="7680" width="9" style="502"/>
    <col min="7681" max="7681" width="9.08984375" style="502" customWidth="1"/>
    <col min="7682" max="7682" width="9.453125" style="502" bestFit="1" customWidth="1"/>
    <col min="7683" max="7683" width="21.6328125" style="502" customWidth="1"/>
    <col min="7684" max="7684" width="57.36328125" style="502" customWidth="1"/>
    <col min="7685" max="7685" width="73.453125" style="502" customWidth="1"/>
    <col min="7686" max="7686" width="70.6328125" style="502" bestFit="1" customWidth="1"/>
    <col min="7687" max="7936" width="9" style="502"/>
    <col min="7937" max="7937" width="9.08984375" style="502" customWidth="1"/>
    <col min="7938" max="7938" width="9.453125" style="502" bestFit="1" customWidth="1"/>
    <col min="7939" max="7939" width="21.6328125" style="502" customWidth="1"/>
    <col min="7940" max="7940" width="57.36328125" style="502" customWidth="1"/>
    <col min="7941" max="7941" width="73.453125" style="502" customWidth="1"/>
    <col min="7942" max="7942" width="70.6328125" style="502" bestFit="1" customWidth="1"/>
    <col min="7943" max="8192" width="9" style="502"/>
    <col min="8193" max="8193" width="9.08984375" style="502" customWidth="1"/>
    <col min="8194" max="8194" width="9.453125" style="502" bestFit="1" customWidth="1"/>
    <col min="8195" max="8195" width="21.6328125" style="502" customWidth="1"/>
    <col min="8196" max="8196" width="57.36328125" style="502" customWidth="1"/>
    <col min="8197" max="8197" width="73.453125" style="502" customWidth="1"/>
    <col min="8198" max="8198" width="70.6328125" style="502" bestFit="1" customWidth="1"/>
    <col min="8199" max="8448" width="9" style="502"/>
    <col min="8449" max="8449" width="9.08984375" style="502" customWidth="1"/>
    <col min="8450" max="8450" width="9.453125" style="502" bestFit="1" customWidth="1"/>
    <col min="8451" max="8451" width="21.6328125" style="502" customWidth="1"/>
    <col min="8452" max="8452" width="57.36328125" style="502" customWidth="1"/>
    <col min="8453" max="8453" width="73.453125" style="502" customWidth="1"/>
    <col min="8454" max="8454" width="70.6328125" style="502" bestFit="1" customWidth="1"/>
    <col min="8455" max="8704" width="9" style="502"/>
    <col min="8705" max="8705" width="9.08984375" style="502" customWidth="1"/>
    <col min="8706" max="8706" width="9.453125" style="502" bestFit="1" customWidth="1"/>
    <col min="8707" max="8707" width="21.6328125" style="502" customWidth="1"/>
    <col min="8708" max="8708" width="57.36328125" style="502" customWidth="1"/>
    <col min="8709" max="8709" width="73.453125" style="502" customWidth="1"/>
    <col min="8710" max="8710" width="70.6328125" style="502" bestFit="1" customWidth="1"/>
    <col min="8711" max="8960" width="9" style="502"/>
    <col min="8961" max="8961" width="9.08984375" style="502" customWidth="1"/>
    <col min="8962" max="8962" width="9.453125" style="502" bestFit="1" customWidth="1"/>
    <col min="8963" max="8963" width="21.6328125" style="502" customWidth="1"/>
    <col min="8964" max="8964" width="57.36328125" style="502" customWidth="1"/>
    <col min="8965" max="8965" width="73.453125" style="502" customWidth="1"/>
    <col min="8966" max="8966" width="70.6328125" style="502" bestFit="1" customWidth="1"/>
    <col min="8967" max="9216" width="9" style="502"/>
    <col min="9217" max="9217" width="9.08984375" style="502" customWidth="1"/>
    <col min="9218" max="9218" width="9.453125" style="502" bestFit="1" customWidth="1"/>
    <col min="9219" max="9219" width="21.6328125" style="502" customWidth="1"/>
    <col min="9220" max="9220" width="57.36328125" style="502" customWidth="1"/>
    <col min="9221" max="9221" width="73.453125" style="502" customWidth="1"/>
    <col min="9222" max="9222" width="70.6328125" style="502" bestFit="1" customWidth="1"/>
    <col min="9223" max="9472" width="9" style="502"/>
    <col min="9473" max="9473" width="9.08984375" style="502" customWidth="1"/>
    <col min="9474" max="9474" width="9.453125" style="502" bestFit="1" customWidth="1"/>
    <col min="9475" max="9475" width="21.6328125" style="502" customWidth="1"/>
    <col min="9476" max="9476" width="57.36328125" style="502" customWidth="1"/>
    <col min="9477" max="9477" width="73.453125" style="502" customWidth="1"/>
    <col min="9478" max="9478" width="70.6328125" style="502" bestFit="1" customWidth="1"/>
    <col min="9479" max="9728" width="9" style="502"/>
    <col min="9729" max="9729" width="9.08984375" style="502" customWidth="1"/>
    <col min="9730" max="9730" width="9.453125" style="502" bestFit="1" customWidth="1"/>
    <col min="9731" max="9731" width="21.6328125" style="502" customWidth="1"/>
    <col min="9732" max="9732" width="57.36328125" style="502" customWidth="1"/>
    <col min="9733" max="9733" width="73.453125" style="502" customWidth="1"/>
    <col min="9734" max="9734" width="70.6328125" style="502" bestFit="1" customWidth="1"/>
    <col min="9735" max="9984" width="9" style="502"/>
    <col min="9985" max="9985" width="9.08984375" style="502" customWidth="1"/>
    <col min="9986" max="9986" width="9.453125" style="502" bestFit="1" customWidth="1"/>
    <col min="9987" max="9987" width="21.6328125" style="502" customWidth="1"/>
    <col min="9988" max="9988" width="57.36328125" style="502" customWidth="1"/>
    <col min="9989" max="9989" width="73.453125" style="502" customWidth="1"/>
    <col min="9990" max="9990" width="70.6328125" style="502" bestFit="1" customWidth="1"/>
    <col min="9991" max="10240" width="9" style="502"/>
    <col min="10241" max="10241" width="9.08984375" style="502" customWidth="1"/>
    <col min="10242" max="10242" width="9.453125" style="502" bestFit="1" customWidth="1"/>
    <col min="10243" max="10243" width="21.6328125" style="502" customWidth="1"/>
    <col min="10244" max="10244" width="57.36328125" style="502" customWidth="1"/>
    <col min="10245" max="10245" width="73.453125" style="502" customWidth="1"/>
    <col min="10246" max="10246" width="70.6328125" style="502" bestFit="1" customWidth="1"/>
    <col min="10247" max="10496" width="9" style="502"/>
    <col min="10497" max="10497" width="9.08984375" style="502" customWidth="1"/>
    <col min="10498" max="10498" width="9.453125" style="502" bestFit="1" customWidth="1"/>
    <col min="10499" max="10499" width="21.6328125" style="502" customWidth="1"/>
    <col min="10500" max="10500" width="57.36328125" style="502" customWidth="1"/>
    <col min="10501" max="10501" width="73.453125" style="502" customWidth="1"/>
    <col min="10502" max="10502" width="70.6328125" style="502" bestFit="1" customWidth="1"/>
    <col min="10503" max="10752" width="9" style="502"/>
    <col min="10753" max="10753" width="9.08984375" style="502" customWidth="1"/>
    <col min="10754" max="10754" width="9.453125" style="502" bestFit="1" customWidth="1"/>
    <col min="10755" max="10755" width="21.6328125" style="502" customWidth="1"/>
    <col min="10756" max="10756" width="57.36328125" style="502" customWidth="1"/>
    <col min="10757" max="10757" width="73.453125" style="502" customWidth="1"/>
    <col min="10758" max="10758" width="70.6328125" style="502" bestFit="1" customWidth="1"/>
    <col min="10759" max="11008" width="9" style="502"/>
    <col min="11009" max="11009" width="9.08984375" style="502" customWidth="1"/>
    <col min="11010" max="11010" width="9.453125" style="502" bestFit="1" customWidth="1"/>
    <col min="11011" max="11011" width="21.6328125" style="502" customWidth="1"/>
    <col min="11012" max="11012" width="57.36328125" style="502" customWidth="1"/>
    <col min="11013" max="11013" width="73.453125" style="502" customWidth="1"/>
    <col min="11014" max="11014" width="70.6328125" style="502" bestFit="1" customWidth="1"/>
    <col min="11015" max="11264" width="9" style="502"/>
    <col min="11265" max="11265" width="9.08984375" style="502" customWidth="1"/>
    <col min="11266" max="11266" width="9.453125" style="502" bestFit="1" customWidth="1"/>
    <col min="11267" max="11267" width="21.6328125" style="502" customWidth="1"/>
    <col min="11268" max="11268" width="57.36328125" style="502" customWidth="1"/>
    <col min="11269" max="11269" width="73.453125" style="502" customWidth="1"/>
    <col min="11270" max="11270" width="70.6328125" style="502" bestFit="1" customWidth="1"/>
    <col min="11271" max="11520" width="9" style="502"/>
    <col min="11521" max="11521" width="9.08984375" style="502" customWidth="1"/>
    <col min="11522" max="11522" width="9.453125" style="502" bestFit="1" customWidth="1"/>
    <col min="11523" max="11523" width="21.6328125" style="502" customWidth="1"/>
    <col min="11524" max="11524" width="57.36328125" style="502" customWidth="1"/>
    <col min="11525" max="11525" width="73.453125" style="502" customWidth="1"/>
    <col min="11526" max="11526" width="70.6328125" style="502" bestFit="1" customWidth="1"/>
    <col min="11527" max="11776" width="9" style="502"/>
    <col min="11777" max="11777" width="9.08984375" style="502" customWidth="1"/>
    <col min="11778" max="11778" width="9.453125" style="502" bestFit="1" customWidth="1"/>
    <col min="11779" max="11779" width="21.6328125" style="502" customWidth="1"/>
    <col min="11780" max="11780" width="57.36328125" style="502" customWidth="1"/>
    <col min="11781" max="11781" width="73.453125" style="502" customWidth="1"/>
    <col min="11782" max="11782" width="70.6328125" style="502" bestFit="1" customWidth="1"/>
    <col min="11783" max="12032" width="9" style="502"/>
    <col min="12033" max="12033" width="9.08984375" style="502" customWidth="1"/>
    <col min="12034" max="12034" width="9.453125" style="502" bestFit="1" customWidth="1"/>
    <col min="12035" max="12035" width="21.6328125" style="502" customWidth="1"/>
    <col min="12036" max="12036" width="57.36328125" style="502" customWidth="1"/>
    <col min="12037" max="12037" width="73.453125" style="502" customWidth="1"/>
    <col min="12038" max="12038" width="70.6328125" style="502" bestFit="1" customWidth="1"/>
    <col min="12039" max="12288" width="9" style="502"/>
    <col min="12289" max="12289" width="9.08984375" style="502" customWidth="1"/>
    <col min="12290" max="12290" width="9.453125" style="502" bestFit="1" customWidth="1"/>
    <col min="12291" max="12291" width="21.6328125" style="502" customWidth="1"/>
    <col min="12292" max="12292" width="57.36328125" style="502" customWidth="1"/>
    <col min="12293" max="12293" width="73.453125" style="502" customWidth="1"/>
    <col min="12294" max="12294" width="70.6328125" style="502" bestFit="1" customWidth="1"/>
    <col min="12295" max="12544" width="9" style="502"/>
    <col min="12545" max="12545" width="9.08984375" style="502" customWidth="1"/>
    <col min="12546" max="12546" width="9.453125" style="502" bestFit="1" customWidth="1"/>
    <col min="12547" max="12547" width="21.6328125" style="502" customWidth="1"/>
    <col min="12548" max="12548" width="57.36328125" style="502" customWidth="1"/>
    <col min="12549" max="12549" width="73.453125" style="502" customWidth="1"/>
    <col min="12550" max="12550" width="70.6328125" style="502" bestFit="1" customWidth="1"/>
    <col min="12551" max="12800" width="9" style="502"/>
    <col min="12801" max="12801" width="9.08984375" style="502" customWidth="1"/>
    <col min="12802" max="12802" width="9.453125" style="502" bestFit="1" customWidth="1"/>
    <col min="12803" max="12803" width="21.6328125" style="502" customWidth="1"/>
    <col min="12804" max="12804" width="57.36328125" style="502" customWidth="1"/>
    <col min="12805" max="12805" width="73.453125" style="502" customWidth="1"/>
    <col min="12806" max="12806" width="70.6328125" style="502" bestFit="1" customWidth="1"/>
    <col min="12807" max="13056" width="9" style="502"/>
    <col min="13057" max="13057" width="9.08984375" style="502" customWidth="1"/>
    <col min="13058" max="13058" width="9.453125" style="502" bestFit="1" customWidth="1"/>
    <col min="13059" max="13059" width="21.6328125" style="502" customWidth="1"/>
    <col min="13060" max="13060" width="57.36328125" style="502" customWidth="1"/>
    <col min="13061" max="13061" width="73.453125" style="502" customWidth="1"/>
    <col min="13062" max="13062" width="70.6328125" style="502" bestFit="1" customWidth="1"/>
    <col min="13063" max="13312" width="9" style="502"/>
    <col min="13313" max="13313" width="9.08984375" style="502" customWidth="1"/>
    <col min="13314" max="13314" width="9.453125" style="502" bestFit="1" customWidth="1"/>
    <col min="13315" max="13315" width="21.6328125" style="502" customWidth="1"/>
    <col min="13316" max="13316" width="57.36328125" style="502" customWidth="1"/>
    <col min="13317" max="13317" width="73.453125" style="502" customWidth="1"/>
    <col min="13318" max="13318" width="70.6328125" style="502" bestFit="1" customWidth="1"/>
    <col min="13319" max="13568" width="9" style="502"/>
    <col min="13569" max="13569" width="9.08984375" style="502" customWidth="1"/>
    <col min="13570" max="13570" width="9.453125" style="502" bestFit="1" customWidth="1"/>
    <col min="13571" max="13571" width="21.6328125" style="502" customWidth="1"/>
    <col min="13572" max="13572" width="57.36328125" style="502" customWidth="1"/>
    <col min="13573" max="13573" width="73.453125" style="502" customWidth="1"/>
    <col min="13574" max="13574" width="70.6328125" style="502" bestFit="1" customWidth="1"/>
    <col min="13575" max="13824" width="9" style="502"/>
    <col min="13825" max="13825" width="9.08984375" style="502" customWidth="1"/>
    <col min="13826" max="13826" width="9.453125" style="502" bestFit="1" customWidth="1"/>
    <col min="13827" max="13827" width="21.6328125" style="502" customWidth="1"/>
    <col min="13828" max="13828" width="57.36328125" style="502" customWidth="1"/>
    <col min="13829" max="13829" width="73.453125" style="502" customWidth="1"/>
    <col min="13830" max="13830" width="70.6328125" style="502" bestFit="1" customWidth="1"/>
    <col min="13831" max="14080" width="9" style="502"/>
    <col min="14081" max="14081" width="9.08984375" style="502" customWidth="1"/>
    <col min="14082" max="14082" width="9.453125" style="502" bestFit="1" customWidth="1"/>
    <col min="14083" max="14083" width="21.6328125" style="502" customWidth="1"/>
    <col min="14084" max="14084" width="57.36328125" style="502" customWidth="1"/>
    <col min="14085" max="14085" width="73.453125" style="502" customWidth="1"/>
    <col min="14086" max="14086" width="70.6328125" style="502" bestFit="1" customWidth="1"/>
    <col min="14087" max="14336" width="9" style="502"/>
    <col min="14337" max="14337" width="9.08984375" style="502" customWidth="1"/>
    <col min="14338" max="14338" width="9.453125" style="502" bestFit="1" customWidth="1"/>
    <col min="14339" max="14339" width="21.6328125" style="502" customWidth="1"/>
    <col min="14340" max="14340" width="57.36328125" style="502" customWidth="1"/>
    <col min="14341" max="14341" width="73.453125" style="502" customWidth="1"/>
    <col min="14342" max="14342" width="70.6328125" style="502" bestFit="1" customWidth="1"/>
    <col min="14343" max="14592" width="9" style="502"/>
    <col min="14593" max="14593" width="9.08984375" style="502" customWidth="1"/>
    <col min="14594" max="14594" width="9.453125" style="502" bestFit="1" customWidth="1"/>
    <col min="14595" max="14595" width="21.6328125" style="502" customWidth="1"/>
    <col min="14596" max="14596" width="57.36328125" style="502" customWidth="1"/>
    <col min="14597" max="14597" width="73.453125" style="502" customWidth="1"/>
    <col min="14598" max="14598" width="70.6328125" style="502" bestFit="1" customWidth="1"/>
    <col min="14599" max="14848" width="9" style="502"/>
    <col min="14849" max="14849" width="9.08984375" style="502" customWidth="1"/>
    <col min="14850" max="14850" width="9.453125" style="502" bestFit="1" customWidth="1"/>
    <col min="14851" max="14851" width="21.6328125" style="502" customWidth="1"/>
    <col min="14852" max="14852" width="57.36328125" style="502" customWidth="1"/>
    <col min="14853" max="14853" width="73.453125" style="502" customWidth="1"/>
    <col min="14854" max="14854" width="70.6328125" style="502" bestFit="1" customWidth="1"/>
    <col min="14855" max="15104" width="9" style="502"/>
    <col min="15105" max="15105" width="9.08984375" style="502" customWidth="1"/>
    <col min="15106" max="15106" width="9.453125" style="502" bestFit="1" customWidth="1"/>
    <col min="15107" max="15107" width="21.6328125" style="502" customWidth="1"/>
    <col min="15108" max="15108" width="57.36328125" style="502" customWidth="1"/>
    <col min="15109" max="15109" width="73.453125" style="502" customWidth="1"/>
    <col min="15110" max="15110" width="70.6328125" style="502" bestFit="1" customWidth="1"/>
    <col min="15111" max="15360" width="9" style="502"/>
    <col min="15361" max="15361" width="9.08984375" style="502" customWidth="1"/>
    <col min="15362" max="15362" width="9.453125" style="502" bestFit="1" customWidth="1"/>
    <col min="15363" max="15363" width="21.6328125" style="502" customWidth="1"/>
    <col min="15364" max="15364" width="57.36328125" style="502" customWidth="1"/>
    <col min="15365" max="15365" width="73.453125" style="502" customWidth="1"/>
    <col min="15366" max="15366" width="70.6328125" style="502" bestFit="1" customWidth="1"/>
    <col min="15367" max="15616" width="9" style="502"/>
    <col min="15617" max="15617" width="9.08984375" style="502" customWidth="1"/>
    <col min="15618" max="15618" width="9.453125" style="502" bestFit="1" customWidth="1"/>
    <col min="15619" max="15619" width="21.6328125" style="502" customWidth="1"/>
    <col min="15620" max="15620" width="57.36328125" style="502" customWidth="1"/>
    <col min="15621" max="15621" width="73.453125" style="502" customWidth="1"/>
    <col min="15622" max="15622" width="70.6328125" style="502" bestFit="1" customWidth="1"/>
    <col min="15623" max="15872" width="9" style="502"/>
    <col min="15873" max="15873" width="9.08984375" style="502" customWidth="1"/>
    <col min="15874" max="15874" width="9.453125" style="502" bestFit="1" customWidth="1"/>
    <col min="15875" max="15875" width="21.6328125" style="502" customWidth="1"/>
    <col min="15876" max="15876" width="57.36328125" style="502" customWidth="1"/>
    <col min="15877" max="15877" width="73.453125" style="502" customWidth="1"/>
    <col min="15878" max="15878" width="70.6328125" style="502" bestFit="1" customWidth="1"/>
    <col min="15879" max="16128" width="9" style="502"/>
    <col min="16129" max="16129" width="9.08984375" style="502" customWidth="1"/>
    <col min="16130" max="16130" width="9.453125" style="502" bestFit="1" customWidth="1"/>
    <col min="16131" max="16131" width="21.6328125" style="502" customWidth="1"/>
    <col min="16132" max="16132" width="57.36328125" style="502" customWidth="1"/>
    <col min="16133" max="16133" width="73.453125" style="502" customWidth="1"/>
    <col min="16134" max="16134" width="70.6328125" style="502" bestFit="1" customWidth="1"/>
    <col min="16135" max="16384" width="9" style="502"/>
  </cols>
  <sheetData>
    <row r="1" spans="1:8">
      <c r="E1" s="583" t="s">
        <v>1073</v>
      </c>
      <c r="F1" s="583" t="s">
        <v>1887</v>
      </c>
      <c r="G1" s="583" t="s">
        <v>1887</v>
      </c>
      <c r="H1" s="584" t="s">
        <v>1887</v>
      </c>
    </row>
    <row r="2" spans="1:8" ht="26.5">
      <c r="B2" s="528" t="s">
        <v>1886</v>
      </c>
    </row>
    <row r="4" spans="1:8">
      <c r="B4" s="527" t="s">
        <v>1885</v>
      </c>
      <c r="C4" s="529" t="str">
        <f ca="1">IF(G5=0,"該当する業種を一覧の中からご選択ください。",OFFSET(C6,G5,0))</f>
        <v>該当する業種を一覧の中からご選択ください。</v>
      </c>
      <c r="D4" s="532" t="str">
        <f>IF(H5=1,"チェックシートのご入力が必要です。","")</f>
        <v/>
      </c>
      <c r="G4" s="1334">
        <f ca="1">IF(G5=0,0,OFFSET(G6,G5,0))</f>
        <v>0</v>
      </c>
      <c r="H4" s="531">
        <f>【楽天Edy用記入シート】チェックシート!J3</f>
        <v>25</v>
      </c>
    </row>
    <row r="5" spans="1:8">
      <c r="G5" s="526">
        <v>0</v>
      </c>
      <c r="H5" s="533" t="str">
        <f>IF(G5=0,"",IF(VLOOKUP(G4,G7:H117,2,FALSE)="必要",1,0))</f>
        <v/>
      </c>
    </row>
    <row r="6" spans="1:8" ht="30">
      <c r="B6" s="524" t="s">
        <v>1884</v>
      </c>
      <c r="C6" s="507" t="s">
        <v>1883</v>
      </c>
      <c r="D6" s="507" t="s">
        <v>1460</v>
      </c>
      <c r="E6" s="507" t="s">
        <v>1461</v>
      </c>
      <c r="F6" s="504" t="s">
        <v>1458</v>
      </c>
      <c r="G6" s="505" t="s">
        <v>1459</v>
      </c>
      <c r="H6" s="506" t="s">
        <v>1882</v>
      </c>
    </row>
    <row r="7" spans="1:8" ht="16">
      <c r="A7" s="582"/>
      <c r="B7" s="523"/>
      <c r="C7" s="513" t="s">
        <v>1465</v>
      </c>
      <c r="D7" s="513" t="s">
        <v>1466</v>
      </c>
      <c r="E7" s="513" t="s">
        <v>1880</v>
      </c>
      <c r="F7" s="502" t="s">
        <v>1879</v>
      </c>
      <c r="G7" s="508" t="s">
        <v>1463</v>
      </c>
      <c r="H7" s="517"/>
    </row>
    <row r="8" spans="1:8" ht="16">
      <c r="A8" s="582"/>
      <c r="B8" s="523"/>
      <c r="C8" s="513" t="s">
        <v>1468</v>
      </c>
      <c r="D8" s="513" t="s">
        <v>1469</v>
      </c>
      <c r="E8" s="513" t="s">
        <v>1470</v>
      </c>
      <c r="F8" s="502" t="s">
        <v>1462</v>
      </c>
      <c r="G8" s="509" t="s">
        <v>1467</v>
      </c>
      <c r="H8" s="517"/>
    </row>
    <row r="9" spans="1:8" ht="16">
      <c r="A9" s="582"/>
      <c r="B9" s="523"/>
      <c r="C9" s="513" t="s">
        <v>1472</v>
      </c>
      <c r="D9" s="513" t="s">
        <v>1473</v>
      </c>
      <c r="E9" s="513" t="s">
        <v>1474</v>
      </c>
      <c r="F9" s="502" t="s">
        <v>1462</v>
      </c>
      <c r="G9" s="509" t="s">
        <v>1471</v>
      </c>
      <c r="H9" s="517" t="s">
        <v>1464</v>
      </c>
    </row>
    <row r="10" spans="1:8" ht="16">
      <c r="A10" s="582"/>
      <c r="B10" s="523"/>
      <c r="C10" s="513" t="s">
        <v>1476</v>
      </c>
      <c r="D10" s="513" t="s">
        <v>1477</v>
      </c>
      <c r="E10" s="513" t="s">
        <v>1470</v>
      </c>
      <c r="F10" s="502" t="s">
        <v>1462</v>
      </c>
      <c r="G10" s="509" t="s">
        <v>1475</v>
      </c>
      <c r="H10" s="517" t="s">
        <v>1464</v>
      </c>
    </row>
    <row r="11" spans="1:8" ht="16">
      <c r="A11" s="582"/>
      <c r="B11" s="523"/>
      <c r="C11" s="513" t="s">
        <v>1479</v>
      </c>
      <c r="D11" s="513" t="s">
        <v>1480</v>
      </c>
      <c r="E11" s="513" t="s">
        <v>1470</v>
      </c>
      <c r="F11" s="502" t="s">
        <v>1462</v>
      </c>
      <c r="G11" s="509" t="s">
        <v>1478</v>
      </c>
      <c r="H11" s="517" t="s">
        <v>1464</v>
      </c>
    </row>
    <row r="12" spans="1:8" ht="16">
      <c r="A12" s="582"/>
      <c r="B12" s="523"/>
      <c r="C12" s="513" t="s">
        <v>1482</v>
      </c>
      <c r="D12" s="513" t="s">
        <v>1483</v>
      </c>
      <c r="E12" s="513" t="s">
        <v>1484</v>
      </c>
      <c r="F12" s="502" t="s">
        <v>1462</v>
      </c>
      <c r="G12" s="509" t="s">
        <v>1481</v>
      </c>
      <c r="H12" s="517" t="s">
        <v>1464</v>
      </c>
    </row>
    <row r="13" spans="1:8" ht="16">
      <c r="A13" s="582"/>
      <c r="B13" s="523"/>
      <c r="C13" s="514" t="s">
        <v>1487</v>
      </c>
      <c r="D13" s="518" t="s">
        <v>1488</v>
      </c>
      <c r="E13" s="514" t="s">
        <v>1470</v>
      </c>
      <c r="F13" s="502" t="s">
        <v>1462</v>
      </c>
      <c r="G13" s="509" t="s">
        <v>1485</v>
      </c>
      <c r="H13" s="517" t="s">
        <v>1486</v>
      </c>
    </row>
    <row r="14" spans="1:8" ht="16">
      <c r="A14" s="582"/>
      <c r="B14" s="523"/>
      <c r="C14" s="514" t="s">
        <v>1490</v>
      </c>
      <c r="D14" s="514" t="s">
        <v>1491</v>
      </c>
      <c r="E14" s="514" t="s">
        <v>1492</v>
      </c>
      <c r="F14" s="502" t="s">
        <v>1462</v>
      </c>
      <c r="G14" s="509" t="s">
        <v>1489</v>
      </c>
      <c r="H14" s="517" t="s">
        <v>1890</v>
      </c>
    </row>
    <row r="15" spans="1:8" ht="16">
      <c r="A15" s="582"/>
      <c r="B15" s="523"/>
      <c r="C15" s="513" t="s">
        <v>1493</v>
      </c>
      <c r="D15" s="513" t="s">
        <v>1494</v>
      </c>
      <c r="E15" s="513" t="s">
        <v>1878</v>
      </c>
      <c r="F15" s="502" t="s">
        <v>1462</v>
      </c>
      <c r="G15" s="509" t="s">
        <v>1881</v>
      </c>
      <c r="H15" s="517" t="s">
        <v>1464</v>
      </c>
    </row>
    <row r="16" spans="1:8" ht="16">
      <c r="A16" s="582"/>
      <c r="B16" s="523"/>
      <c r="C16" s="513" t="s">
        <v>1495</v>
      </c>
      <c r="D16" s="513" t="s">
        <v>1496</v>
      </c>
      <c r="E16" s="513" t="s">
        <v>1497</v>
      </c>
      <c r="F16" s="502" t="s">
        <v>1462</v>
      </c>
      <c r="G16" s="510" t="s">
        <v>1877</v>
      </c>
      <c r="H16" s="517" t="s">
        <v>1464</v>
      </c>
    </row>
    <row r="17" spans="1:8" ht="16">
      <c r="A17" s="582"/>
      <c r="B17" s="523"/>
      <c r="C17" s="513" t="s">
        <v>1499</v>
      </c>
      <c r="D17" s="513" t="s">
        <v>1500</v>
      </c>
      <c r="E17" s="513" t="s">
        <v>1470</v>
      </c>
      <c r="F17" s="502" t="s">
        <v>1462</v>
      </c>
      <c r="G17" s="509" t="s">
        <v>1498</v>
      </c>
      <c r="H17" s="517" t="s">
        <v>1464</v>
      </c>
    </row>
    <row r="18" spans="1:8" ht="16">
      <c r="A18" s="582"/>
      <c r="B18" s="523"/>
      <c r="C18" s="513" t="s">
        <v>1502</v>
      </c>
      <c r="D18" s="513" t="s">
        <v>1503</v>
      </c>
      <c r="E18" s="513" t="s">
        <v>1504</v>
      </c>
      <c r="F18" s="502" t="s">
        <v>1462</v>
      </c>
      <c r="G18" s="509" t="s">
        <v>1501</v>
      </c>
      <c r="H18" s="517" t="s">
        <v>1464</v>
      </c>
    </row>
    <row r="19" spans="1:8" ht="16">
      <c r="A19" s="582"/>
      <c r="B19" s="523"/>
      <c r="C19" s="513" t="s">
        <v>1506</v>
      </c>
      <c r="D19" s="513" t="s">
        <v>1507</v>
      </c>
      <c r="E19" s="513" t="s">
        <v>1470</v>
      </c>
      <c r="F19" s="502" t="s">
        <v>1462</v>
      </c>
      <c r="G19" s="509" t="s">
        <v>1505</v>
      </c>
      <c r="H19" s="517" t="s">
        <v>1464</v>
      </c>
    </row>
    <row r="20" spans="1:8" ht="16">
      <c r="A20" s="582"/>
      <c r="B20" s="523"/>
      <c r="C20" s="513" t="s">
        <v>1509</v>
      </c>
      <c r="D20" s="513" t="s">
        <v>1510</v>
      </c>
      <c r="E20" s="513" t="s">
        <v>1511</v>
      </c>
      <c r="F20" s="502" t="s">
        <v>1462</v>
      </c>
      <c r="G20" s="509" t="s">
        <v>1508</v>
      </c>
      <c r="H20" s="517" t="s">
        <v>1464</v>
      </c>
    </row>
    <row r="21" spans="1:8" ht="16">
      <c r="A21" s="582"/>
      <c r="B21" s="523"/>
      <c r="C21" s="513" t="s">
        <v>1513</v>
      </c>
      <c r="D21" s="513" t="s">
        <v>1514</v>
      </c>
      <c r="E21" s="513" t="s">
        <v>1515</v>
      </c>
      <c r="F21" s="502" t="s">
        <v>1462</v>
      </c>
      <c r="G21" s="509" t="s">
        <v>1512</v>
      </c>
      <c r="H21" s="517" t="s">
        <v>1464</v>
      </c>
    </row>
    <row r="22" spans="1:8" ht="16">
      <c r="A22" s="582"/>
      <c r="B22" s="523"/>
      <c r="C22" s="513" t="s">
        <v>1517</v>
      </c>
      <c r="D22" s="513" t="s">
        <v>1518</v>
      </c>
      <c r="E22" s="513" t="s">
        <v>1519</v>
      </c>
      <c r="F22" s="502" t="s">
        <v>1462</v>
      </c>
      <c r="G22" s="509" t="s">
        <v>1516</v>
      </c>
      <c r="H22" s="517" t="s">
        <v>1464</v>
      </c>
    </row>
    <row r="23" spans="1:8" ht="16">
      <c r="A23" s="582"/>
      <c r="B23" s="523"/>
      <c r="C23" s="513" t="s">
        <v>1521</v>
      </c>
      <c r="D23" s="513" t="s">
        <v>1522</v>
      </c>
      <c r="E23" s="513" t="s">
        <v>1523</v>
      </c>
      <c r="F23" s="502" t="s">
        <v>1462</v>
      </c>
      <c r="G23" s="509" t="s">
        <v>1520</v>
      </c>
      <c r="H23" s="517" t="s">
        <v>1464</v>
      </c>
    </row>
    <row r="24" spans="1:8" ht="16">
      <c r="A24" s="582"/>
      <c r="B24" s="523"/>
      <c r="C24" s="513" t="s">
        <v>1525</v>
      </c>
      <c r="D24" s="513" t="s">
        <v>1526</v>
      </c>
      <c r="E24" s="513" t="s">
        <v>1527</v>
      </c>
      <c r="F24" s="502" t="s">
        <v>1462</v>
      </c>
      <c r="G24" s="509" t="s">
        <v>1524</v>
      </c>
      <c r="H24" s="517" t="s">
        <v>1464</v>
      </c>
    </row>
    <row r="25" spans="1:8" ht="16">
      <c r="A25" s="582"/>
      <c r="B25" s="523"/>
      <c r="C25" s="513" t="s">
        <v>1529</v>
      </c>
      <c r="D25" s="513" t="s">
        <v>1530</v>
      </c>
      <c r="E25" s="513" t="s">
        <v>1531</v>
      </c>
      <c r="F25" s="502" t="s">
        <v>1462</v>
      </c>
      <c r="G25" s="511" t="s">
        <v>1528</v>
      </c>
      <c r="H25" s="517" t="s">
        <v>1464</v>
      </c>
    </row>
    <row r="26" spans="1:8" ht="16">
      <c r="A26" s="582"/>
      <c r="B26" s="523"/>
      <c r="C26" s="513" t="s">
        <v>1533</v>
      </c>
      <c r="D26" s="513" t="s">
        <v>1534</v>
      </c>
      <c r="E26" s="513" t="s">
        <v>1535</v>
      </c>
      <c r="F26" s="502" t="s">
        <v>1462</v>
      </c>
      <c r="G26" s="509" t="s">
        <v>1532</v>
      </c>
      <c r="H26" s="517" t="s">
        <v>1464</v>
      </c>
    </row>
    <row r="27" spans="1:8" ht="16">
      <c r="A27" s="582"/>
      <c r="B27" s="523"/>
      <c r="C27" s="513" t="s">
        <v>1537</v>
      </c>
      <c r="D27" s="513" t="s">
        <v>1538</v>
      </c>
      <c r="E27" s="513" t="s">
        <v>1539</v>
      </c>
      <c r="F27" s="502" t="s">
        <v>1462</v>
      </c>
      <c r="G27" s="509" t="s">
        <v>1536</v>
      </c>
      <c r="H27" s="517" t="s">
        <v>1464</v>
      </c>
    </row>
    <row r="28" spans="1:8" ht="16">
      <c r="A28" s="582"/>
      <c r="B28" s="523"/>
      <c r="C28" s="513" t="s">
        <v>1541</v>
      </c>
      <c r="D28" s="513" t="s">
        <v>1542</v>
      </c>
      <c r="E28" s="513" t="s">
        <v>1543</v>
      </c>
      <c r="F28" s="502" t="s">
        <v>1462</v>
      </c>
      <c r="G28" s="509" t="s">
        <v>1540</v>
      </c>
      <c r="H28" s="517" t="s">
        <v>1464</v>
      </c>
    </row>
    <row r="29" spans="1:8" ht="16">
      <c r="A29" s="582"/>
      <c r="B29" s="523"/>
      <c r="C29" s="513" t="s">
        <v>1545</v>
      </c>
      <c r="D29" s="513" t="s">
        <v>1546</v>
      </c>
      <c r="E29" s="513" t="s">
        <v>1470</v>
      </c>
      <c r="F29" s="502" t="s">
        <v>1462</v>
      </c>
      <c r="G29" s="509" t="s">
        <v>1544</v>
      </c>
      <c r="H29" s="517" t="s">
        <v>1464</v>
      </c>
    </row>
    <row r="30" spans="1:8" ht="16">
      <c r="A30" s="582"/>
      <c r="B30" s="523"/>
      <c r="C30" s="513" t="s">
        <v>1548</v>
      </c>
      <c r="D30" s="513" t="s">
        <v>1549</v>
      </c>
      <c r="E30" s="513" t="s">
        <v>1550</v>
      </c>
      <c r="F30" s="502" t="s">
        <v>1462</v>
      </c>
      <c r="G30" s="509" t="s">
        <v>1547</v>
      </c>
      <c r="H30" s="517" t="s">
        <v>1464</v>
      </c>
    </row>
    <row r="31" spans="1:8" ht="16">
      <c r="A31" s="582"/>
      <c r="B31" s="523"/>
      <c r="C31" s="513" t="s">
        <v>1552</v>
      </c>
      <c r="D31" s="513" t="s">
        <v>1553</v>
      </c>
      <c r="E31" s="513" t="s">
        <v>1470</v>
      </c>
      <c r="F31" s="502" t="s">
        <v>1462</v>
      </c>
      <c r="G31" s="509" t="s">
        <v>1551</v>
      </c>
      <c r="H31" s="517" t="s">
        <v>1464</v>
      </c>
    </row>
    <row r="32" spans="1:8" ht="16">
      <c r="A32" s="582"/>
      <c r="B32" s="523"/>
      <c r="C32" s="513" t="s">
        <v>1555</v>
      </c>
      <c r="D32" s="513" t="s">
        <v>1556</v>
      </c>
      <c r="E32" s="513" t="s">
        <v>1557</v>
      </c>
      <c r="F32" s="502" t="s">
        <v>1462</v>
      </c>
      <c r="G32" s="509" t="s">
        <v>1554</v>
      </c>
      <c r="H32" s="517" t="s">
        <v>1464</v>
      </c>
    </row>
    <row r="33" spans="1:8" ht="16">
      <c r="A33" s="582"/>
      <c r="B33" s="523"/>
      <c r="C33" s="513" t="s">
        <v>1559</v>
      </c>
      <c r="D33" s="513" t="s">
        <v>1560</v>
      </c>
      <c r="E33" s="513" t="s">
        <v>1561</v>
      </c>
      <c r="F33" s="502" t="s">
        <v>1462</v>
      </c>
      <c r="G33" s="509" t="s">
        <v>1558</v>
      </c>
      <c r="H33" s="517" t="s">
        <v>1464</v>
      </c>
    </row>
    <row r="34" spans="1:8" ht="16">
      <c r="A34" s="582"/>
      <c r="B34" s="523"/>
      <c r="C34" s="513" t="s">
        <v>1563</v>
      </c>
      <c r="D34" s="513" t="s">
        <v>1564</v>
      </c>
      <c r="E34" s="513" t="s">
        <v>1565</v>
      </c>
      <c r="F34" s="502" t="s">
        <v>1462</v>
      </c>
      <c r="G34" s="509" t="s">
        <v>1562</v>
      </c>
      <c r="H34" s="517" t="s">
        <v>1464</v>
      </c>
    </row>
    <row r="35" spans="1:8" ht="16">
      <c r="A35" s="582"/>
      <c r="B35" s="523"/>
      <c r="C35" s="514" t="s">
        <v>1567</v>
      </c>
      <c r="D35" s="514" t="s">
        <v>1568</v>
      </c>
      <c r="E35" s="520"/>
      <c r="F35" s="502" t="s">
        <v>1462</v>
      </c>
      <c r="G35" s="509" t="s">
        <v>1566</v>
      </c>
      <c r="H35" s="517" t="s">
        <v>1486</v>
      </c>
    </row>
    <row r="36" spans="1:8" ht="16">
      <c r="A36" s="582"/>
      <c r="B36" s="523"/>
      <c r="C36" s="513" t="s">
        <v>1570</v>
      </c>
      <c r="D36" s="519" t="s">
        <v>1571</v>
      </c>
      <c r="E36" s="513" t="s">
        <v>1470</v>
      </c>
      <c r="F36" s="502" t="s">
        <v>1462</v>
      </c>
      <c r="G36" s="509" t="s">
        <v>1569</v>
      </c>
      <c r="H36" s="517" t="s">
        <v>1464</v>
      </c>
    </row>
    <row r="37" spans="1:8" ht="16">
      <c r="A37" s="582"/>
      <c r="B37" s="523"/>
      <c r="C37" s="513" t="s">
        <v>1573</v>
      </c>
      <c r="D37" s="513" t="s">
        <v>1574</v>
      </c>
      <c r="E37" s="513" t="s">
        <v>1575</v>
      </c>
      <c r="F37" s="502" t="s">
        <v>1462</v>
      </c>
      <c r="G37" s="509" t="s">
        <v>1572</v>
      </c>
      <c r="H37" s="517" t="s">
        <v>1464</v>
      </c>
    </row>
    <row r="38" spans="1:8" ht="16">
      <c r="A38" s="582"/>
      <c r="B38" s="523"/>
      <c r="C38" s="514" t="s">
        <v>1577</v>
      </c>
      <c r="D38" s="514" t="s">
        <v>1578</v>
      </c>
      <c r="E38" s="514" t="s">
        <v>1470</v>
      </c>
      <c r="F38" s="502" t="s">
        <v>1462</v>
      </c>
      <c r="G38" s="509" t="s">
        <v>1576</v>
      </c>
      <c r="H38" s="517" t="s">
        <v>1486</v>
      </c>
    </row>
    <row r="39" spans="1:8" ht="16">
      <c r="A39" s="582"/>
      <c r="B39" s="523"/>
      <c r="C39" s="513" t="s">
        <v>1580</v>
      </c>
      <c r="D39" s="513" t="s">
        <v>1581</v>
      </c>
      <c r="E39" s="513" t="s">
        <v>1470</v>
      </c>
      <c r="F39" s="502" t="s">
        <v>1462</v>
      </c>
      <c r="G39" s="509" t="s">
        <v>1579</v>
      </c>
      <c r="H39" s="517" t="s">
        <v>1464</v>
      </c>
    </row>
    <row r="40" spans="1:8" ht="16">
      <c r="A40" s="582"/>
      <c r="B40" s="523"/>
      <c r="C40" s="513" t="s">
        <v>1583</v>
      </c>
      <c r="D40" s="513" t="s">
        <v>1584</v>
      </c>
      <c r="E40" s="513" t="s">
        <v>1585</v>
      </c>
      <c r="F40" s="502" t="s">
        <v>1462</v>
      </c>
      <c r="G40" s="509" t="s">
        <v>1582</v>
      </c>
      <c r="H40" s="517" t="s">
        <v>1464</v>
      </c>
    </row>
    <row r="41" spans="1:8" ht="16">
      <c r="A41" s="582"/>
      <c r="B41" s="523"/>
      <c r="C41" s="513" t="s">
        <v>1587</v>
      </c>
      <c r="D41" s="513" t="s">
        <v>1588</v>
      </c>
      <c r="E41" s="513" t="s">
        <v>1589</v>
      </c>
      <c r="F41" s="502" t="s">
        <v>1462</v>
      </c>
      <c r="G41" s="509" t="s">
        <v>1586</v>
      </c>
      <c r="H41" s="517" t="s">
        <v>1464</v>
      </c>
    </row>
    <row r="42" spans="1:8" ht="16">
      <c r="A42" s="582"/>
      <c r="B42" s="523"/>
      <c r="C42" s="513" t="s">
        <v>1591</v>
      </c>
      <c r="D42" s="513" t="s">
        <v>1592</v>
      </c>
      <c r="E42" s="513" t="s">
        <v>1470</v>
      </c>
      <c r="F42" s="502" t="s">
        <v>1462</v>
      </c>
      <c r="G42" s="509" t="s">
        <v>1590</v>
      </c>
      <c r="H42" s="517" t="s">
        <v>1464</v>
      </c>
    </row>
    <row r="43" spans="1:8" ht="16">
      <c r="A43" s="582"/>
      <c r="B43" s="523"/>
      <c r="C43" s="514" t="s">
        <v>1595</v>
      </c>
      <c r="D43" s="514" t="s">
        <v>1596</v>
      </c>
      <c r="E43" s="514" t="s">
        <v>1470</v>
      </c>
      <c r="F43" s="502" t="s">
        <v>1593</v>
      </c>
      <c r="G43" s="509" t="s">
        <v>1594</v>
      </c>
      <c r="H43" s="517" t="s">
        <v>1486</v>
      </c>
    </row>
    <row r="44" spans="1:8" ht="16">
      <c r="A44" s="582"/>
      <c r="B44" s="523"/>
      <c r="C44" s="513" t="s">
        <v>1598</v>
      </c>
      <c r="D44" s="513" t="s">
        <v>1599</v>
      </c>
      <c r="E44" s="513" t="s">
        <v>1470</v>
      </c>
      <c r="F44" s="502" t="s">
        <v>1462</v>
      </c>
      <c r="G44" s="509" t="s">
        <v>1597</v>
      </c>
      <c r="H44" s="517" t="s">
        <v>1464</v>
      </c>
    </row>
    <row r="45" spans="1:8" ht="16">
      <c r="A45" s="582"/>
      <c r="B45" s="523"/>
      <c r="C45" s="513" t="s">
        <v>1601</v>
      </c>
      <c r="D45" s="513" t="s">
        <v>1602</v>
      </c>
      <c r="E45" s="513" t="s">
        <v>1470</v>
      </c>
      <c r="F45" s="502" t="s">
        <v>1462</v>
      </c>
      <c r="G45" s="509" t="s">
        <v>1600</v>
      </c>
      <c r="H45" s="517" t="s">
        <v>1464</v>
      </c>
    </row>
    <row r="46" spans="1:8" ht="16">
      <c r="A46" s="582"/>
      <c r="B46" s="523"/>
      <c r="C46" s="513" t="s">
        <v>1604</v>
      </c>
      <c r="D46" s="513" t="s">
        <v>1605</v>
      </c>
      <c r="E46" s="513" t="s">
        <v>1470</v>
      </c>
      <c r="F46" s="502" t="s">
        <v>1462</v>
      </c>
      <c r="G46" s="509" t="s">
        <v>1603</v>
      </c>
      <c r="H46" s="517" t="s">
        <v>1464</v>
      </c>
    </row>
    <row r="47" spans="1:8" ht="16">
      <c r="A47" s="582"/>
      <c r="B47" s="523"/>
      <c r="C47" s="514" t="s">
        <v>1607</v>
      </c>
      <c r="D47" s="514" t="s">
        <v>1608</v>
      </c>
      <c r="E47" s="514" t="s">
        <v>1470</v>
      </c>
      <c r="F47" s="502" t="s">
        <v>1462</v>
      </c>
      <c r="G47" s="509" t="s">
        <v>1606</v>
      </c>
      <c r="H47" s="517" t="s">
        <v>1486</v>
      </c>
    </row>
    <row r="48" spans="1:8" ht="16">
      <c r="A48" s="582"/>
      <c r="B48" s="523"/>
      <c r="C48" s="514" t="s">
        <v>1610</v>
      </c>
      <c r="D48" s="514" t="s">
        <v>1611</v>
      </c>
      <c r="E48" s="514" t="s">
        <v>1470</v>
      </c>
      <c r="F48" s="502" t="s">
        <v>1462</v>
      </c>
      <c r="G48" s="509" t="s">
        <v>1609</v>
      </c>
      <c r="H48" s="517" t="s">
        <v>1486</v>
      </c>
    </row>
    <row r="49" spans="1:8" ht="16">
      <c r="A49" s="582"/>
      <c r="B49" s="523"/>
      <c r="C49" s="513" t="s">
        <v>1613</v>
      </c>
      <c r="D49" s="513" t="s">
        <v>1614</v>
      </c>
      <c r="E49" s="513" t="s">
        <v>1470</v>
      </c>
      <c r="F49" s="502" t="s">
        <v>1462</v>
      </c>
      <c r="G49" s="509" t="s">
        <v>1612</v>
      </c>
      <c r="H49" s="517" t="s">
        <v>1464</v>
      </c>
    </row>
    <row r="50" spans="1:8" ht="16">
      <c r="A50" s="582"/>
      <c r="B50" s="523"/>
      <c r="C50" s="513" t="s">
        <v>1616</v>
      </c>
      <c r="D50" s="513" t="s">
        <v>1617</v>
      </c>
      <c r="E50" s="513" t="s">
        <v>1618</v>
      </c>
      <c r="F50" s="502" t="s">
        <v>1462</v>
      </c>
      <c r="G50" s="509" t="s">
        <v>1615</v>
      </c>
      <c r="H50" s="517" t="s">
        <v>1464</v>
      </c>
    </row>
    <row r="51" spans="1:8" ht="30">
      <c r="A51" s="582"/>
      <c r="B51" s="523"/>
      <c r="C51" s="513" t="s">
        <v>1620</v>
      </c>
      <c r="D51" s="519" t="s">
        <v>1621</v>
      </c>
      <c r="E51" s="576"/>
      <c r="F51" s="502" t="s">
        <v>1462</v>
      </c>
      <c r="G51" s="508" t="s">
        <v>1619</v>
      </c>
      <c r="H51" s="517" t="s">
        <v>1464</v>
      </c>
    </row>
    <row r="52" spans="1:8" ht="16">
      <c r="A52" s="582"/>
      <c r="B52" s="523"/>
      <c r="C52" s="513" t="s">
        <v>1623</v>
      </c>
      <c r="D52" s="513"/>
      <c r="E52" s="513"/>
      <c r="F52" s="502" t="s">
        <v>1462</v>
      </c>
      <c r="G52" s="509" t="s">
        <v>1622</v>
      </c>
      <c r="H52" s="517" t="s">
        <v>1464</v>
      </c>
    </row>
    <row r="53" spans="1:8" ht="16">
      <c r="A53" s="582"/>
      <c r="B53" s="523"/>
      <c r="C53" s="513" t="s">
        <v>1625</v>
      </c>
      <c r="D53" s="513" t="s">
        <v>1626</v>
      </c>
      <c r="E53" s="513" t="s">
        <v>1470</v>
      </c>
      <c r="F53" s="502" t="s">
        <v>1462</v>
      </c>
      <c r="G53" s="509" t="s">
        <v>1624</v>
      </c>
      <c r="H53" s="517" t="s">
        <v>1464</v>
      </c>
    </row>
    <row r="54" spans="1:8" ht="31.5" customHeight="1">
      <c r="A54" s="582"/>
      <c r="B54" s="523"/>
      <c r="C54" s="513" t="s">
        <v>1954</v>
      </c>
      <c r="D54" s="519" t="s">
        <v>1627</v>
      </c>
      <c r="E54" s="513" t="s">
        <v>1955</v>
      </c>
      <c r="F54" s="502" t="s">
        <v>1888</v>
      </c>
      <c r="G54" s="509" t="s">
        <v>1889</v>
      </c>
      <c r="H54" s="517" t="s">
        <v>1464</v>
      </c>
    </row>
    <row r="55" spans="1:8" ht="16">
      <c r="A55" s="582"/>
      <c r="B55" s="523"/>
      <c r="C55" s="513" t="s">
        <v>1629</v>
      </c>
      <c r="D55" s="513" t="s">
        <v>1630</v>
      </c>
      <c r="E55" s="513" t="s">
        <v>1631</v>
      </c>
      <c r="F55" s="502" t="s">
        <v>1462</v>
      </c>
      <c r="G55" s="509" t="s">
        <v>1628</v>
      </c>
      <c r="H55" s="517" t="s">
        <v>1464</v>
      </c>
    </row>
    <row r="56" spans="1:8" ht="16">
      <c r="A56" s="582"/>
      <c r="B56" s="523"/>
      <c r="C56" s="514" t="s">
        <v>1633</v>
      </c>
      <c r="D56" s="514" t="s">
        <v>1634</v>
      </c>
      <c r="E56" s="514" t="s">
        <v>1470</v>
      </c>
      <c r="F56" s="502" t="s">
        <v>1462</v>
      </c>
      <c r="G56" s="509" t="s">
        <v>1632</v>
      </c>
      <c r="H56" s="517" t="s">
        <v>1486</v>
      </c>
    </row>
    <row r="57" spans="1:8" ht="16">
      <c r="A57" s="582"/>
      <c r="B57" s="523"/>
      <c r="C57" s="513" t="s">
        <v>1636</v>
      </c>
      <c r="D57" s="513" t="s">
        <v>1637</v>
      </c>
      <c r="E57" s="513" t="s">
        <v>1470</v>
      </c>
      <c r="F57" s="502" t="s">
        <v>1462</v>
      </c>
      <c r="G57" s="509" t="s">
        <v>1635</v>
      </c>
      <c r="H57" s="517" t="s">
        <v>1464</v>
      </c>
    </row>
    <row r="58" spans="1:8" ht="16">
      <c r="A58" s="582"/>
      <c r="B58" s="523"/>
      <c r="C58" s="513" t="s">
        <v>1639</v>
      </c>
      <c r="D58" s="513" t="s">
        <v>1640</v>
      </c>
      <c r="E58" s="513" t="s">
        <v>1470</v>
      </c>
      <c r="F58" s="502" t="s">
        <v>1462</v>
      </c>
      <c r="G58" s="509" t="s">
        <v>1638</v>
      </c>
      <c r="H58" s="517" t="s">
        <v>1464</v>
      </c>
    </row>
    <row r="59" spans="1:8" ht="16">
      <c r="A59" s="582"/>
      <c r="B59" s="523"/>
      <c r="C59" s="513" t="s">
        <v>1642</v>
      </c>
      <c r="D59" s="513" t="s">
        <v>1643</v>
      </c>
      <c r="E59" s="513" t="s">
        <v>1644</v>
      </c>
      <c r="F59" s="502" t="s">
        <v>1462</v>
      </c>
      <c r="G59" s="509" t="s">
        <v>1641</v>
      </c>
      <c r="H59" s="517" t="s">
        <v>1464</v>
      </c>
    </row>
    <row r="60" spans="1:8" ht="16">
      <c r="A60" s="582"/>
      <c r="B60" s="523"/>
      <c r="C60" s="519" t="s">
        <v>1646</v>
      </c>
      <c r="D60" s="521" t="s">
        <v>1647</v>
      </c>
      <c r="E60" s="577" t="s">
        <v>1648</v>
      </c>
      <c r="F60" s="502" t="s">
        <v>1462</v>
      </c>
      <c r="G60" s="512" t="s">
        <v>1645</v>
      </c>
      <c r="H60" s="517" t="s">
        <v>1464</v>
      </c>
    </row>
    <row r="61" spans="1:8" ht="16">
      <c r="A61" s="582"/>
      <c r="B61" s="523"/>
      <c r="C61" s="513" t="s">
        <v>1650</v>
      </c>
      <c r="D61" s="514" t="s">
        <v>1651</v>
      </c>
      <c r="E61" s="513" t="s">
        <v>1652</v>
      </c>
      <c r="F61" s="502" t="s">
        <v>1462</v>
      </c>
      <c r="G61" s="509" t="s">
        <v>1649</v>
      </c>
      <c r="H61" s="517" t="s">
        <v>1464</v>
      </c>
    </row>
    <row r="62" spans="1:8" ht="16">
      <c r="A62" s="582"/>
      <c r="B62" s="523"/>
      <c r="C62" s="513" t="s">
        <v>1654</v>
      </c>
      <c r="D62" s="513" t="s">
        <v>1655</v>
      </c>
      <c r="E62" s="513" t="s">
        <v>1470</v>
      </c>
      <c r="F62" s="502" t="s">
        <v>1462</v>
      </c>
      <c r="G62" s="509" t="s">
        <v>1653</v>
      </c>
      <c r="H62" s="517" t="s">
        <v>1464</v>
      </c>
    </row>
    <row r="63" spans="1:8" ht="16">
      <c r="A63" s="582"/>
      <c r="B63" s="523"/>
      <c r="C63" s="513" t="s">
        <v>1657</v>
      </c>
      <c r="D63" s="513" t="s">
        <v>1658</v>
      </c>
      <c r="E63" s="513" t="s">
        <v>1470</v>
      </c>
      <c r="F63" s="502" t="s">
        <v>1462</v>
      </c>
      <c r="G63" s="510" t="s">
        <v>1656</v>
      </c>
      <c r="H63" s="517" t="s">
        <v>1464</v>
      </c>
    </row>
    <row r="64" spans="1:8" ht="16">
      <c r="A64" s="582"/>
      <c r="B64" s="523"/>
      <c r="C64" s="514" t="s">
        <v>1660</v>
      </c>
      <c r="D64" s="514" t="s">
        <v>1661</v>
      </c>
      <c r="E64" s="514" t="s">
        <v>1470</v>
      </c>
      <c r="F64" s="502" t="s">
        <v>1462</v>
      </c>
      <c r="G64" s="509" t="s">
        <v>1659</v>
      </c>
      <c r="H64" s="517" t="s">
        <v>1486</v>
      </c>
    </row>
    <row r="65" spans="1:8" ht="16">
      <c r="A65" s="582"/>
      <c r="B65" s="523"/>
      <c r="C65" s="514" t="s">
        <v>1663</v>
      </c>
      <c r="D65" s="514" t="s">
        <v>1664</v>
      </c>
      <c r="E65" s="514" t="s">
        <v>1665</v>
      </c>
      <c r="F65" s="502" t="s">
        <v>1462</v>
      </c>
      <c r="G65" s="509" t="s">
        <v>1662</v>
      </c>
      <c r="H65" s="517" t="s">
        <v>1486</v>
      </c>
    </row>
    <row r="66" spans="1:8" ht="16">
      <c r="A66" s="582"/>
      <c r="B66" s="523"/>
      <c r="C66" s="513" t="s">
        <v>1667</v>
      </c>
      <c r="D66" s="513" t="s">
        <v>1668</v>
      </c>
      <c r="E66" s="513" t="s">
        <v>1470</v>
      </c>
      <c r="F66" s="502" t="s">
        <v>1462</v>
      </c>
      <c r="G66" s="509" t="s">
        <v>1666</v>
      </c>
      <c r="H66" s="517" t="s">
        <v>1464</v>
      </c>
    </row>
    <row r="67" spans="1:8" ht="16">
      <c r="A67" s="582"/>
      <c r="B67" s="523"/>
      <c r="C67" s="513" t="s">
        <v>1670</v>
      </c>
      <c r="D67" s="513" t="s">
        <v>1671</v>
      </c>
      <c r="E67" s="513" t="s">
        <v>1672</v>
      </c>
      <c r="F67" s="502" t="s">
        <v>1462</v>
      </c>
      <c r="G67" s="509" t="s">
        <v>1669</v>
      </c>
      <c r="H67" s="517" t="s">
        <v>1464</v>
      </c>
    </row>
    <row r="68" spans="1:8" ht="16">
      <c r="A68" s="582"/>
      <c r="B68" s="523"/>
      <c r="C68" s="513" t="s">
        <v>1674</v>
      </c>
      <c r="D68" s="513" t="s">
        <v>1675</v>
      </c>
      <c r="E68" s="513" t="s">
        <v>1470</v>
      </c>
      <c r="F68" s="502" t="s">
        <v>1462</v>
      </c>
      <c r="G68" s="509" t="s">
        <v>1673</v>
      </c>
      <c r="H68" s="517" t="s">
        <v>1464</v>
      </c>
    </row>
    <row r="69" spans="1:8" ht="16">
      <c r="A69" s="582"/>
      <c r="B69" s="523"/>
      <c r="C69" s="513" t="s">
        <v>1677</v>
      </c>
      <c r="D69" s="513" t="s">
        <v>1678</v>
      </c>
      <c r="E69" s="513" t="s">
        <v>1679</v>
      </c>
      <c r="F69" s="502" t="s">
        <v>1462</v>
      </c>
      <c r="G69" s="509" t="s">
        <v>1676</v>
      </c>
      <c r="H69" s="517" t="s">
        <v>1464</v>
      </c>
    </row>
    <row r="70" spans="1:8" ht="16">
      <c r="A70" s="582"/>
      <c r="B70" s="523"/>
      <c r="C70" s="513" t="s">
        <v>1681</v>
      </c>
      <c r="D70" s="513" t="s">
        <v>1682</v>
      </c>
      <c r="E70" s="513" t="s">
        <v>1470</v>
      </c>
      <c r="F70" s="502" t="s">
        <v>1462</v>
      </c>
      <c r="G70" s="509" t="s">
        <v>1680</v>
      </c>
      <c r="H70" s="517" t="s">
        <v>1464</v>
      </c>
    </row>
    <row r="71" spans="1:8" ht="16">
      <c r="A71" s="582"/>
      <c r="B71" s="523"/>
      <c r="C71" s="513" t="s">
        <v>1684</v>
      </c>
      <c r="D71" s="513" t="s">
        <v>1685</v>
      </c>
      <c r="E71" s="513" t="s">
        <v>1470</v>
      </c>
      <c r="F71" s="502" t="s">
        <v>1462</v>
      </c>
      <c r="G71" s="509" t="s">
        <v>1683</v>
      </c>
      <c r="H71" s="517" t="s">
        <v>1464</v>
      </c>
    </row>
    <row r="72" spans="1:8" ht="16">
      <c r="A72" s="582"/>
      <c r="B72" s="523"/>
      <c r="C72" s="513" t="s">
        <v>1967</v>
      </c>
      <c r="D72" s="513" t="s">
        <v>1687</v>
      </c>
      <c r="E72" s="513" t="s">
        <v>1470</v>
      </c>
      <c r="F72" s="502" t="s">
        <v>1462</v>
      </c>
      <c r="G72" s="509" t="s">
        <v>1686</v>
      </c>
      <c r="H72" s="517" t="s">
        <v>1464</v>
      </c>
    </row>
    <row r="73" spans="1:8" ht="16">
      <c r="A73" s="582"/>
      <c r="B73" s="523"/>
      <c r="C73" s="513" t="s">
        <v>1689</v>
      </c>
      <c r="D73" s="513" t="s">
        <v>1690</v>
      </c>
      <c r="E73" s="578"/>
      <c r="F73" s="502" t="s">
        <v>1462</v>
      </c>
      <c r="G73" s="511" t="s">
        <v>1688</v>
      </c>
      <c r="H73" s="517" t="s">
        <v>1464</v>
      </c>
    </row>
    <row r="74" spans="1:8" ht="16">
      <c r="A74" s="582"/>
      <c r="B74" s="523"/>
      <c r="C74" s="513" t="s">
        <v>1692</v>
      </c>
      <c r="D74" s="513" t="s">
        <v>1693</v>
      </c>
      <c r="E74" s="513" t="s">
        <v>1470</v>
      </c>
      <c r="F74" s="502" t="s">
        <v>1462</v>
      </c>
      <c r="G74" s="509" t="s">
        <v>1691</v>
      </c>
      <c r="H74" s="517" t="s">
        <v>1464</v>
      </c>
    </row>
    <row r="75" spans="1:8" ht="16">
      <c r="A75" s="582"/>
      <c r="B75" s="523"/>
      <c r="C75" s="514" t="s">
        <v>1695</v>
      </c>
      <c r="D75" s="514" t="s">
        <v>1696</v>
      </c>
      <c r="E75" s="579"/>
      <c r="F75" s="502" t="s">
        <v>1462</v>
      </c>
      <c r="G75" s="510" t="s">
        <v>1694</v>
      </c>
      <c r="H75" s="517" t="s">
        <v>1486</v>
      </c>
    </row>
    <row r="76" spans="1:8" ht="16">
      <c r="A76" s="582"/>
      <c r="B76" s="523"/>
      <c r="C76" s="513" t="s">
        <v>1698</v>
      </c>
      <c r="D76" s="513" t="s">
        <v>1699</v>
      </c>
      <c r="E76" s="513" t="s">
        <v>1470</v>
      </c>
      <c r="F76" s="502" t="s">
        <v>1462</v>
      </c>
      <c r="G76" s="509" t="s">
        <v>1697</v>
      </c>
      <c r="H76" s="517" t="s">
        <v>1464</v>
      </c>
    </row>
    <row r="77" spans="1:8" ht="16">
      <c r="A77" s="582"/>
      <c r="B77" s="523"/>
      <c r="C77" s="513" t="s">
        <v>1701</v>
      </c>
      <c r="D77" s="513" t="s">
        <v>1702</v>
      </c>
      <c r="E77" s="513" t="s">
        <v>1470</v>
      </c>
      <c r="F77" s="502" t="s">
        <v>1462</v>
      </c>
      <c r="G77" s="509" t="s">
        <v>1700</v>
      </c>
      <c r="H77" s="517" t="s">
        <v>1464</v>
      </c>
    </row>
    <row r="78" spans="1:8" ht="16">
      <c r="A78" s="582"/>
      <c r="B78" s="523"/>
      <c r="C78" s="513" t="s">
        <v>1704</v>
      </c>
      <c r="D78" s="513"/>
      <c r="E78" s="513" t="s">
        <v>1470</v>
      </c>
      <c r="F78" s="502" t="s">
        <v>1462</v>
      </c>
      <c r="G78" s="509" t="s">
        <v>1703</v>
      </c>
      <c r="H78" s="517" t="s">
        <v>1464</v>
      </c>
    </row>
    <row r="79" spans="1:8" ht="16">
      <c r="A79" s="582"/>
      <c r="B79" s="523"/>
      <c r="C79" s="513" t="s">
        <v>1706</v>
      </c>
      <c r="D79" s="513" t="s">
        <v>1707</v>
      </c>
      <c r="E79" s="513" t="s">
        <v>1470</v>
      </c>
      <c r="F79" s="502" t="s">
        <v>1462</v>
      </c>
      <c r="G79" s="509" t="s">
        <v>1705</v>
      </c>
      <c r="H79" s="517" t="s">
        <v>1464</v>
      </c>
    </row>
    <row r="80" spans="1:8" ht="16">
      <c r="A80" s="582"/>
      <c r="B80" s="523"/>
      <c r="C80" s="513" t="s">
        <v>1709</v>
      </c>
      <c r="D80" s="513" t="s">
        <v>1710</v>
      </c>
      <c r="E80" s="513" t="s">
        <v>1470</v>
      </c>
      <c r="F80" s="502" t="s">
        <v>1462</v>
      </c>
      <c r="G80" s="509" t="s">
        <v>1708</v>
      </c>
      <c r="H80" s="517" t="s">
        <v>1464</v>
      </c>
    </row>
    <row r="81" spans="1:8" ht="16">
      <c r="A81" s="582"/>
      <c r="B81" s="523"/>
      <c r="C81" s="513" t="s">
        <v>1712</v>
      </c>
      <c r="D81" s="513" t="s">
        <v>1713</v>
      </c>
      <c r="E81" s="513" t="s">
        <v>1470</v>
      </c>
      <c r="F81" s="502" t="s">
        <v>1462</v>
      </c>
      <c r="G81" s="509" t="s">
        <v>1711</v>
      </c>
      <c r="H81" s="517" t="s">
        <v>1464</v>
      </c>
    </row>
    <row r="82" spans="1:8" ht="16">
      <c r="A82" s="582"/>
      <c r="B82" s="523"/>
      <c r="C82" s="513" t="s">
        <v>1715</v>
      </c>
      <c r="D82" s="513" t="s">
        <v>1716</v>
      </c>
      <c r="E82" s="577" t="s">
        <v>1717</v>
      </c>
      <c r="F82" s="502" t="s">
        <v>1462</v>
      </c>
      <c r="G82" s="512" t="s">
        <v>1714</v>
      </c>
      <c r="H82" s="517" t="s">
        <v>1464</v>
      </c>
    </row>
    <row r="83" spans="1:8" ht="16">
      <c r="A83" s="582"/>
      <c r="B83" s="523"/>
      <c r="C83" s="513" t="s">
        <v>1719</v>
      </c>
      <c r="D83" s="513" t="s">
        <v>1720</v>
      </c>
      <c r="E83" s="514" t="s">
        <v>1470</v>
      </c>
      <c r="F83" s="502" t="s">
        <v>1462</v>
      </c>
      <c r="G83" s="509" t="s">
        <v>1718</v>
      </c>
      <c r="H83" s="517" t="s">
        <v>1464</v>
      </c>
    </row>
    <row r="84" spans="1:8" ht="16">
      <c r="A84" s="582"/>
      <c r="B84" s="523"/>
      <c r="C84" s="514" t="s">
        <v>1722</v>
      </c>
      <c r="D84" s="514" t="s">
        <v>1723</v>
      </c>
      <c r="E84" s="514" t="s">
        <v>1470</v>
      </c>
      <c r="F84" s="502" t="s">
        <v>1462</v>
      </c>
      <c r="G84" s="509" t="s">
        <v>1721</v>
      </c>
      <c r="H84" s="517" t="s">
        <v>1464</v>
      </c>
    </row>
    <row r="85" spans="1:8" ht="16">
      <c r="A85" s="582"/>
      <c r="B85" s="523"/>
      <c r="C85" s="514" t="s">
        <v>1725</v>
      </c>
      <c r="D85" s="514" t="s">
        <v>1726</v>
      </c>
      <c r="E85" s="580"/>
      <c r="F85" s="502" t="s">
        <v>1462</v>
      </c>
      <c r="G85" s="512" t="s">
        <v>1724</v>
      </c>
      <c r="H85" s="517" t="s">
        <v>1486</v>
      </c>
    </row>
    <row r="86" spans="1:8" ht="16">
      <c r="A86" s="582"/>
      <c r="B86" s="523"/>
      <c r="C86" s="513" t="s">
        <v>1729</v>
      </c>
      <c r="D86" s="513" t="s">
        <v>1730</v>
      </c>
      <c r="E86" s="513" t="s">
        <v>1470</v>
      </c>
      <c r="F86" s="502" t="s">
        <v>1462</v>
      </c>
      <c r="G86" s="509" t="s">
        <v>1727</v>
      </c>
      <c r="H86" s="517" t="s">
        <v>1728</v>
      </c>
    </row>
    <row r="87" spans="1:8" ht="16">
      <c r="A87" s="582"/>
      <c r="B87" s="523"/>
      <c r="C87" s="513" t="s">
        <v>1732</v>
      </c>
      <c r="D87" s="513" t="s">
        <v>1733</v>
      </c>
      <c r="E87" s="513" t="s">
        <v>1470</v>
      </c>
      <c r="F87" s="502" t="s">
        <v>1462</v>
      </c>
      <c r="G87" s="509" t="s">
        <v>1731</v>
      </c>
      <c r="H87" s="517" t="s">
        <v>1464</v>
      </c>
    </row>
    <row r="88" spans="1:8" ht="30">
      <c r="A88" s="582"/>
      <c r="B88" s="523"/>
      <c r="C88" s="514" t="s">
        <v>1735</v>
      </c>
      <c r="D88" s="518" t="s">
        <v>1736</v>
      </c>
      <c r="E88" s="514" t="s">
        <v>1470</v>
      </c>
      <c r="F88" s="502" t="s">
        <v>1462</v>
      </c>
      <c r="G88" s="509" t="s">
        <v>1734</v>
      </c>
      <c r="H88" s="517" t="s">
        <v>1486</v>
      </c>
    </row>
    <row r="89" spans="1:8" ht="16">
      <c r="A89" s="582"/>
      <c r="B89" s="523"/>
      <c r="C89" s="513" t="s">
        <v>1738</v>
      </c>
      <c r="D89" s="513" t="s">
        <v>1739</v>
      </c>
      <c r="E89" s="513" t="s">
        <v>1470</v>
      </c>
      <c r="F89" s="502" t="s">
        <v>1462</v>
      </c>
      <c r="G89" s="509" t="s">
        <v>1737</v>
      </c>
      <c r="H89" s="517" t="s">
        <v>1464</v>
      </c>
    </row>
    <row r="90" spans="1:8" ht="16">
      <c r="A90" s="582"/>
      <c r="B90" s="523"/>
      <c r="C90" s="513" t="s">
        <v>1741</v>
      </c>
      <c r="D90" s="513" t="s">
        <v>1742</v>
      </c>
      <c r="E90" s="513" t="s">
        <v>1470</v>
      </c>
      <c r="F90" s="502" t="s">
        <v>1462</v>
      </c>
      <c r="G90" s="509" t="s">
        <v>1740</v>
      </c>
      <c r="H90" s="517" t="s">
        <v>1464</v>
      </c>
    </row>
    <row r="91" spans="1:8" ht="16">
      <c r="A91" s="582"/>
      <c r="B91" s="523"/>
      <c r="C91" s="513" t="s">
        <v>1744</v>
      </c>
      <c r="D91" s="513" t="s">
        <v>1745</v>
      </c>
      <c r="E91" s="513" t="s">
        <v>1470</v>
      </c>
      <c r="F91" s="502" t="s">
        <v>1593</v>
      </c>
      <c r="G91" s="509" t="s">
        <v>1743</v>
      </c>
      <c r="H91" s="517" t="s">
        <v>1464</v>
      </c>
    </row>
    <row r="92" spans="1:8" ht="16">
      <c r="A92" s="582"/>
      <c r="B92" s="523"/>
      <c r="C92" s="513" t="s">
        <v>1747</v>
      </c>
      <c r="D92" s="513" t="s">
        <v>1748</v>
      </c>
      <c r="E92" s="513" t="s">
        <v>1470</v>
      </c>
      <c r="F92" s="502" t="s">
        <v>1593</v>
      </c>
      <c r="G92" s="509" t="s">
        <v>1746</v>
      </c>
      <c r="H92" s="517" t="s">
        <v>1464</v>
      </c>
    </row>
    <row r="93" spans="1:8" ht="16">
      <c r="A93" s="582"/>
      <c r="B93" s="523"/>
      <c r="C93" s="513" t="s">
        <v>1750</v>
      </c>
      <c r="D93" s="513" t="s">
        <v>1751</v>
      </c>
      <c r="E93" s="513" t="s">
        <v>1470</v>
      </c>
      <c r="F93" s="502" t="s">
        <v>1593</v>
      </c>
      <c r="G93" s="509" t="s">
        <v>1749</v>
      </c>
      <c r="H93" s="517" t="s">
        <v>1464</v>
      </c>
    </row>
    <row r="94" spans="1:8" ht="16">
      <c r="A94" s="582"/>
      <c r="B94" s="523"/>
      <c r="C94" s="513" t="s">
        <v>1753</v>
      </c>
      <c r="D94" s="513" t="s">
        <v>1754</v>
      </c>
      <c r="E94" s="513" t="s">
        <v>1755</v>
      </c>
      <c r="F94" s="502" t="s">
        <v>1593</v>
      </c>
      <c r="G94" s="509" t="s">
        <v>1752</v>
      </c>
      <c r="H94" s="517" t="s">
        <v>1464</v>
      </c>
    </row>
    <row r="95" spans="1:8" ht="16">
      <c r="A95" s="582"/>
      <c r="B95" s="523"/>
      <c r="C95" s="513" t="s">
        <v>1757</v>
      </c>
      <c r="D95" s="513" t="s">
        <v>1758</v>
      </c>
      <c r="E95" s="513" t="s">
        <v>1470</v>
      </c>
      <c r="F95" s="502" t="s">
        <v>1593</v>
      </c>
      <c r="G95" s="509" t="s">
        <v>1756</v>
      </c>
      <c r="H95" s="517" t="s">
        <v>1464</v>
      </c>
    </row>
    <row r="96" spans="1:8" ht="16">
      <c r="A96" s="582"/>
      <c r="B96" s="523"/>
      <c r="C96" s="513" t="s">
        <v>1760</v>
      </c>
      <c r="D96" s="513" t="s">
        <v>1761</v>
      </c>
      <c r="E96" s="513" t="s">
        <v>1470</v>
      </c>
      <c r="F96" s="502" t="s">
        <v>1593</v>
      </c>
      <c r="G96" s="509" t="s">
        <v>1759</v>
      </c>
      <c r="H96" s="517" t="s">
        <v>1464</v>
      </c>
    </row>
    <row r="97" spans="1:8" ht="16">
      <c r="A97" s="582"/>
      <c r="B97" s="523"/>
      <c r="C97" s="513" t="s">
        <v>1763</v>
      </c>
      <c r="D97" s="513" t="s">
        <v>1764</v>
      </c>
      <c r="E97" s="513" t="s">
        <v>1470</v>
      </c>
      <c r="F97" s="502" t="s">
        <v>1593</v>
      </c>
      <c r="G97" s="509" t="s">
        <v>1762</v>
      </c>
      <c r="H97" s="517" t="s">
        <v>1464</v>
      </c>
    </row>
    <row r="98" spans="1:8" ht="16">
      <c r="A98" s="582"/>
      <c r="B98" s="523"/>
      <c r="C98" s="513" t="s">
        <v>1766</v>
      </c>
      <c r="D98" s="513" t="s">
        <v>1767</v>
      </c>
      <c r="E98" s="513" t="s">
        <v>1470</v>
      </c>
      <c r="F98" s="502" t="s">
        <v>1593</v>
      </c>
      <c r="G98" s="509" t="s">
        <v>1765</v>
      </c>
      <c r="H98" s="517" t="s">
        <v>1464</v>
      </c>
    </row>
    <row r="99" spans="1:8" ht="16">
      <c r="A99" s="582"/>
      <c r="B99" s="523"/>
      <c r="C99" s="513" t="s">
        <v>1769</v>
      </c>
      <c r="D99" s="513" t="s">
        <v>1770</v>
      </c>
      <c r="E99" s="513" t="s">
        <v>1470</v>
      </c>
      <c r="F99" s="502" t="s">
        <v>1593</v>
      </c>
      <c r="G99" s="509" t="s">
        <v>1768</v>
      </c>
      <c r="H99" s="517" t="s">
        <v>1464</v>
      </c>
    </row>
    <row r="100" spans="1:8" ht="16">
      <c r="A100" s="582"/>
      <c r="B100" s="523"/>
      <c r="C100" s="513" t="s">
        <v>1772</v>
      </c>
      <c r="D100" s="513" t="s">
        <v>1773</v>
      </c>
      <c r="E100" s="513" t="s">
        <v>1470</v>
      </c>
      <c r="F100" s="502" t="s">
        <v>1593</v>
      </c>
      <c r="G100" s="509" t="s">
        <v>1771</v>
      </c>
      <c r="H100" s="517" t="s">
        <v>1464</v>
      </c>
    </row>
    <row r="101" spans="1:8" ht="16">
      <c r="A101" s="582"/>
      <c r="B101" s="523"/>
      <c r="C101" s="513" t="s">
        <v>1775</v>
      </c>
      <c r="D101" s="513" t="s">
        <v>1776</v>
      </c>
      <c r="E101" s="513" t="s">
        <v>1470</v>
      </c>
      <c r="F101" s="502" t="s">
        <v>1593</v>
      </c>
      <c r="G101" s="509" t="s">
        <v>1774</v>
      </c>
      <c r="H101" s="517" t="s">
        <v>1464</v>
      </c>
    </row>
    <row r="102" spans="1:8" ht="16">
      <c r="A102" s="582"/>
      <c r="B102" s="523"/>
      <c r="C102" s="513" t="s">
        <v>1778</v>
      </c>
      <c r="D102" s="513" t="s">
        <v>1779</v>
      </c>
      <c r="E102" s="513" t="s">
        <v>1470</v>
      </c>
      <c r="F102" s="502" t="s">
        <v>1593</v>
      </c>
      <c r="G102" s="509" t="s">
        <v>1777</v>
      </c>
      <c r="H102" s="517" t="s">
        <v>1464</v>
      </c>
    </row>
    <row r="103" spans="1:8" ht="16">
      <c r="A103" s="582"/>
      <c r="B103" s="523"/>
      <c r="C103" s="513" t="s">
        <v>1781</v>
      </c>
      <c r="D103" s="513" t="s">
        <v>1782</v>
      </c>
      <c r="E103" s="513" t="s">
        <v>1470</v>
      </c>
      <c r="F103" s="502" t="s">
        <v>1593</v>
      </c>
      <c r="G103" s="509" t="s">
        <v>1780</v>
      </c>
      <c r="H103" s="517" t="s">
        <v>1464</v>
      </c>
    </row>
    <row r="104" spans="1:8" ht="16">
      <c r="A104" s="582"/>
      <c r="B104" s="523"/>
      <c r="C104" s="513" t="s">
        <v>1784</v>
      </c>
      <c r="D104" s="513" t="s">
        <v>1785</v>
      </c>
      <c r="E104" s="513" t="s">
        <v>1470</v>
      </c>
      <c r="F104" s="502" t="s">
        <v>1593</v>
      </c>
      <c r="G104" s="509" t="s">
        <v>1783</v>
      </c>
      <c r="H104" s="517" t="s">
        <v>1464</v>
      </c>
    </row>
    <row r="105" spans="1:8" ht="16">
      <c r="A105" s="582"/>
      <c r="B105" s="523"/>
      <c r="C105" s="513" t="s">
        <v>1787</v>
      </c>
      <c r="D105" s="513" t="s">
        <v>1788</v>
      </c>
      <c r="E105" s="513" t="s">
        <v>1789</v>
      </c>
      <c r="F105" s="502" t="s">
        <v>1593</v>
      </c>
      <c r="G105" s="509" t="s">
        <v>1786</v>
      </c>
      <c r="H105" s="517" t="s">
        <v>1464</v>
      </c>
    </row>
    <row r="106" spans="1:8" ht="16">
      <c r="A106" s="582"/>
      <c r="B106" s="523"/>
      <c r="C106" s="514" t="s">
        <v>1791</v>
      </c>
      <c r="D106" s="514" t="s">
        <v>1792</v>
      </c>
      <c r="E106" s="514" t="s">
        <v>1470</v>
      </c>
      <c r="F106" s="502" t="s">
        <v>1593</v>
      </c>
      <c r="G106" s="509" t="s">
        <v>1790</v>
      </c>
      <c r="H106" s="517" t="s">
        <v>1486</v>
      </c>
    </row>
    <row r="107" spans="1:8" ht="16">
      <c r="A107" s="582"/>
      <c r="B107" s="523"/>
      <c r="C107" s="513" t="s">
        <v>1794</v>
      </c>
      <c r="D107" s="513" t="s">
        <v>1795</v>
      </c>
      <c r="E107" s="513" t="s">
        <v>1796</v>
      </c>
      <c r="F107" s="502" t="s">
        <v>1593</v>
      </c>
      <c r="G107" s="509" t="s">
        <v>1793</v>
      </c>
      <c r="H107" s="517" t="s">
        <v>1464</v>
      </c>
    </row>
    <row r="108" spans="1:8" ht="16">
      <c r="A108" s="582"/>
      <c r="B108" s="523"/>
      <c r="C108" s="513" t="s">
        <v>1798</v>
      </c>
      <c r="D108" s="513" t="s">
        <v>1799</v>
      </c>
      <c r="E108" s="513" t="s">
        <v>1800</v>
      </c>
      <c r="F108" s="502" t="s">
        <v>1593</v>
      </c>
      <c r="G108" s="509" t="s">
        <v>1797</v>
      </c>
      <c r="H108" s="517" t="s">
        <v>1464</v>
      </c>
    </row>
    <row r="109" spans="1:8" ht="16">
      <c r="A109" s="582"/>
      <c r="B109" s="523"/>
      <c r="C109" s="513" t="s">
        <v>1802</v>
      </c>
      <c r="D109" s="513" t="s">
        <v>1803</v>
      </c>
      <c r="E109" s="513" t="s">
        <v>1804</v>
      </c>
      <c r="F109" s="502" t="s">
        <v>1593</v>
      </c>
      <c r="G109" s="509" t="s">
        <v>1801</v>
      </c>
      <c r="H109" s="517" t="s">
        <v>1464</v>
      </c>
    </row>
    <row r="110" spans="1:8" ht="16">
      <c r="A110" s="582"/>
      <c r="B110" s="523"/>
      <c r="C110" s="513" t="s">
        <v>1806</v>
      </c>
      <c r="D110" s="513"/>
      <c r="E110" s="513"/>
      <c r="F110" s="502" t="s">
        <v>1593</v>
      </c>
      <c r="G110" s="509" t="s">
        <v>1805</v>
      </c>
      <c r="H110" s="517" t="s">
        <v>1464</v>
      </c>
    </row>
    <row r="111" spans="1:8" ht="16">
      <c r="A111" s="582"/>
      <c r="B111" s="523"/>
      <c r="C111" s="513" t="s">
        <v>1808</v>
      </c>
      <c r="D111" s="513"/>
      <c r="E111" s="513"/>
      <c r="F111" s="502" t="s">
        <v>1593</v>
      </c>
      <c r="G111" s="509" t="s">
        <v>1807</v>
      </c>
      <c r="H111" s="517" t="s">
        <v>1464</v>
      </c>
    </row>
    <row r="112" spans="1:8" ht="16">
      <c r="A112" s="582"/>
      <c r="B112" s="523"/>
      <c r="C112" s="513" t="s">
        <v>1810</v>
      </c>
      <c r="D112" s="513"/>
      <c r="E112" s="513"/>
      <c r="F112" s="502" t="s">
        <v>1593</v>
      </c>
      <c r="G112" s="509" t="s">
        <v>1809</v>
      </c>
      <c r="H112" s="517" t="s">
        <v>1464</v>
      </c>
    </row>
    <row r="113" spans="1:8" ht="16">
      <c r="A113" s="582"/>
      <c r="B113" s="523"/>
      <c r="C113" s="513" t="s">
        <v>1812</v>
      </c>
      <c r="D113" s="513"/>
      <c r="E113" s="513"/>
      <c r="F113" s="502" t="s">
        <v>1593</v>
      </c>
      <c r="G113" s="509" t="s">
        <v>1811</v>
      </c>
      <c r="H113" s="517" t="s">
        <v>1464</v>
      </c>
    </row>
    <row r="114" spans="1:8" ht="16">
      <c r="A114" s="582"/>
      <c r="B114" s="523"/>
      <c r="C114" s="514" t="s">
        <v>1814</v>
      </c>
      <c r="D114" s="514"/>
      <c r="E114" s="514"/>
      <c r="F114" s="502" t="s">
        <v>1593</v>
      </c>
      <c r="G114" s="509" t="s">
        <v>1813</v>
      </c>
      <c r="H114" s="517" t="s">
        <v>1486</v>
      </c>
    </row>
    <row r="115" spans="1:8" ht="16">
      <c r="A115" s="582"/>
      <c r="B115" s="523"/>
      <c r="C115" s="514" t="s">
        <v>1816</v>
      </c>
      <c r="D115" s="514"/>
      <c r="E115" s="514"/>
      <c r="F115" s="502" t="s">
        <v>1593</v>
      </c>
      <c r="G115" s="509" t="s">
        <v>1815</v>
      </c>
      <c r="H115" s="517" t="s">
        <v>1486</v>
      </c>
    </row>
    <row r="116" spans="1:8" ht="16">
      <c r="A116" s="582"/>
      <c r="B116" s="523"/>
      <c r="C116" s="514" t="s">
        <v>1818</v>
      </c>
      <c r="D116" s="514"/>
      <c r="E116" s="514"/>
      <c r="F116" s="502" t="s">
        <v>1593</v>
      </c>
      <c r="G116" s="509" t="s">
        <v>1817</v>
      </c>
      <c r="H116" s="517" t="s">
        <v>1486</v>
      </c>
    </row>
    <row r="117" spans="1:8" ht="16" hidden="1">
      <c r="A117" s="582"/>
      <c r="B117" s="523"/>
      <c r="C117" s="514" t="s">
        <v>1819</v>
      </c>
      <c r="D117" s="516"/>
      <c r="E117" s="581"/>
      <c r="F117" s="502" t="s">
        <v>1593</v>
      </c>
      <c r="G117" s="515">
        <v>99999999</v>
      </c>
      <c r="H117" s="517" t="s">
        <v>1464</v>
      </c>
    </row>
  </sheetData>
  <sheetProtection password="842B" sheet="1" objects="1" scenarios="1"/>
  <phoneticPr fontId="3"/>
  <conditionalFormatting sqref="D4">
    <cfRule type="expression" dxfId="2" priority="1">
      <formula>AND($H$5=1,$H$4&gt;0)</formula>
    </cfRule>
  </conditionalFormatting>
  <pageMargins left="1.1023622047244095" right="0.70866141732283472" top="0.35433070866141736" bottom="0" header="0.31496062992125984" footer="0.31496062992125984"/>
  <pageSetup paperSize="9" scale="3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202" r:id="rId4" name="Option Button 2">
              <controlPr defaultSize="0" autoFill="0" autoLine="0" autoPict="0">
                <anchor moveWithCells="1">
                  <from>
                    <xdr:col>1</xdr:col>
                    <xdr:colOff>438150</xdr:colOff>
                    <xdr:row>6</xdr:row>
                    <xdr:rowOff>12700</xdr:rowOff>
                  </from>
                  <to>
                    <xdr:col>1</xdr:col>
                    <xdr:colOff>914400</xdr:colOff>
                    <xdr:row>6</xdr:row>
                    <xdr:rowOff>203200</xdr:rowOff>
                  </to>
                </anchor>
              </controlPr>
            </control>
          </mc:Choice>
        </mc:AlternateContent>
        <mc:AlternateContent xmlns:mc="http://schemas.openxmlformats.org/markup-compatibility/2006">
          <mc:Choice Requires="x14">
            <control shapeId="51203" r:id="rId5" name="Option Button 3">
              <controlPr defaultSize="0" autoFill="0" autoLine="0" autoPict="0">
                <anchor moveWithCells="1">
                  <from>
                    <xdr:col>1</xdr:col>
                    <xdr:colOff>438150</xdr:colOff>
                    <xdr:row>7</xdr:row>
                    <xdr:rowOff>12700</xdr:rowOff>
                  </from>
                  <to>
                    <xdr:col>1</xdr:col>
                    <xdr:colOff>914400</xdr:colOff>
                    <xdr:row>7</xdr:row>
                    <xdr:rowOff>203200</xdr:rowOff>
                  </to>
                </anchor>
              </controlPr>
            </control>
          </mc:Choice>
        </mc:AlternateContent>
        <mc:AlternateContent xmlns:mc="http://schemas.openxmlformats.org/markup-compatibility/2006">
          <mc:Choice Requires="x14">
            <control shapeId="51204" r:id="rId6" name="Option Button 4">
              <controlPr defaultSize="0" autoFill="0" autoLine="0" autoPict="0">
                <anchor moveWithCells="1">
                  <from>
                    <xdr:col>1</xdr:col>
                    <xdr:colOff>438150</xdr:colOff>
                    <xdr:row>8</xdr:row>
                    <xdr:rowOff>12700</xdr:rowOff>
                  </from>
                  <to>
                    <xdr:col>1</xdr:col>
                    <xdr:colOff>914400</xdr:colOff>
                    <xdr:row>8</xdr:row>
                    <xdr:rowOff>203200</xdr:rowOff>
                  </to>
                </anchor>
              </controlPr>
            </control>
          </mc:Choice>
        </mc:AlternateContent>
        <mc:AlternateContent xmlns:mc="http://schemas.openxmlformats.org/markup-compatibility/2006">
          <mc:Choice Requires="x14">
            <control shapeId="51205" r:id="rId7" name="Option Button 5">
              <controlPr defaultSize="0" autoFill="0" autoLine="0" autoPict="0">
                <anchor moveWithCells="1">
                  <from>
                    <xdr:col>1</xdr:col>
                    <xdr:colOff>438150</xdr:colOff>
                    <xdr:row>9</xdr:row>
                    <xdr:rowOff>12700</xdr:rowOff>
                  </from>
                  <to>
                    <xdr:col>1</xdr:col>
                    <xdr:colOff>914400</xdr:colOff>
                    <xdr:row>9</xdr:row>
                    <xdr:rowOff>203200</xdr:rowOff>
                  </to>
                </anchor>
              </controlPr>
            </control>
          </mc:Choice>
        </mc:AlternateContent>
        <mc:AlternateContent xmlns:mc="http://schemas.openxmlformats.org/markup-compatibility/2006">
          <mc:Choice Requires="x14">
            <control shapeId="51206" r:id="rId8" name="Option Button 6">
              <controlPr defaultSize="0" autoFill="0" autoLine="0" autoPict="0">
                <anchor moveWithCells="1">
                  <from>
                    <xdr:col>1</xdr:col>
                    <xdr:colOff>438150</xdr:colOff>
                    <xdr:row>10</xdr:row>
                    <xdr:rowOff>12700</xdr:rowOff>
                  </from>
                  <to>
                    <xdr:col>1</xdr:col>
                    <xdr:colOff>914400</xdr:colOff>
                    <xdr:row>10</xdr:row>
                    <xdr:rowOff>203200</xdr:rowOff>
                  </to>
                </anchor>
              </controlPr>
            </control>
          </mc:Choice>
        </mc:AlternateContent>
        <mc:AlternateContent xmlns:mc="http://schemas.openxmlformats.org/markup-compatibility/2006">
          <mc:Choice Requires="x14">
            <control shapeId="51207" r:id="rId9" name="Option Button 7">
              <controlPr defaultSize="0" autoFill="0" autoLine="0" autoPict="0">
                <anchor moveWithCells="1">
                  <from>
                    <xdr:col>1</xdr:col>
                    <xdr:colOff>438150</xdr:colOff>
                    <xdr:row>11</xdr:row>
                    <xdr:rowOff>12700</xdr:rowOff>
                  </from>
                  <to>
                    <xdr:col>1</xdr:col>
                    <xdr:colOff>914400</xdr:colOff>
                    <xdr:row>11</xdr:row>
                    <xdr:rowOff>203200</xdr:rowOff>
                  </to>
                </anchor>
              </controlPr>
            </control>
          </mc:Choice>
        </mc:AlternateContent>
        <mc:AlternateContent xmlns:mc="http://schemas.openxmlformats.org/markup-compatibility/2006">
          <mc:Choice Requires="x14">
            <control shapeId="51208" r:id="rId10" name="Option Button 8">
              <controlPr defaultSize="0" autoFill="0" autoLine="0" autoPict="0">
                <anchor moveWithCells="1">
                  <from>
                    <xdr:col>1</xdr:col>
                    <xdr:colOff>438150</xdr:colOff>
                    <xdr:row>12</xdr:row>
                    <xdr:rowOff>12700</xdr:rowOff>
                  </from>
                  <to>
                    <xdr:col>1</xdr:col>
                    <xdr:colOff>914400</xdr:colOff>
                    <xdr:row>12</xdr:row>
                    <xdr:rowOff>203200</xdr:rowOff>
                  </to>
                </anchor>
              </controlPr>
            </control>
          </mc:Choice>
        </mc:AlternateContent>
        <mc:AlternateContent xmlns:mc="http://schemas.openxmlformats.org/markup-compatibility/2006">
          <mc:Choice Requires="x14">
            <control shapeId="51209" r:id="rId11" name="Option Button 9">
              <controlPr defaultSize="0" autoFill="0" autoLine="0" autoPict="0">
                <anchor moveWithCells="1">
                  <from>
                    <xdr:col>1</xdr:col>
                    <xdr:colOff>438150</xdr:colOff>
                    <xdr:row>13</xdr:row>
                    <xdr:rowOff>12700</xdr:rowOff>
                  </from>
                  <to>
                    <xdr:col>1</xdr:col>
                    <xdr:colOff>914400</xdr:colOff>
                    <xdr:row>13</xdr:row>
                    <xdr:rowOff>203200</xdr:rowOff>
                  </to>
                </anchor>
              </controlPr>
            </control>
          </mc:Choice>
        </mc:AlternateContent>
        <mc:AlternateContent xmlns:mc="http://schemas.openxmlformats.org/markup-compatibility/2006">
          <mc:Choice Requires="x14">
            <control shapeId="51210" r:id="rId12" name="Option Button 10">
              <controlPr defaultSize="0" autoFill="0" autoLine="0" autoPict="0">
                <anchor moveWithCells="1">
                  <from>
                    <xdr:col>1</xdr:col>
                    <xdr:colOff>438150</xdr:colOff>
                    <xdr:row>14</xdr:row>
                    <xdr:rowOff>12700</xdr:rowOff>
                  </from>
                  <to>
                    <xdr:col>1</xdr:col>
                    <xdr:colOff>914400</xdr:colOff>
                    <xdr:row>14</xdr:row>
                    <xdr:rowOff>209550</xdr:rowOff>
                  </to>
                </anchor>
              </controlPr>
            </control>
          </mc:Choice>
        </mc:AlternateContent>
        <mc:AlternateContent xmlns:mc="http://schemas.openxmlformats.org/markup-compatibility/2006">
          <mc:Choice Requires="x14">
            <control shapeId="51211" r:id="rId13" name="Option Button 11">
              <controlPr defaultSize="0" autoFill="0" autoLine="0" autoPict="0">
                <anchor moveWithCells="1">
                  <from>
                    <xdr:col>1</xdr:col>
                    <xdr:colOff>438150</xdr:colOff>
                    <xdr:row>15</xdr:row>
                    <xdr:rowOff>12700</xdr:rowOff>
                  </from>
                  <to>
                    <xdr:col>1</xdr:col>
                    <xdr:colOff>914400</xdr:colOff>
                    <xdr:row>15</xdr:row>
                    <xdr:rowOff>209550</xdr:rowOff>
                  </to>
                </anchor>
              </controlPr>
            </control>
          </mc:Choice>
        </mc:AlternateContent>
        <mc:AlternateContent xmlns:mc="http://schemas.openxmlformats.org/markup-compatibility/2006">
          <mc:Choice Requires="x14">
            <control shapeId="51212" r:id="rId14" name="Option Button 12">
              <controlPr defaultSize="0" autoFill="0" autoLine="0" autoPict="0">
                <anchor moveWithCells="1">
                  <from>
                    <xdr:col>1</xdr:col>
                    <xdr:colOff>438150</xdr:colOff>
                    <xdr:row>16</xdr:row>
                    <xdr:rowOff>12700</xdr:rowOff>
                  </from>
                  <to>
                    <xdr:col>1</xdr:col>
                    <xdr:colOff>914400</xdr:colOff>
                    <xdr:row>16</xdr:row>
                    <xdr:rowOff>203200</xdr:rowOff>
                  </to>
                </anchor>
              </controlPr>
            </control>
          </mc:Choice>
        </mc:AlternateContent>
        <mc:AlternateContent xmlns:mc="http://schemas.openxmlformats.org/markup-compatibility/2006">
          <mc:Choice Requires="x14">
            <control shapeId="51213" r:id="rId15" name="Option Button 13">
              <controlPr defaultSize="0" autoFill="0" autoLine="0" autoPict="0">
                <anchor moveWithCells="1">
                  <from>
                    <xdr:col>1</xdr:col>
                    <xdr:colOff>438150</xdr:colOff>
                    <xdr:row>17</xdr:row>
                    <xdr:rowOff>12700</xdr:rowOff>
                  </from>
                  <to>
                    <xdr:col>1</xdr:col>
                    <xdr:colOff>914400</xdr:colOff>
                    <xdr:row>17</xdr:row>
                    <xdr:rowOff>203200</xdr:rowOff>
                  </to>
                </anchor>
              </controlPr>
            </control>
          </mc:Choice>
        </mc:AlternateContent>
        <mc:AlternateContent xmlns:mc="http://schemas.openxmlformats.org/markup-compatibility/2006">
          <mc:Choice Requires="x14">
            <control shapeId="51214" r:id="rId16" name="Option Button 14">
              <controlPr defaultSize="0" autoFill="0" autoLine="0" autoPict="0">
                <anchor moveWithCells="1">
                  <from>
                    <xdr:col>1</xdr:col>
                    <xdr:colOff>438150</xdr:colOff>
                    <xdr:row>18</xdr:row>
                    <xdr:rowOff>12700</xdr:rowOff>
                  </from>
                  <to>
                    <xdr:col>1</xdr:col>
                    <xdr:colOff>914400</xdr:colOff>
                    <xdr:row>18</xdr:row>
                    <xdr:rowOff>203200</xdr:rowOff>
                  </to>
                </anchor>
              </controlPr>
            </control>
          </mc:Choice>
        </mc:AlternateContent>
        <mc:AlternateContent xmlns:mc="http://schemas.openxmlformats.org/markup-compatibility/2006">
          <mc:Choice Requires="x14">
            <control shapeId="51215" r:id="rId17" name="Option Button 15">
              <controlPr defaultSize="0" autoFill="0" autoLine="0" autoPict="0">
                <anchor moveWithCells="1">
                  <from>
                    <xdr:col>1</xdr:col>
                    <xdr:colOff>438150</xdr:colOff>
                    <xdr:row>19</xdr:row>
                    <xdr:rowOff>12700</xdr:rowOff>
                  </from>
                  <to>
                    <xdr:col>1</xdr:col>
                    <xdr:colOff>914400</xdr:colOff>
                    <xdr:row>19</xdr:row>
                    <xdr:rowOff>203200</xdr:rowOff>
                  </to>
                </anchor>
              </controlPr>
            </control>
          </mc:Choice>
        </mc:AlternateContent>
        <mc:AlternateContent xmlns:mc="http://schemas.openxmlformats.org/markup-compatibility/2006">
          <mc:Choice Requires="x14">
            <control shapeId="51216" r:id="rId18" name="Option Button 16">
              <controlPr defaultSize="0" autoFill="0" autoLine="0" autoPict="0">
                <anchor moveWithCells="1">
                  <from>
                    <xdr:col>1</xdr:col>
                    <xdr:colOff>438150</xdr:colOff>
                    <xdr:row>20</xdr:row>
                    <xdr:rowOff>12700</xdr:rowOff>
                  </from>
                  <to>
                    <xdr:col>1</xdr:col>
                    <xdr:colOff>914400</xdr:colOff>
                    <xdr:row>20</xdr:row>
                    <xdr:rowOff>203200</xdr:rowOff>
                  </to>
                </anchor>
              </controlPr>
            </control>
          </mc:Choice>
        </mc:AlternateContent>
        <mc:AlternateContent xmlns:mc="http://schemas.openxmlformats.org/markup-compatibility/2006">
          <mc:Choice Requires="x14">
            <control shapeId="51217" r:id="rId19" name="Option Button 17">
              <controlPr defaultSize="0" autoFill="0" autoLine="0" autoPict="0">
                <anchor moveWithCells="1">
                  <from>
                    <xdr:col>1</xdr:col>
                    <xdr:colOff>438150</xdr:colOff>
                    <xdr:row>21</xdr:row>
                    <xdr:rowOff>12700</xdr:rowOff>
                  </from>
                  <to>
                    <xdr:col>1</xdr:col>
                    <xdr:colOff>914400</xdr:colOff>
                    <xdr:row>21</xdr:row>
                    <xdr:rowOff>203200</xdr:rowOff>
                  </to>
                </anchor>
              </controlPr>
            </control>
          </mc:Choice>
        </mc:AlternateContent>
        <mc:AlternateContent xmlns:mc="http://schemas.openxmlformats.org/markup-compatibility/2006">
          <mc:Choice Requires="x14">
            <control shapeId="51218" r:id="rId20" name="Option Button 18">
              <controlPr defaultSize="0" autoFill="0" autoLine="0" autoPict="0">
                <anchor moveWithCells="1">
                  <from>
                    <xdr:col>1</xdr:col>
                    <xdr:colOff>438150</xdr:colOff>
                    <xdr:row>22</xdr:row>
                    <xdr:rowOff>12700</xdr:rowOff>
                  </from>
                  <to>
                    <xdr:col>1</xdr:col>
                    <xdr:colOff>914400</xdr:colOff>
                    <xdr:row>22</xdr:row>
                    <xdr:rowOff>203200</xdr:rowOff>
                  </to>
                </anchor>
              </controlPr>
            </control>
          </mc:Choice>
        </mc:AlternateContent>
        <mc:AlternateContent xmlns:mc="http://schemas.openxmlformats.org/markup-compatibility/2006">
          <mc:Choice Requires="x14">
            <control shapeId="51219" r:id="rId21" name="Option Button 19">
              <controlPr defaultSize="0" autoFill="0" autoLine="0" autoPict="0">
                <anchor moveWithCells="1">
                  <from>
                    <xdr:col>1</xdr:col>
                    <xdr:colOff>438150</xdr:colOff>
                    <xdr:row>23</xdr:row>
                    <xdr:rowOff>12700</xdr:rowOff>
                  </from>
                  <to>
                    <xdr:col>1</xdr:col>
                    <xdr:colOff>914400</xdr:colOff>
                    <xdr:row>23</xdr:row>
                    <xdr:rowOff>203200</xdr:rowOff>
                  </to>
                </anchor>
              </controlPr>
            </control>
          </mc:Choice>
        </mc:AlternateContent>
        <mc:AlternateContent xmlns:mc="http://schemas.openxmlformats.org/markup-compatibility/2006">
          <mc:Choice Requires="x14">
            <control shapeId="51220" r:id="rId22" name="Option Button 20">
              <controlPr defaultSize="0" autoFill="0" autoLine="0" autoPict="0">
                <anchor moveWithCells="1">
                  <from>
                    <xdr:col>1</xdr:col>
                    <xdr:colOff>438150</xdr:colOff>
                    <xdr:row>24</xdr:row>
                    <xdr:rowOff>12700</xdr:rowOff>
                  </from>
                  <to>
                    <xdr:col>1</xdr:col>
                    <xdr:colOff>914400</xdr:colOff>
                    <xdr:row>24</xdr:row>
                    <xdr:rowOff>203200</xdr:rowOff>
                  </to>
                </anchor>
              </controlPr>
            </control>
          </mc:Choice>
        </mc:AlternateContent>
        <mc:AlternateContent xmlns:mc="http://schemas.openxmlformats.org/markup-compatibility/2006">
          <mc:Choice Requires="x14">
            <control shapeId="51221" r:id="rId23" name="Option Button 21">
              <controlPr defaultSize="0" autoFill="0" autoLine="0" autoPict="0">
                <anchor moveWithCells="1">
                  <from>
                    <xdr:col>1</xdr:col>
                    <xdr:colOff>438150</xdr:colOff>
                    <xdr:row>25</xdr:row>
                    <xdr:rowOff>12700</xdr:rowOff>
                  </from>
                  <to>
                    <xdr:col>1</xdr:col>
                    <xdr:colOff>914400</xdr:colOff>
                    <xdr:row>25</xdr:row>
                    <xdr:rowOff>203200</xdr:rowOff>
                  </to>
                </anchor>
              </controlPr>
            </control>
          </mc:Choice>
        </mc:AlternateContent>
        <mc:AlternateContent xmlns:mc="http://schemas.openxmlformats.org/markup-compatibility/2006">
          <mc:Choice Requires="x14">
            <control shapeId="51222" r:id="rId24" name="Option Button 22">
              <controlPr defaultSize="0" autoFill="0" autoLine="0" autoPict="0">
                <anchor moveWithCells="1">
                  <from>
                    <xdr:col>1</xdr:col>
                    <xdr:colOff>438150</xdr:colOff>
                    <xdr:row>26</xdr:row>
                    <xdr:rowOff>12700</xdr:rowOff>
                  </from>
                  <to>
                    <xdr:col>1</xdr:col>
                    <xdr:colOff>914400</xdr:colOff>
                    <xdr:row>26</xdr:row>
                    <xdr:rowOff>203200</xdr:rowOff>
                  </to>
                </anchor>
              </controlPr>
            </control>
          </mc:Choice>
        </mc:AlternateContent>
        <mc:AlternateContent xmlns:mc="http://schemas.openxmlformats.org/markup-compatibility/2006">
          <mc:Choice Requires="x14">
            <control shapeId="51223" r:id="rId25" name="Option Button 23">
              <controlPr defaultSize="0" autoFill="0" autoLine="0" autoPict="0">
                <anchor moveWithCells="1">
                  <from>
                    <xdr:col>1</xdr:col>
                    <xdr:colOff>438150</xdr:colOff>
                    <xdr:row>27</xdr:row>
                    <xdr:rowOff>12700</xdr:rowOff>
                  </from>
                  <to>
                    <xdr:col>1</xdr:col>
                    <xdr:colOff>914400</xdr:colOff>
                    <xdr:row>27</xdr:row>
                    <xdr:rowOff>203200</xdr:rowOff>
                  </to>
                </anchor>
              </controlPr>
            </control>
          </mc:Choice>
        </mc:AlternateContent>
        <mc:AlternateContent xmlns:mc="http://schemas.openxmlformats.org/markup-compatibility/2006">
          <mc:Choice Requires="x14">
            <control shapeId="51224" r:id="rId26" name="Option Button 24">
              <controlPr defaultSize="0" autoFill="0" autoLine="0" autoPict="0">
                <anchor moveWithCells="1">
                  <from>
                    <xdr:col>1</xdr:col>
                    <xdr:colOff>438150</xdr:colOff>
                    <xdr:row>28</xdr:row>
                    <xdr:rowOff>12700</xdr:rowOff>
                  </from>
                  <to>
                    <xdr:col>1</xdr:col>
                    <xdr:colOff>914400</xdr:colOff>
                    <xdr:row>28</xdr:row>
                    <xdr:rowOff>203200</xdr:rowOff>
                  </to>
                </anchor>
              </controlPr>
            </control>
          </mc:Choice>
        </mc:AlternateContent>
        <mc:AlternateContent xmlns:mc="http://schemas.openxmlformats.org/markup-compatibility/2006">
          <mc:Choice Requires="x14">
            <control shapeId="51225" r:id="rId27" name="Option Button 25">
              <controlPr defaultSize="0" autoFill="0" autoLine="0" autoPict="0">
                <anchor moveWithCells="1">
                  <from>
                    <xdr:col>1</xdr:col>
                    <xdr:colOff>438150</xdr:colOff>
                    <xdr:row>29</xdr:row>
                    <xdr:rowOff>12700</xdr:rowOff>
                  </from>
                  <to>
                    <xdr:col>1</xdr:col>
                    <xdr:colOff>914400</xdr:colOff>
                    <xdr:row>29</xdr:row>
                    <xdr:rowOff>203200</xdr:rowOff>
                  </to>
                </anchor>
              </controlPr>
            </control>
          </mc:Choice>
        </mc:AlternateContent>
        <mc:AlternateContent xmlns:mc="http://schemas.openxmlformats.org/markup-compatibility/2006">
          <mc:Choice Requires="x14">
            <control shapeId="51226" r:id="rId28" name="Option Button 26">
              <controlPr defaultSize="0" autoFill="0" autoLine="0" autoPict="0">
                <anchor moveWithCells="1">
                  <from>
                    <xdr:col>1</xdr:col>
                    <xdr:colOff>438150</xdr:colOff>
                    <xdr:row>30</xdr:row>
                    <xdr:rowOff>12700</xdr:rowOff>
                  </from>
                  <to>
                    <xdr:col>1</xdr:col>
                    <xdr:colOff>914400</xdr:colOff>
                    <xdr:row>30</xdr:row>
                    <xdr:rowOff>203200</xdr:rowOff>
                  </to>
                </anchor>
              </controlPr>
            </control>
          </mc:Choice>
        </mc:AlternateContent>
        <mc:AlternateContent xmlns:mc="http://schemas.openxmlformats.org/markup-compatibility/2006">
          <mc:Choice Requires="x14">
            <control shapeId="51227" r:id="rId29" name="Option Button 27">
              <controlPr defaultSize="0" autoFill="0" autoLine="0" autoPict="0">
                <anchor moveWithCells="1">
                  <from>
                    <xdr:col>1</xdr:col>
                    <xdr:colOff>438150</xdr:colOff>
                    <xdr:row>31</xdr:row>
                    <xdr:rowOff>12700</xdr:rowOff>
                  </from>
                  <to>
                    <xdr:col>1</xdr:col>
                    <xdr:colOff>914400</xdr:colOff>
                    <xdr:row>31</xdr:row>
                    <xdr:rowOff>203200</xdr:rowOff>
                  </to>
                </anchor>
              </controlPr>
            </control>
          </mc:Choice>
        </mc:AlternateContent>
        <mc:AlternateContent xmlns:mc="http://schemas.openxmlformats.org/markup-compatibility/2006">
          <mc:Choice Requires="x14">
            <control shapeId="51228" r:id="rId30" name="Option Button 28">
              <controlPr defaultSize="0" autoFill="0" autoLine="0" autoPict="0">
                <anchor moveWithCells="1">
                  <from>
                    <xdr:col>1</xdr:col>
                    <xdr:colOff>438150</xdr:colOff>
                    <xdr:row>32</xdr:row>
                    <xdr:rowOff>12700</xdr:rowOff>
                  </from>
                  <to>
                    <xdr:col>1</xdr:col>
                    <xdr:colOff>914400</xdr:colOff>
                    <xdr:row>32</xdr:row>
                    <xdr:rowOff>203200</xdr:rowOff>
                  </to>
                </anchor>
              </controlPr>
            </control>
          </mc:Choice>
        </mc:AlternateContent>
        <mc:AlternateContent xmlns:mc="http://schemas.openxmlformats.org/markup-compatibility/2006">
          <mc:Choice Requires="x14">
            <control shapeId="51229" r:id="rId31" name="Option Button 29">
              <controlPr defaultSize="0" autoFill="0" autoLine="0" autoPict="0">
                <anchor moveWithCells="1">
                  <from>
                    <xdr:col>1</xdr:col>
                    <xdr:colOff>438150</xdr:colOff>
                    <xdr:row>33</xdr:row>
                    <xdr:rowOff>12700</xdr:rowOff>
                  </from>
                  <to>
                    <xdr:col>1</xdr:col>
                    <xdr:colOff>914400</xdr:colOff>
                    <xdr:row>33</xdr:row>
                    <xdr:rowOff>203200</xdr:rowOff>
                  </to>
                </anchor>
              </controlPr>
            </control>
          </mc:Choice>
        </mc:AlternateContent>
        <mc:AlternateContent xmlns:mc="http://schemas.openxmlformats.org/markup-compatibility/2006">
          <mc:Choice Requires="x14">
            <control shapeId="51230" r:id="rId32" name="Option Button 30">
              <controlPr defaultSize="0" autoFill="0" autoLine="0" autoPict="0">
                <anchor moveWithCells="1">
                  <from>
                    <xdr:col>1</xdr:col>
                    <xdr:colOff>438150</xdr:colOff>
                    <xdr:row>34</xdr:row>
                    <xdr:rowOff>12700</xdr:rowOff>
                  </from>
                  <to>
                    <xdr:col>1</xdr:col>
                    <xdr:colOff>914400</xdr:colOff>
                    <xdr:row>34</xdr:row>
                    <xdr:rowOff>203200</xdr:rowOff>
                  </to>
                </anchor>
              </controlPr>
            </control>
          </mc:Choice>
        </mc:AlternateContent>
        <mc:AlternateContent xmlns:mc="http://schemas.openxmlformats.org/markup-compatibility/2006">
          <mc:Choice Requires="x14">
            <control shapeId="51231" r:id="rId33" name="Option Button 31">
              <controlPr defaultSize="0" autoFill="0" autoLine="0" autoPict="0">
                <anchor moveWithCells="1">
                  <from>
                    <xdr:col>1</xdr:col>
                    <xdr:colOff>438150</xdr:colOff>
                    <xdr:row>35</xdr:row>
                    <xdr:rowOff>12700</xdr:rowOff>
                  </from>
                  <to>
                    <xdr:col>1</xdr:col>
                    <xdr:colOff>914400</xdr:colOff>
                    <xdr:row>35</xdr:row>
                    <xdr:rowOff>203200</xdr:rowOff>
                  </to>
                </anchor>
              </controlPr>
            </control>
          </mc:Choice>
        </mc:AlternateContent>
        <mc:AlternateContent xmlns:mc="http://schemas.openxmlformats.org/markup-compatibility/2006">
          <mc:Choice Requires="x14">
            <control shapeId="51232" r:id="rId34" name="Option Button 32">
              <controlPr defaultSize="0" autoFill="0" autoLine="0" autoPict="0">
                <anchor moveWithCells="1">
                  <from>
                    <xdr:col>1</xdr:col>
                    <xdr:colOff>438150</xdr:colOff>
                    <xdr:row>36</xdr:row>
                    <xdr:rowOff>12700</xdr:rowOff>
                  </from>
                  <to>
                    <xdr:col>1</xdr:col>
                    <xdr:colOff>914400</xdr:colOff>
                    <xdr:row>36</xdr:row>
                    <xdr:rowOff>203200</xdr:rowOff>
                  </to>
                </anchor>
              </controlPr>
            </control>
          </mc:Choice>
        </mc:AlternateContent>
        <mc:AlternateContent xmlns:mc="http://schemas.openxmlformats.org/markup-compatibility/2006">
          <mc:Choice Requires="x14">
            <control shapeId="51233" r:id="rId35" name="Option Button 33">
              <controlPr defaultSize="0" autoFill="0" autoLine="0" autoPict="0">
                <anchor moveWithCells="1">
                  <from>
                    <xdr:col>1</xdr:col>
                    <xdr:colOff>438150</xdr:colOff>
                    <xdr:row>37</xdr:row>
                    <xdr:rowOff>12700</xdr:rowOff>
                  </from>
                  <to>
                    <xdr:col>1</xdr:col>
                    <xdr:colOff>914400</xdr:colOff>
                    <xdr:row>37</xdr:row>
                    <xdr:rowOff>203200</xdr:rowOff>
                  </to>
                </anchor>
              </controlPr>
            </control>
          </mc:Choice>
        </mc:AlternateContent>
        <mc:AlternateContent xmlns:mc="http://schemas.openxmlformats.org/markup-compatibility/2006">
          <mc:Choice Requires="x14">
            <control shapeId="51234" r:id="rId36" name="Option Button 34">
              <controlPr defaultSize="0" autoFill="0" autoLine="0" autoPict="0">
                <anchor moveWithCells="1">
                  <from>
                    <xdr:col>1</xdr:col>
                    <xdr:colOff>438150</xdr:colOff>
                    <xdr:row>38</xdr:row>
                    <xdr:rowOff>12700</xdr:rowOff>
                  </from>
                  <to>
                    <xdr:col>1</xdr:col>
                    <xdr:colOff>914400</xdr:colOff>
                    <xdr:row>38</xdr:row>
                    <xdr:rowOff>203200</xdr:rowOff>
                  </to>
                </anchor>
              </controlPr>
            </control>
          </mc:Choice>
        </mc:AlternateContent>
        <mc:AlternateContent xmlns:mc="http://schemas.openxmlformats.org/markup-compatibility/2006">
          <mc:Choice Requires="x14">
            <control shapeId="51235" r:id="rId37" name="Option Button 35">
              <controlPr defaultSize="0" autoFill="0" autoLine="0" autoPict="0">
                <anchor moveWithCells="1">
                  <from>
                    <xdr:col>1</xdr:col>
                    <xdr:colOff>438150</xdr:colOff>
                    <xdr:row>39</xdr:row>
                    <xdr:rowOff>12700</xdr:rowOff>
                  </from>
                  <to>
                    <xdr:col>1</xdr:col>
                    <xdr:colOff>914400</xdr:colOff>
                    <xdr:row>39</xdr:row>
                    <xdr:rowOff>203200</xdr:rowOff>
                  </to>
                </anchor>
              </controlPr>
            </control>
          </mc:Choice>
        </mc:AlternateContent>
        <mc:AlternateContent xmlns:mc="http://schemas.openxmlformats.org/markup-compatibility/2006">
          <mc:Choice Requires="x14">
            <control shapeId="51236" r:id="rId38" name="Option Button 36">
              <controlPr defaultSize="0" autoFill="0" autoLine="0" autoPict="0">
                <anchor moveWithCells="1">
                  <from>
                    <xdr:col>1</xdr:col>
                    <xdr:colOff>438150</xdr:colOff>
                    <xdr:row>40</xdr:row>
                    <xdr:rowOff>12700</xdr:rowOff>
                  </from>
                  <to>
                    <xdr:col>1</xdr:col>
                    <xdr:colOff>914400</xdr:colOff>
                    <xdr:row>40</xdr:row>
                    <xdr:rowOff>203200</xdr:rowOff>
                  </to>
                </anchor>
              </controlPr>
            </control>
          </mc:Choice>
        </mc:AlternateContent>
        <mc:AlternateContent xmlns:mc="http://schemas.openxmlformats.org/markup-compatibility/2006">
          <mc:Choice Requires="x14">
            <control shapeId="51237" r:id="rId39" name="Option Button 37">
              <controlPr defaultSize="0" autoFill="0" autoLine="0" autoPict="0">
                <anchor moveWithCells="1">
                  <from>
                    <xdr:col>1</xdr:col>
                    <xdr:colOff>438150</xdr:colOff>
                    <xdr:row>41</xdr:row>
                    <xdr:rowOff>12700</xdr:rowOff>
                  </from>
                  <to>
                    <xdr:col>1</xdr:col>
                    <xdr:colOff>914400</xdr:colOff>
                    <xdr:row>41</xdr:row>
                    <xdr:rowOff>203200</xdr:rowOff>
                  </to>
                </anchor>
              </controlPr>
            </control>
          </mc:Choice>
        </mc:AlternateContent>
        <mc:AlternateContent xmlns:mc="http://schemas.openxmlformats.org/markup-compatibility/2006">
          <mc:Choice Requires="x14">
            <control shapeId="51238" r:id="rId40" name="Option Button 38">
              <controlPr defaultSize="0" autoFill="0" autoLine="0" autoPict="0">
                <anchor moveWithCells="1">
                  <from>
                    <xdr:col>1</xdr:col>
                    <xdr:colOff>438150</xdr:colOff>
                    <xdr:row>42</xdr:row>
                    <xdr:rowOff>12700</xdr:rowOff>
                  </from>
                  <to>
                    <xdr:col>1</xdr:col>
                    <xdr:colOff>914400</xdr:colOff>
                    <xdr:row>42</xdr:row>
                    <xdr:rowOff>203200</xdr:rowOff>
                  </to>
                </anchor>
              </controlPr>
            </control>
          </mc:Choice>
        </mc:AlternateContent>
        <mc:AlternateContent xmlns:mc="http://schemas.openxmlformats.org/markup-compatibility/2006">
          <mc:Choice Requires="x14">
            <control shapeId="51239" r:id="rId41" name="Option Button 39">
              <controlPr defaultSize="0" autoFill="0" autoLine="0" autoPict="0">
                <anchor moveWithCells="1">
                  <from>
                    <xdr:col>1</xdr:col>
                    <xdr:colOff>438150</xdr:colOff>
                    <xdr:row>43</xdr:row>
                    <xdr:rowOff>12700</xdr:rowOff>
                  </from>
                  <to>
                    <xdr:col>1</xdr:col>
                    <xdr:colOff>914400</xdr:colOff>
                    <xdr:row>43</xdr:row>
                    <xdr:rowOff>203200</xdr:rowOff>
                  </to>
                </anchor>
              </controlPr>
            </control>
          </mc:Choice>
        </mc:AlternateContent>
        <mc:AlternateContent xmlns:mc="http://schemas.openxmlformats.org/markup-compatibility/2006">
          <mc:Choice Requires="x14">
            <control shapeId="51240" r:id="rId42" name="Option Button 40">
              <controlPr defaultSize="0" autoFill="0" autoLine="0" autoPict="0">
                <anchor moveWithCells="1">
                  <from>
                    <xdr:col>1</xdr:col>
                    <xdr:colOff>438150</xdr:colOff>
                    <xdr:row>44</xdr:row>
                    <xdr:rowOff>12700</xdr:rowOff>
                  </from>
                  <to>
                    <xdr:col>1</xdr:col>
                    <xdr:colOff>914400</xdr:colOff>
                    <xdr:row>44</xdr:row>
                    <xdr:rowOff>203200</xdr:rowOff>
                  </to>
                </anchor>
              </controlPr>
            </control>
          </mc:Choice>
        </mc:AlternateContent>
        <mc:AlternateContent xmlns:mc="http://schemas.openxmlformats.org/markup-compatibility/2006">
          <mc:Choice Requires="x14">
            <control shapeId="51241" r:id="rId43" name="Option Button 41">
              <controlPr defaultSize="0" autoFill="0" autoLine="0" autoPict="0">
                <anchor moveWithCells="1">
                  <from>
                    <xdr:col>1</xdr:col>
                    <xdr:colOff>438150</xdr:colOff>
                    <xdr:row>45</xdr:row>
                    <xdr:rowOff>12700</xdr:rowOff>
                  </from>
                  <to>
                    <xdr:col>1</xdr:col>
                    <xdr:colOff>914400</xdr:colOff>
                    <xdr:row>45</xdr:row>
                    <xdr:rowOff>203200</xdr:rowOff>
                  </to>
                </anchor>
              </controlPr>
            </control>
          </mc:Choice>
        </mc:AlternateContent>
        <mc:AlternateContent xmlns:mc="http://schemas.openxmlformats.org/markup-compatibility/2006">
          <mc:Choice Requires="x14">
            <control shapeId="51242" r:id="rId44" name="Option Button 42">
              <controlPr defaultSize="0" autoFill="0" autoLine="0" autoPict="0">
                <anchor moveWithCells="1">
                  <from>
                    <xdr:col>1</xdr:col>
                    <xdr:colOff>438150</xdr:colOff>
                    <xdr:row>46</xdr:row>
                    <xdr:rowOff>12700</xdr:rowOff>
                  </from>
                  <to>
                    <xdr:col>1</xdr:col>
                    <xdr:colOff>914400</xdr:colOff>
                    <xdr:row>46</xdr:row>
                    <xdr:rowOff>203200</xdr:rowOff>
                  </to>
                </anchor>
              </controlPr>
            </control>
          </mc:Choice>
        </mc:AlternateContent>
        <mc:AlternateContent xmlns:mc="http://schemas.openxmlformats.org/markup-compatibility/2006">
          <mc:Choice Requires="x14">
            <control shapeId="51243" r:id="rId45" name="Option Button 43">
              <controlPr defaultSize="0" autoFill="0" autoLine="0" autoPict="0">
                <anchor moveWithCells="1">
                  <from>
                    <xdr:col>1</xdr:col>
                    <xdr:colOff>438150</xdr:colOff>
                    <xdr:row>47</xdr:row>
                    <xdr:rowOff>12700</xdr:rowOff>
                  </from>
                  <to>
                    <xdr:col>1</xdr:col>
                    <xdr:colOff>914400</xdr:colOff>
                    <xdr:row>47</xdr:row>
                    <xdr:rowOff>203200</xdr:rowOff>
                  </to>
                </anchor>
              </controlPr>
            </control>
          </mc:Choice>
        </mc:AlternateContent>
        <mc:AlternateContent xmlns:mc="http://schemas.openxmlformats.org/markup-compatibility/2006">
          <mc:Choice Requires="x14">
            <control shapeId="51244" r:id="rId46" name="Option Button 44">
              <controlPr defaultSize="0" autoFill="0" autoLine="0" autoPict="0">
                <anchor moveWithCells="1">
                  <from>
                    <xdr:col>1</xdr:col>
                    <xdr:colOff>438150</xdr:colOff>
                    <xdr:row>48</xdr:row>
                    <xdr:rowOff>12700</xdr:rowOff>
                  </from>
                  <to>
                    <xdr:col>1</xdr:col>
                    <xdr:colOff>914400</xdr:colOff>
                    <xdr:row>48</xdr:row>
                    <xdr:rowOff>203200</xdr:rowOff>
                  </to>
                </anchor>
              </controlPr>
            </control>
          </mc:Choice>
        </mc:AlternateContent>
        <mc:AlternateContent xmlns:mc="http://schemas.openxmlformats.org/markup-compatibility/2006">
          <mc:Choice Requires="x14">
            <control shapeId="51245" r:id="rId47" name="Option Button 45">
              <controlPr defaultSize="0" autoFill="0" autoLine="0" autoPict="0">
                <anchor moveWithCells="1">
                  <from>
                    <xdr:col>1</xdr:col>
                    <xdr:colOff>438150</xdr:colOff>
                    <xdr:row>49</xdr:row>
                    <xdr:rowOff>12700</xdr:rowOff>
                  </from>
                  <to>
                    <xdr:col>1</xdr:col>
                    <xdr:colOff>914400</xdr:colOff>
                    <xdr:row>49</xdr:row>
                    <xdr:rowOff>203200</xdr:rowOff>
                  </to>
                </anchor>
              </controlPr>
            </control>
          </mc:Choice>
        </mc:AlternateContent>
        <mc:AlternateContent xmlns:mc="http://schemas.openxmlformats.org/markup-compatibility/2006">
          <mc:Choice Requires="x14">
            <control shapeId="51246" r:id="rId48" name="Option Button 46">
              <controlPr defaultSize="0" autoFill="0" autoLine="0" autoPict="0">
                <anchor moveWithCells="1">
                  <from>
                    <xdr:col>1</xdr:col>
                    <xdr:colOff>438150</xdr:colOff>
                    <xdr:row>50</xdr:row>
                    <xdr:rowOff>12700</xdr:rowOff>
                  </from>
                  <to>
                    <xdr:col>1</xdr:col>
                    <xdr:colOff>914400</xdr:colOff>
                    <xdr:row>50</xdr:row>
                    <xdr:rowOff>209550</xdr:rowOff>
                  </to>
                </anchor>
              </controlPr>
            </control>
          </mc:Choice>
        </mc:AlternateContent>
        <mc:AlternateContent xmlns:mc="http://schemas.openxmlformats.org/markup-compatibility/2006">
          <mc:Choice Requires="x14">
            <control shapeId="51247" r:id="rId49" name="Option Button 47">
              <controlPr defaultSize="0" autoFill="0" autoLine="0" autoPict="0">
                <anchor moveWithCells="1">
                  <from>
                    <xdr:col>1</xdr:col>
                    <xdr:colOff>438150</xdr:colOff>
                    <xdr:row>51</xdr:row>
                    <xdr:rowOff>12700</xdr:rowOff>
                  </from>
                  <to>
                    <xdr:col>1</xdr:col>
                    <xdr:colOff>914400</xdr:colOff>
                    <xdr:row>51</xdr:row>
                    <xdr:rowOff>203200</xdr:rowOff>
                  </to>
                </anchor>
              </controlPr>
            </control>
          </mc:Choice>
        </mc:AlternateContent>
        <mc:AlternateContent xmlns:mc="http://schemas.openxmlformats.org/markup-compatibility/2006">
          <mc:Choice Requires="x14">
            <control shapeId="51248" r:id="rId50" name="Option Button 48">
              <controlPr defaultSize="0" autoFill="0" autoLine="0" autoPict="0">
                <anchor moveWithCells="1">
                  <from>
                    <xdr:col>1</xdr:col>
                    <xdr:colOff>438150</xdr:colOff>
                    <xdr:row>52</xdr:row>
                    <xdr:rowOff>12700</xdr:rowOff>
                  </from>
                  <to>
                    <xdr:col>1</xdr:col>
                    <xdr:colOff>914400</xdr:colOff>
                    <xdr:row>52</xdr:row>
                    <xdr:rowOff>203200</xdr:rowOff>
                  </to>
                </anchor>
              </controlPr>
            </control>
          </mc:Choice>
        </mc:AlternateContent>
        <mc:AlternateContent xmlns:mc="http://schemas.openxmlformats.org/markup-compatibility/2006">
          <mc:Choice Requires="x14">
            <control shapeId="51249" r:id="rId51" name="Option Button 49">
              <controlPr defaultSize="0" autoFill="0" autoLine="0" autoPict="0">
                <anchor moveWithCells="1">
                  <from>
                    <xdr:col>1</xdr:col>
                    <xdr:colOff>438150</xdr:colOff>
                    <xdr:row>53</xdr:row>
                    <xdr:rowOff>12700</xdr:rowOff>
                  </from>
                  <to>
                    <xdr:col>1</xdr:col>
                    <xdr:colOff>914400</xdr:colOff>
                    <xdr:row>53</xdr:row>
                    <xdr:rowOff>209550</xdr:rowOff>
                  </to>
                </anchor>
              </controlPr>
            </control>
          </mc:Choice>
        </mc:AlternateContent>
        <mc:AlternateContent xmlns:mc="http://schemas.openxmlformats.org/markup-compatibility/2006">
          <mc:Choice Requires="x14">
            <control shapeId="51250" r:id="rId52" name="Option Button 50">
              <controlPr defaultSize="0" autoFill="0" autoLine="0" autoPict="0">
                <anchor moveWithCells="1">
                  <from>
                    <xdr:col>1</xdr:col>
                    <xdr:colOff>438150</xdr:colOff>
                    <xdr:row>54</xdr:row>
                    <xdr:rowOff>12700</xdr:rowOff>
                  </from>
                  <to>
                    <xdr:col>1</xdr:col>
                    <xdr:colOff>914400</xdr:colOff>
                    <xdr:row>54</xdr:row>
                    <xdr:rowOff>203200</xdr:rowOff>
                  </to>
                </anchor>
              </controlPr>
            </control>
          </mc:Choice>
        </mc:AlternateContent>
        <mc:AlternateContent xmlns:mc="http://schemas.openxmlformats.org/markup-compatibility/2006">
          <mc:Choice Requires="x14">
            <control shapeId="51251" r:id="rId53" name="Option Button 51">
              <controlPr defaultSize="0" autoFill="0" autoLine="0" autoPict="0">
                <anchor moveWithCells="1">
                  <from>
                    <xdr:col>1</xdr:col>
                    <xdr:colOff>438150</xdr:colOff>
                    <xdr:row>55</xdr:row>
                    <xdr:rowOff>12700</xdr:rowOff>
                  </from>
                  <to>
                    <xdr:col>1</xdr:col>
                    <xdr:colOff>914400</xdr:colOff>
                    <xdr:row>55</xdr:row>
                    <xdr:rowOff>203200</xdr:rowOff>
                  </to>
                </anchor>
              </controlPr>
            </control>
          </mc:Choice>
        </mc:AlternateContent>
        <mc:AlternateContent xmlns:mc="http://schemas.openxmlformats.org/markup-compatibility/2006">
          <mc:Choice Requires="x14">
            <control shapeId="51252" r:id="rId54" name="Option Button 52">
              <controlPr defaultSize="0" autoFill="0" autoLine="0" autoPict="0">
                <anchor moveWithCells="1">
                  <from>
                    <xdr:col>1</xdr:col>
                    <xdr:colOff>438150</xdr:colOff>
                    <xdr:row>56</xdr:row>
                    <xdr:rowOff>12700</xdr:rowOff>
                  </from>
                  <to>
                    <xdr:col>1</xdr:col>
                    <xdr:colOff>914400</xdr:colOff>
                    <xdr:row>56</xdr:row>
                    <xdr:rowOff>203200</xdr:rowOff>
                  </to>
                </anchor>
              </controlPr>
            </control>
          </mc:Choice>
        </mc:AlternateContent>
        <mc:AlternateContent xmlns:mc="http://schemas.openxmlformats.org/markup-compatibility/2006">
          <mc:Choice Requires="x14">
            <control shapeId="51253" r:id="rId55" name="Option Button 53">
              <controlPr defaultSize="0" autoFill="0" autoLine="0" autoPict="0">
                <anchor moveWithCells="1">
                  <from>
                    <xdr:col>1</xdr:col>
                    <xdr:colOff>438150</xdr:colOff>
                    <xdr:row>57</xdr:row>
                    <xdr:rowOff>12700</xdr:rowOff>
                  </from>
                  <to>
                    <xdr:col>1</xdr:col>
                    <xdr:colOff>914400</xdr:colOff>
                    <xdr:row>57</xdr:row>
                    <xdr:rowOff>203200</xdr:rowOff>
                  </to>
                </anchor>
              </controlPr>
            </control>
          </mc:Choice>
        </mc:AlternateContent>
        <mc:AlternateContent xmlns:mc="http://schemas.openxmlformats.org/markup-compatibility/2006">
          <mc:Choice Requires="x14">
            <control shapeId="51254" r:id="rId56" name="Option Button 54">
              <controlPr defaultSize="0" autoFill="0" autoLine="0" autoPict="0">
                <anchor moveWithCells="1">
                  <from>
                    <xdr:col>1</xdr:col>
                    <xdr:colOff>438150</xdr:colOff>
                    <xdr:row>58</xdr:row>
                    <xdr:rowOff>12700</xdr:rowOff>
                  </from>
                  <to>
                    <xdr:col>1</xdr:col>
                    <xdr:colOff>914400</xdr:colOff>
                    <xdr:row>58</xdr:row>
                    <xdr:rowOff>203200</xdr:rowOff>
                  </to>
                </anchor>
              </controlPr>
            </control>
          </mc:Choice>
        </mc:AlternateContent>
        <mc:AlternateContent xmlns:mc="http://schemas.openxmlformats.org/markup-compatibility/2006">
          <mc:Choice Requires="x14">
            <control shapeId="51255" r:id="rId57" name="Option Button 55">
              <controlPr defaultSize="0" autoFill="0" autoLine="0" autoPict="0">
                <anchor moveWithCells="1">
                  <from>
                    <xdr:col>1</xdr:col>
                    <xdr:colOff>438150</xdr:colOff>
                    <xdr:row>59</xdr:row>
                    <xdr:rowOff>12700</xdr:rowOff>
                  </from>
                  <to>
                    <xdr:col>1</xdr:col>
                    <xdr:colOff>914400</xdr:colOff>
                    <xdr:row>59</xdr:row>
                    <xdr:rowOff>203200</xdr:rowOff>
                  </to>
                </anchor>
              </controlPr>
            </control>
          </mc:Choice>
        </mc:AlternateContent>
        <mc:AlternateContent xmlns:mc="http://schemas.openxmlformats.org/markup-compatibility/2006">
          <mc:Choice Requires="x14">
            <control shapeId="51256" r:id="rId58" name="Option Button 56">
              <controlPr defaultSize="0" autoFill="0" autoLine="0" autoPict="0">
                <anchor moveWithCells="1">
                  <from>
                    <xdr:col>1</xdr:col>
                    <xdr:colOff>438150</xdr:colOff>
                    <xdr:row>60</xdr:row>
                    <xdr:rowOff>12700</xdr:rowOff>
                  </from>
                  <to>
                    <xdr:col>1</xdr:col>
                    <xdr:colOff>914400</xdr:colOff>
                    <xdr:row>60</xdr:row>
                    <xdr:rowOff>203200</xdr:rowOff>
                  </to>
                </anchor>
              </controlPr>
            </control>
          </mc:Choice>
        </mc:AlternateContent>
        <mc:AlternateContent xmlns:mc="http://schemas.openxmlformats.org/markup-compatibility/2006">
          <mc:Choice Requires="x14">
            <control shapeId="51257" r:id="rId59" name="Option Button 57">
              <controlPr defaultSize="0" autoFill="0" autoLine="0" autoPict="0">
                <anchor moveWithCells="1">
                  <from>
                    <xdr:col>1</xdr:col>
                    <xdr:colOff>438150</xdr:colOff>
                    <xdr:row>61</xdr:row>
                    <xdr:rowOff>12700</xdr:rowOff>
                  </from>
                  <to>
                    <xdr:col>1</xdr:col>
                    <xdr:colOff>914400</xdr:colOff>
                    <xdr:row>61</xdr:row>
                    <xdr:rowOff>203200</xdr:rowOff>
                  </to>
                </anchor>
              </controlPr>
            </control>
          </mc:Choice>
        </mc:AlternateContent>
        <mc:AlternateContent xmlns:mc="http://schemas.openxmlformats.org/markup-compatibility/2006">
          <mc:Choice Requires="x14">
            <control shapeId="51258" r:id="rId60" name="Option Button 58">
              <controlPr defaultSize="0" autoFill="0" autoLine="0" autoPict="0">
                <anchor moveWithCells="1">
                  <from>
                    <xdr:col>1</xdr:col>
                    <xdr:colOff>438150</xdr:colOff>
                    <xdr:row>62</xdr:row>
                    <xdr:rowOff>12700</xdr:rowOff>
                  </from>
                  <to>
                    <xdr:col>1</xdr:col>
                    <xdr:colOff>914400</xdr:colOff>
                    <xdr:row>62</xdr:row>
                    <xdr:rowOff>203200</xdr:rowOff>
                  </to>
                </anchor>
              </controlPr>
            </control>
          </mc:Choice>
        </mc:AlternateContent>
        <mc:AlternateContent xmlns:mc="http://schemas.openxmlformats.org/markup-compatibility/2006">
          <mc:Choice Requires="x14">
            <control shapeId="51259" r:id="rId61" name="Option Button 59">
              <controlPr defaultSize="0" autoFill="0" autoLine="0" autoPict="0">
                <anchor moveWithCells="1">
                  <from>
                    <xdr:col>1</xdr:col>
                    <xdr:colOff>438150</xdr:colOff>
                    <xdr:row>63</xdr:row>
                    <xdr:rowOff>12700</xdr:rowOff>
                  </from>
                  <to>
                    <xdr:col>1</xdr:col>
                    <xdr:colOff>914400</xdr:colOff>
                    <xdr:row>63</xdr:row>
                    <xdr:rowOff>203200</xdr:rowOff>
                  </to>
                </anchor>
              </controlPr>
            </control>
          </mc:Choice>
        </mc:AlternateContent>
        <mc:AlternateContent xmlns:mc="http://schemas.openxmlformats.org/markup-compatibility/2006">
          <mc:Choice Requires="x14">
            <control shapeId="51260" r:id="rId62" name="Option Button 60">
              <controlPr defaultSize="0" autoFill="0" autoLine="0" autoPict="0">
                <anchor moveWithCells="1">
                  <from>
                    <xdr:col>1</xdr:col>
                    <xdr:colOff>438150</xdr:colOff>
                    <xdr:row>64</xdr:row>
                    <xdr:rowOff>12700</xdr:rowOff>
                  </from>
                  <to>
                    <xdr:col>1</xdr:col>
                    <xdr:colOff>914400</xdr:colOff>
                    <xdr:row>64</xdr:row>
                    <xdr:rowOff>203200</xdr:rowOff>
                  </to>
                </anchor>
              </controlPr>
            </control>
          </mc:Choice>
        </mc:AlternateContent>
        <mc:AlternateContent xmlns:mc="http://schemas.openxmlformats.org/markup-compatibility/2006">
          <mc:Choice Requires="x14">
            <control shapeId="51261" r:id="rId63" name="Option Button 61">
              <controlPr defaultSize="0" autoFill="0" autoLine="0" autoPict="0">
                <anchor moveWithCells="1">
                  <from>
                    <xdr:col>1</xdr:col>
                    <xdr:colOff>438150</xdr:colOff>
                    <xdr:row>65</xdr:row>
                    <xdr:rowOff>12700</xdr:rowOff>
                  </from>
                  <to>
                    <xdr:col>1</xdr:col>
                    <xdr:colOff>914400</xdr:colOff>
                    <xdr:row>65</xdr:row>
                    <xdr:rowOff>203200</xdr:rowOff>
                  </to>
                </anchor>
              </controlPr>
            </control>
          </mc:Choice>
        </mc:AlternateContent>
        <mc:AlternateContent xmlns:mc="http://schemas.openxmlformats.org/markup-compatibility/2006">
          <mc:Choice Requires="x14">
            <control shapeId="51262" r:id="rId64" name="Option Button 62">
              <controlPr defaultSize="0" autoFill="0" autoLine="0" autoPict="0">
                <anchor moveWithCells="1">
                  <from>
                    <xdr:col>1</xdr:col>
                    <xdr:colOff>438150</xdr:colOff>
                    <xdr:row>66</xdr:row>
                    <xdr:rowOff>12700</xdr:rowOff>
                  </from>
                  <to>
                    <xdr:col>1</xdr:col>
                    <xdr:colOff>914400</xdr:colOff>
                    <xdr:row>66</xdr:row>
                    <xdr:rowOff>203200</xdr:rowOff>
                  </to>
                </anchor>
              </controlPr>
            </control>
          </mc:Choice>
        </mc:AlternateContent>
        <mc:AlternateContent xmlns:mc="http://schemas.openxmlformats.org/markup-compatibility/2006">
          <mc:Choice Requires="x14">
            <control shapeId="51263" r:id="rId65" name="Option Button 63">
              <controlPr defaultSize="0" autoFill="0" autoLine="0" autoPict="0">
                <anchor moveWithCells="1">
                  <from>
                    <xdr:col>1</xdr:col>
                    <xdr:colOff>438150</xdr:colOff>
                    <xdr:row>67</xdr:row>
                    <xdr:rowOff>12700</xdr:rowOff>
                  </from>
                  <to>
                    <xdr:col>1</xdr:col>
                    <xdr:colOff>914400</xdr:colOff>
                    <xdr:row>67</xdr:row>
                    <xdr:rowOff>203200</xdr:rowOff>
                  </to>
                </anchor>
              </controlPr>
            </control>
          </mc:Choice>
        </mc:AlternateContent>
        <mc:AlternateContent xmlns:mc="http://schemas.openxmlformats.org/markup-compatibility/2006">
          <mc:Choice Requires="x14">
            <control shapeId="51264" r:id="rId66" name="Option Button 64">
              <controlPr defaultSize="0" autoFill="0" autoLine="0" autoPict="0">
                <anchor moveWithCells="1">
                  <from>
                    <xdr:col>1</xdr:col>
                    <xdr:colOff>438150</xdr:colOff>
                    <xdr:row>68</xdr:row>
                    <xdr:rowOff>12700</xdr:rowOff>
                  </from>
                  <to>
                    <xdr:col>1</xdr:col>
                    <xdr:colOff>914400</xdr:colOff>
                    <xdr:row>68</xdr:row>
                    <xdr:rowOff>203200</xdr:rowOff>
                  </to>
                </anchor>
              </controlPr>
            </control>
          </mc:Choice>
        </mc:AlternateContent>
        <mc:AlternateContent xmlns:mc="http://schemas.openxmlformats.org/markup-compatibility/2006">
          <mc:Choice Requires="x14">
            <control shapeId="51265" r:id="rId67" name="Option Button 65">
              <controlPr defaultSize="0" autoFill="0" autoLine="0" autoPict="0">
                <anchor moveWithCells="1">
                  <from>
                    <xdr:col>1</xdr:col>
                    <xdr:colOff>438150</xdr:colOff>
                    <xdr:row>69</xdr:row>
                    <xdr:rowOff>12700</xdr:rowOff>
                  </from>
                  <to>
                    <xdr:col>1</xdr:col>
                    <xdr:colOff>914400</xdr:colOff>
                    <xdr:row>69</xdr:row>
                    <xdr:rowOff>203200</xdr:rowOff>
                  </to>
                </anchor>
              </controlPr>
            </control>
          </mc:Choice>
        </mc:AlternateContent>
        <mc:AlternateContent xmlns:mc="http://schemas.openxmlformats.org/markup-compatibility/2006">
          <mc:Choice Requires="x14">
            <control shapeId="51266" r:id="rId68" name="Option Button 66">
              <controlPr defaultSize="0" autoFill="0" autoLine="0" autoPict="0">
                <anchor moveWithCells="1">
                  <from>
                    <xdr:col>1</xdr:col>
                    <xdr:colOff>438150</xdr:colOff>
                    <xdr:row>70</xdr:row>
                    <xdr:rowOff>12700</xdr:rowOff>
                  </from>
                  <to>
                    <xdr:col>1</xdr:col>
                    <xdr:colOff>914400</xdr:colOff>
                    <xdr:row>70</xdr:row>
                    <xdr:rowOff>203200</xdr:rowOff>
                  </to>
                </anchor>
              </controlPr>
            </control>
          </mc:Choice>
        </mc:AlternateContent>
        <mc:AlternateContent xmlns:mc="http://schemas.openxmlformats.org/markup-compatibility/2006">
          <mc:Choice Requires="x14">
            <control shapeId="51267" r:id="rId69" name="Option Button 67">
              <controlPr defaultSize="0" autoFill="0" autoLine="0" autoPict="0">
                <anchor moveWithCells="1">
                  <from>
                    <xdr:col>1</xdr:col>
                    <xdr:colOff>438150</xdr:colOff>
                    <xdr:row>71</xdr:row>
                    <xdr:rowOff>12700</xdr:rowOff>
                  </from>
                  <to>
                    <xdr:col>1</xdr:col>
                    <xdr:colOff>914400</xdr:colOff>
                    <xdr:row>71</xdr:row>
                    <xdr:rowOff>203200</xdr:rowOff>
                  </to>
                </anchor>
              </controlPr>
            </control>
          </mc:Choice>
        </mc:AlternateContent>
        <mc:AlternateContent xmlns:mc="http://schemas.openxmlformats.org/markup-compatibility/2006">
          <mc:Choice Requires="x14">
            <control shapeId="51268" r:id="rId70" name="Option Button 68">
              <controlPr defaultSize="0" autoFill="0" autoLine="0" autoPict="0">
                <anchor moveWithCells="1">
                  <from>
                    <xdr:col>1</xdr:col>
                    <xdr:colOff>438150</xdr:colOff>
                    <xdr:row>72</xdr:row>
                    <xdr:rowOff>12700</xdr:rowOff>
                  </from>
                  <to>
                    <xdr:col>1</xdr:col>
                    <xdr:colOff>914400</xdr:colOff>
                    <xdr:row>72</xdr:row>
                    <xdr:rowOff>203200</xdr:rowOff>
                  </to>
                </anchor>
              </controlPr>
            </control>
          </mc:Choice>
        </mc:AlternateContent>
        <mc:AlternateContent xmlns:mc="http://schemas.openxmlformats.org/markup-compatibility/2006">
          <mc:Choice Requires="x14">
            <control shapeId="51269" r:id="rId71" name="Option Button 69">
              <controlPr defaultSize="0" autoFill="0" autoLine="0" autoPict="0">
                <anchor moveWithCells="1">
                  <from>
                    <xdr:col>1</xdr:col>
                    <xdr:colOff>438150</xdr:colOff>
                    <xdr:row>73</xdr:row>
                    <xdr:rowOff>12700</xdr:rowOff>
                  </from>
                  <to>
                    <xdr:col>1</xdr:col>
                    <xdr:colOff>914400</xdr:colOff>
                    <xdr:row>73</xdr:row>
                    <xdr:rowOff>203200</xdr:rowOff>
                  </to>
                </anchor>
              </controlPr>
            </control>
          </mc:Choice>
        </mc:AlternateContent>
        <mc:AlternateContent xmlns:mc="http://schemas.openxmlformats.org/markup-compatibility/2006">
          <mc:Choice Requires="x14">
            <control shapeId="51270" r:id="rId72" name="Option Button 70">
              <controlPr defaultSize="0" autoFill="0" autoLine="0" autoPict="0">
                <anchor moveWithCells="1">
                  <from>
                    <xdr:col>1</xdr:col>
                    <xdr:colOff>438150</xdr:colOff>
                    <xdr:row>74</xdr:row>
                    <xdr:rowOff>12700</xdr:rowOff>
                  </from>
                  <to>
                    <xdr:col>1</xdr:col>
                    <xdr:colOff>914400</xdr:colOff>
                    <xdr:row>74</xdr:row>
                    <xdr:rowOff>203200</xdr:rowOff>
                  </to>
                </anchor>
              </controlPr>
            </control>
          </mc:Choice>
        </mc:AlternateContent>
        <mc:AlternateContent xmlns:mc="http://schemas.openxmlformats.org/markup-compatibility/2006">
          <mc:Choice Requires="x14">
            <control shapeId="51271" r:id="rId73" name="Option Button 71">
              <controlPr defaultSize="0" autoFill="0" autoLine="0" autoPict="0">
                <anchor moveWithCells="1">
                  <from>
                    <xdr:col>1</xdr:col>
                    <xdr:colOff>438150</xdr:colOff>
                    <xdr:row>75</xdr:row>
                    <xdr:rowOff>12700</xdr:rowOff>
                  </from>
                  <to>
                    <xdr:col>1</xdr:col>
                    <xdr:colOff>914400</xdr:colOff>
                    <xdr:row>75</xdr:row>
                    <xdr:rowOff>203200</xdr:rowOff>
                  </to>
                </anchor>
              </controlPr>
            </control>
          </mc:Choice>
        </mc:AlternateContent>
        <mc:AlternateContent xmlns:mc="http://schemas.openxmlformats.org/markup-compatibility/2006">
          <mc:Choice Requires="x14">
            <control shapeId="51272" r:id="rId74" name="Option Button 72">
              <controlPr defaultSize="0" autoFill="0" autoLine="0" autoPict="0">
                <anchor moveWithCells="1">
                  <from>
                    <xdr:col>1</xdr:col>
                    <xdr:colOff>438150</xdr:colOff>
                    <xdr:row>76</xdr:row>
                    <xdr:rowOff>12700</xdr:rowOff>
                  </from>
                  <to>
                    <xdr:col>1</xdr:col>
                    <xdr:colOff>914400</xdr:colOff>
                    <xdr:row>76</xdr:row>
                    <xdr:rowOff>203200</xdr:rowOff>
                  </to>
                </anchor>
              </controlPr>
            </control>
          </mc:Choice>
        </mc:AlternateContent>
        <mc:AlternateContent xmlns:mc="http://schemas.openxmlformats.org/markup-compatibility/2006">
          <mc:Choice Requires="x14">
            <control shapeId="51273" r:id="rId75" name="Option Button 73">
              <controlPr defaultSize="0" autoFill="0" autoLine="0" autoPict="0">
                <anchor moveWithCells="1">
                  <from>
                    <xdr:col>1</xdr:col>
                    <xdr:colOff>438150</xdr:colOff>
                    <xdr:row>77</xdr:row>
                    <xdr:rowOff>12700</xdr:rowOff>
                  </from>
                  <to>
                    <xdr:col>1</xdr:col>
                    <xdr:colOff>914400</xdr:colOff>
                    <xdr:row>77</xdr:row>
                    <xdr:rowOff>203200</xdr:rowOff>
                  </to>
                </anchor>
              </controlPr>
            </control>
          </mc:Choice>
        </mc:AlternateContent>
        <mc:AlternateContent xmlns:mc="http://schemas.openxmlformats.org/markup-compatibility/2006">
          <mc:Choice Requires="x14">
            <control shapeId="51274" r:id="rId76" name="Option Button 74">
              <controlPr defaultSize="0" autoFill="0" autoLine="0" autoPict="0">
                <anchor moveWithCells="1">
                  <from>
                    <xdr:col>1</xdr:col>
                    <xdr:colOff>438150</xdr:colOff>
                    <xdr:row>78</xdr:row>
                    <xdr:rowOff>12700</xdr:rowOff>
                  </from>
                  <to>
                    <xdr:col>1</xdr:col>
                    <xdr:colOff>914400</xdr:colOff>
                    <xdr:row>78</xdr:row>
                    <xdr:rowOff>203200</xdr:rowOff>
                  </to>
                </anchor>
              </controlPr>
            </control>
          </mc:Choice>
        </mc:AlternateContent>
        <mc:AlternateContent xmlns:mc="http://schemas.openxmlformats.org/markup-compatibility/2006">
          <mc:Choice Requires="x14">
            <control shapeId="51275" r:id="rId77" name="Option Button 75">
              <controlPr defaultSize="0" autoFill="0" autoLine="0" autoPict="0">
                <anchor moveWithCells="1">
                  <from>
                    <xdr:col>1</xdr:col>
                    <xdr:colOff>438150</xdr:colOff>
                    <xdr:row>79</xdr:row>
                    <xdr:rowOff>12700</xdr:rowOff>
                  </from>
                  <to>
                    <xdr:col>1</xdr:col>
                    <xdr:colOff>914400</xdr:colOff>
                    <xdr:row>79</xdr:row>
                    <xdr:rowOff>203200</xdr:rowOff>
                  </to>
                </anchor>
              </controlPr>
            </control>
          </mc:Choice>
        </mc:AlternateContent>
        <mc:AlternateContent xmlns:mc="http://schemas.openxmlformats.org/markup-compatibility/2006">
          <mc:Choice Requires="x14">
            <control shapeId="51276" r:id="rId78" name="Option Button 76">
              <controlPr defaultSize="0" autoFill="0" autoLine="0" autoPict="0">
                <anchor moveWithCells="1">
                  <from>
                    <xdr:col>1</xdr:col>
                    <xdr:colOff>438150</xdr:colOff>
                    <xdr:row>80</xdr:row>
                    <xdr:rowOff>12700</xdr:rowOff>
                  </from>
                  <to>
                    <xdr:col>1</xdr:col>
                    <xdr:colOff>914400</xdr:colOff>
                    <xdr:row>80</xdr:row>
                    <xdr:rowOff>203200</xdr:rowOff>
                  </to>
                </anchor>
              </controlPr>
            </control>
          </mc:Choice>
        </mc:AlternateContent>
        <mc:AlternateContent xmlns:mc="http://schemas.openxmlformats.org/markup-compatibility/2006">
          <mc:Choice Requires="x14">
            <control shapeId="51277" r:id="rId79" name="Option Button 77">
              <controlPr defaultSize="0" autoFill="0" autoLine="0" autoPict="0">
                <anchor moveWithCells="1">
                  <from>
                    <xdr:col>1</xdr:col>
                    <xdr:colOff>438150</xdr:colOff>
                    <xdr:row>81</xdr:row>
                    <xdr:rowOff>12700</xdr:rowOff>
                  </from>
                  <to>
                    <xdr:col>1</xdr:col>
                    <xdr:colOff>914400</xdr:colOff>
                    <xdr:row>81</xdr:row>
                    <xdr:rowOff>203200</xdr:rowOff>
                  </to>
                </anchor>
              </controlPr>
            </control>
          </mc:Choice>
        </mc:AlternateContent>
        <mc:AlternateContent xmlns:mc="http://schemas.openxmlformats.org/markup-compatibility/2006">
          <mc:Choice Requires="x14">
            <control shapeId="51278" r:id="rId80" name="Option Button 78">
              <controlPr defaultSize="0" autoFill="0" autoLine="0" autoPict="0">
                <anchor moveWithCells="1">
                  <from>
                    <xdr:col>1</xdr:col>
                    <xdr:colOff>438150</xdr:colOff>
                    <xdr:row>82</xdr:row>
                    <xdr:rowOff>12700</xdr:rowOff>
                  </from>
                  <to>
                    <xdr:col>1</xdr:col>
                    <xdr:colOff>914400</xdr:colOff>
                    <xdr:row>82</xdr:row>
                    <xdr:rowOff>203200</xdr:rowOff>
                  </to>
                </anchor>
              </controlPr>
            </control>
          </mc:Choice>
        </mc:AlternateContent>
        <mc:AlternateContent xmlns:mc="http://schemas.openxmlformats.org/markup-compatibility/2006">
          <mc:Choice Requires="x14">
            <control shapeId="51279" r:id="rId81" name="Option Button 79">
              <controlPr defaultSize="0" autoFill="0" autoLine="0" autoPict="0">
                <anchor moveWithCells="1">
                  <from>
                    <xdr:col>1</xdr:col>
                    <xdr:colOff>438150</xdr:colOff>
                    <xdr:row>83</xdr:row>
                    <xdr:rowOff>12700</xdr:rowOff>
                  </from>
                  <to>
                    <xdr:col>1</xdr:col>
                    <xdr:colOff>914400</xdr:colOff>
                    <xdr:row>83</xdr:row>
                    <xdr:rowOff>203200</xdr:rowOff>
                  </to>
                </anchor>
              </controlPr>
            </control>
          </mc:Choice>
        </mc:AlternateContent>
        <mc:AlternateContent xmlns:mc="http://schemas.openxmlformats.org/markup-compatibility/2006">
          <mc:Choice Requires="x14">
            <control shapeId="51280" r:id="rId82" name="Option Button 80">
              <controlPr defaultSize="0" autoFill="0" autoLine="0" autoPict="0">
                <anchor moveWithCells="1">
                  <from>
                    <xdr:col>1</xdr:col>
                    <xdr:colOff>438150</xdr:colOff>
                    <xdr:row>84</xdr:row>
                    <xdr:rowOff>12700</xdr:rowOff>
                  </from>
                  <to>
                    <xdr:col>1</xdr:col>
                    <xdr:colOff>914400</xdr:colOff>
                    <xdr:row>84</xdr:row>
                    <xdr:rowOff>203200</xdr:rowOff>
                  </to>
                </anchor>
              </controlPr>
            </control>
          </mc:Choice>
        </mc:AlternateContent>
        <mc:AlternateContent xmlns:mc="http://schemas.openxmlformats.org/markup-compatibility/2006">
          <mc:Choice Requires="x14">
            <control shapeId="51281" r:id="rId83" name="Option Button 81">
              <controlPr defaultSize="0" autoFill="0" autoLine="0" autoPict="0">
                <anchor moveWithCells="1">
                  <from>
                    <xdr:col>1</xdr:col>
                    <xdr:colOff>438150</xdr:colOff>
                    <xdr:row>85</xdr:row>
                    <xdr:rowOff>12700</xdr:rowOff>
                  </from>
                  <to>
                    <xdr:col>1</xdr:col>
                    <xdr:colOff>914400</xdr:colOff>
                    <xdr:row>85</xdr:row>
                    <xdr:rowOff>203200</xdr:rowOff>
                  </to>
                </anchor>
              </controlPr>
            </control>
          </mc:Choice>
        </mc:AlternateContent>
        <mc:AlternateContent xmlns:mc="http://schemas.openxmlformats.org/markup-compatibility/2006">
          <mc:Choice Requires="x14">
            <control shapeId="51282" r:id="rId84" name="Option Button 82">
              <controlPr defaultSize="0" autoFill="0" autoLine="0" autoPict="0">
                <anchor moveWithCells="1">
                  <from>
                    <xdr:col>1</xdr:col>
                    <xdr:colOff>438150</xdr:colOff>
                    <xdr:row>86</xdr:row>
                    <xdr:rowOff>12700</xdr:rowOff>
                  </from>
                  <to>
                    <xdr:col>1</xdr:col>
                    <xdr:colOff>914400</xdr:colOff>
                    <xdr:row>86</xdr:row>
                    <xdr:rowOff>203200</xdr:rowOff>
                  </to>
                </anchor>
              </controlPr>
            </control>
          </mc:Choice>
        </mc:AlternateContent>
        <mc:AlternateContent xmlns:mc="http://schemas.openxmlformats.org/markup-compatibility/2006">
          <mc:Choice Requires="x14">
            <control shapeId="51283" r:id="rId85" name="Option Button 83">
              <controlPr defaultSize="0" autoFill="0" autoLine="0" autoPict="0">
                <anchor moveWithCells="1">
                  <from>
                    <xdr:col>1</xdr:col>
                    <xdr:colOff>438150</xdr:colOff>
                    <xdr:row>87</xdr:row>
                    <xdr:rowOff>12700</xdr:rowOff>
                  </from>
                  <to>
                    <xdr:col>1</xdr:col>
                    <xdr:colOff>914400</xdr:colOff>
                    <xdr:row>87</xdr:row>
                    <xdr:rowOff>209550</xdr:rowOff>
                  </to>
                </anchor>
              </controlPr>
            </control>
          </mc:Choice>
        </mc:AlternateContent>
        <mc:AlternateContent xmlns:mc="http://schemas.openxmlformats.org/markup-compatibility/2006">
          <mc:Choice Requires="x14">
            <control shapeId="51284" r:id="rId86" name="Option Button 84">
              <controlPr defaultSize="0" autoFill="0" autoLine="0" autoPict="0">
                <anchor moveWithCells="1">
                  <from>
                    <xdr:col>1</xdr:col>
                    <xdr:colOff>438150</xdr:colOff>
                    <xdr:row>88</xdr:row>
                    <xdr:rowOff>12700</xdr:rowOff>
                  </from>
                  <to>
                    <xdr:col>1</xdr:col>
                    <xdr:colOff>914400</xdr:colOff>
                    <xdr:row>88</xdr:row>
                    <xdr:rowOff>203200</xdr:rowOff>
                  </to>
                </anchor>
              </controlPr>
            </control>
          </mc:Choice>
        </mc:AlternateContent>
        <mc:AlternateContent xmlns:mc="http://schemas.openxmlformats.org/markup-compatibility/2006">
          <mc:Choice Requires="x14">
            <control shapeId="51285" r:id="rId87" name="Option Button 85">
              <controlPr defaultSize="0" autoFill="0" autoLine="0" autoPict="0">
                <anchor moveWithCells="1">
                  <from>
                    <xdr:col>1</xdr:col>
                    <xdr:colOff>438150</xdr:colOff>
                    <xdr:row>89</xdr:row>
                    <xdr:rowOff>12700</xdr:rowOff>
                  </from>
                  <to>
                    <xdr:col>1</xdr:col>
                    <xdr:colOff>914400</xdr:colOff>
                    <xdr:row>89</xdr:row>
                    <xdr:rowOff>203200</xdr:rowOff>
                  </to>
                </anchor>
              </controlPr>
            </control>
          </mc:Choice>
        </mc:AlternateContent>
        <mc:AlternateContent xmlns:mc="http://schemas.openxmlformats.org/markup-compatibility/2006">
          <mc:Choice Requires="x14">
            <control shapeId="51286" r:id="rId88" name="Option Button 86">
              <controlPr defaultSize="0" autoFill="0" autoLine="0" autoPict="0">
                <anchor moveWithCells="1">
                  <from>
                    <xdr:col>1</xdr:col>
                    <xdr:colOff>438150</xdr:colOff>
                    <xdr:row>90</xdr:row>
                    <xdr:rowOff>12700</xdr:rowOff>
                  </from>
                  <to>
                    <xdr:col>1</xdr:col>
                    <xdr:colOff>914400</xdr:colOff>
                    <xdr:row>90</xdr:row>
                    <xdr:rowOff>203200</xdr:rowOff>
                  </to>
                </anchor>
              </controlPr>
            </control>
          </mc:Choice>
        </mc:AlternateContent>
        <mc:AlternateContent xmlns:mc="http://schemas.openxmlformats.org/markup-compatibility/2006">
          <mc:Choice Requires="x14">
            <control shapeId="51287" r:id="rId89" name="Option Button 87">
              <controlPr defaultSize="0" autoFill="0" autoLine="0" autoPict="0">
                <anchor moveWithCells="1">
                  <from>
                    <xdr:col>1</xdr:col>
                    <xdr:colOff>438150</xdr:colOff>
                    <xdr:row>91</xdr:row>
                    <xdr:rowOff>12700</xdr:rowOff>
                  </from>
                  <to>
                    <xdr:col>1</xdr:col>
                    <xdr:colOff>914400</xdr:colOff>
                    <xdr:row>91</xdr:row>
                    <xdr:rowOff>203200</xdr:rowOff>
                  </to>
                </anchor>
              </controlPr>
            </control>
          </mc:Choice>
        </mc:AlternateContent>
        <mc:AlternateContent xmlns:mc="http://schemas.openxmlformats.org/markup-compatibility/2006">
          <mc:Choice Requires="x14">
            <control shapeId="51288" r:id="rId90" name="Option Button 88">
              <controlPr defaultSize="0" autoFill="0" autoLine="0" autoPict="0">
                <anchor moveWithCells="1">
                  <from>
                    <xdr:col>1</xdr:col>
                    <xdr:colOff>438150</xdr:colOff>
                    <xdr:row>92</xdr:row>
                    <xdr:rowOff>12700</xdr:rowOff>
                  </from>
                  <to>
                    <xdr:col>1</xdr:col>
                    <xdr:colOff>914400</xdr:colOff>
                    <xdr:row>92</xdr:row>
                    <xdr:rowOff>203200</xdr:rowOff>
                  </to>
                </anchor>
              </controlPr>
            </control>
          </mc:Choice>
        </mc:AlternateContent>
        <mc:AlternateContent xmlns:mc="http://schemas.openxmlformats.org/markup-compatibility/2006">
          <mc:Choice Requires="x14">
            <control shapeId="51289" r:id="rId91" name="Option Button 89">
              <controlPr defaultSize="0" autoFill="0" autoLine="0" autoPict="0">
                <anchor moveWithCells="1">
                  <from>
                    <xdr:col>1</xdr:col>
                    <xdr:colOff>438150</xdr:colOff>
                    <xdr:row>93</xdr:row>
                    <xdr:rowOff>12700</xdr:rowOff>
                  </from>
                  <to>
                    <xdr:col>1</xdr:col>
                    <xdr:colOff>914400</xdr:colOff>
                    <xdr:row>93</xdr:row>
                    <xdr:rowOff>203200</xdr:rowOff>
                  </to>
                </anchor>
              </controlPr>
            </control>
          </mc:Choice>
        </mc:AlternateContent>
        <mc:AlternateContent xmlns:mc="http://schemas.openxmlformats.org/markup-compatibility/2006">
          <mc:Choice Requires="x14">
            <control shapeId="51290" r:id="rId92" name="Option Button 90">
              <controlPr defaultSize="0" autoFill="0" autoLine="0" autoPict="0">
                <anchor moveWithCells="1">
                  <from>
                    <xdr:col>1</xdr:col>
                    <xdr:colOff>438150</xdr:colOff>
                    <xdr:row>94</xdr:row>
                    <xdr:rowOff>12700</xdr:rowOff>
                  </from>
                  <to>
                    <xdr:col>1</xdr:col>
                    <xdr:colOff>914400</xdr:colOff>
                    <xdr:row>94</xdr:row>
                    <xdr:rowOff>203200</xdr:rowOff>
                  </to>
                </anchor>
              </controlPr>
            </control>
          </mc:Choice>
        </mc:AlternateContent>
        <mc:AlternateContent xmlns:mc="http://schemas.openxmlformats.org/markup-compatibility/2006">
          <mc:Choice Requires="x14">
            <control shapeId="51291" r:id="rId93" name="Option Button 91">
              <controlPr defaultSize="0" autoFill="0" autoLine="0" autoPict="0">
                <anchor moveWithCells="1">
                  <from>
                    <xdr:col>1</xdr:col>
                    <xdr:colOff>438150</xdr:colOff>
                    <xdr:row>95</xdr:row>
                    <xdr:rowOff>12700</xdr:rowOff>
                  </from>
                  <to>
                    <xdr:col>1</xdr:col>
                    <xdr:colOff>914400</xdr:colOff>
                    <xdr:row>95</xdr:row>
                    <xdr:rowOff>203200</xdr:rowOff>
                  </to>
                </anchor>
              </controlPr>
            </control>
          </mc:Choice>
        </mc:AlternateContent>
        <mc:AlternateContent xmlns:mc="http://schemas.openxmlformats.org/markup-compatibility/2006">
          <mc:Choice Requires="x14">
            <control shapeId="51292" r:id="rId94" name="Option Button 92">
              <controlPr defaultSize="0" autoFill="0" autoLine="0" autoPict="0">
                <anchor moveWithCells="1">
                  <from>
                    <xdr:col>1</xdr:col>
                    <xdr:colOff>438150</xdr:colOff>
                    <xdr:row>96</xdr:row>
                    <xdr:rowOff>12700</xdr:rowOff>
                  </from>
                  <to>
                    <xdr:col>1</xdr:col>
                    <xdr:colOff>914400</xdr:colOff>
                    <xdr:row>96</xdr:row>
                    <xdr:rowOff>203200</xdr:rowOff>
                  </to>
                </anchor>
              </controlPr>
            </control>
          </mc:Choice>
        </mc:AlternateContent>
        <mc:AlternateContent xmlns:mc="http://schemas.openxmlformats.org/markup-compatibility/2006">
          <mc:Choice Requires="x14">
            <control shapeId="51293" r:id="rId95" name="Option Button 93">
              <controlPr defaultSize="0" autoFill="0" autoLine="0" autoPict="0">
                <anchor moveWithCells="1">
                  <from>
                    <xdr:col>1</xdr:col>
                    <xdr:colOff>438150</xdr:colOff>
                    <xdr:row>97</xdr:row>
                    <xdr:rowOff>12700</xdr:rowOff>
                  </from>
                  <to>
                    <xdr:col>1</xdr:col>
                    <xdr:colOff>914400</xdr:colOff>
                    <xdr:row>97</xdr:row>
                    <xdr:rowOff>203200</xdr:rowOff>
                  </to>
                </anchor>
              </controlPr>
            </control>
          </mc:Choice>
        </mc:AlternateContent>
        <mc:AlternateContent xmlns:mc="http://schemas.openxmlformats.org/markup-compatibility/2006">
          <mc:Choice Requires="x14">
            <control shapeId="51294" r:id="rId96" name="Option Button 94">
              <controlPr defaultSize="0" autoFill="0" autoLine="0" autoPict="0">
                <anchor moveWithCells="1">
                  <from>
                    <xdr:col>1</xdr:col>
                    <xdr:colOff>438150</xdr:colOff>
                    <xdr:row>98</xdr:row>
                    <xdr:rowOff>12700</xdr:rowOff>
                  </from>
                  <to>
                    <xdr:col>1</xdr:col>
                    <xdr:colOff>914400</xdr:colOff>
                    <xdr:row>98</xdr:row>
                    <xdr:rowOff>203200</xdr:rowOff>
                  </to>
                </anchor>
              </controlPr>
            </control>
          </mc:Choice>
        </mc:AlternateContent>
        <mc:AlternateContent xmlns:mc="http://schemas.openxmlformats.org/markup-compatibility/2006">
          <mc:Choice Requires="x14">
            <control shapeId="51295" r:id="rId97" name="Option Button 95">
              <controlPr defaultSize="0" autoFill="0" autoLine="0" autoPict="0">
                <anchor moveWithCells="1">
                  <from>
                    <xdr:col>1</xdr:col>
                    <xdr:colOff>438150</xdr:colOff>
                    <xdr:row>99</xdr:row>
                    <xdr:rowOff>12700</xdr:rowOff>
                  </from>
                  <to>
                    <xdr:col>1</xdr:col>
                    <xdr:colOff>914400</xdr:colOff>
                    <xdr:row>99</xdr:row>
                    <xdr:rowOff>203200</xdr:rowOff>
                  </to>
                </anchor>
              </controlPr>
            </control>
          </mc:Choice>
        </mc:AlternateContent>
        <mc:AlternateContent xmlns:mc="http://schemas.openxmlformats.org/markup-compatibility/2006">
          <mc:Choice Requires="x14">
            <control shapeId="51296" r:id="rId98" name="Option Button 96">
              <controlPr defaultSize="0" autoFill="0" autoLine="0" autoPict="0">
                <anchor moveWithCells="1">
                  <from>
                    <xdr:col>1</xdr:col>
                    <xdr:colOff>438150</xdr:colOff>
                    <xdr:row>100</xdr:row>
                    <xdr:rowOff>12700</xdr:rowOff>
                  </from>
                  <to>
                    <xdr:col>1</xdr:col>
                    <xdr:colOff>914400</xdr:colOff>
                    <xdr:row>100</xdr:row>
                    <xdr:rowOff>203200</xdr:rowOff>
                  </to>
                </anchor>
              </controlPr>
            </control>
          </mc:Choice>
        </mc:AlternateContent>
        <mc:AlternateContent xmlns:mc="http://schemas.openxmlformats.org/markup-compatibility/2006">
          <mc:Choice Requires="x14">
            <control shapeId="51297" r:id="rId99" name="Option Button 97">
              <controlPr defaultSize="0" autoFill="0" autoLine="0" autoPict="0">
                <anchor moveWithCells="1">
                  <from>
                    <xdr:col>1</xdr:col>
                    <xdr:colOff>438150</xdr:colOff>
                    <xdr:row>101</xdr:row>
                    <xdr:rowOff>12700</xdr:rowOff>
                  </from>
                  <to>
                    <xdr:col>1</xdr:col>
                    <xdr:colOff>914400</xdr:colOff>
                    <xdr:row>101</xdr:row>
                    <xdr:rowOff>203200</xdr:rowOff>
                  </to>
                </anchor>
              </controlPr>
            </control>
          </mc:Choice>
        </mc:AlternateContent>
        <mc:AlternateContent xmlns:mc="http://schemas.openxmlformats.org/markup-compatibility/2006">
          <mc:Choice Requires="x14">
            <control shapeId="51298" r:id="rId100" name="Option Button 98">
              <controlPr defaultSize="0" autoFill="0" autoLine="0" autoPict="0">
                <anchor moveWithCells="1">
                  <from>
                    <xdr:col>1</xdr:col>
                    <xdr:colOff>438150</xdr:colOff>
                    <xdr:row>102</xdr:row>
                    <xdr:rowOff>12700</xdr:rowOff>
                  </from>
                  <to>
                    <xdr:col>1</xdr:col>
                    <xdr:colOff>914400</xdr:colOff>
                    <xdr:row>102</xdr:row>
                    <xdr:rowOff>203200</xdr:rowOff>
                  </to>
                </anchor>
              </controlPr>
            </control>
          </mc:Choice>
        </mc:AlternateContent>
        <mc:AlternateContent xmlns:mc="http://schemas.openxmlformats.org/markup-compatibility/2006">
          <mc:Choice Requires="x14">
            <control shapeId="51299" r:id="rId101" name="Option Button 99">
              <controlPr defaultSize="0" autoFill="0" autoLine="0" autoPict="0">
                <anchor moveWithCells="1">
                  <from>
                    <xdr:col>1</xdr:col>
                    <xdr:colOff>438150</xdr:colOff>
                    <xdr:row>103</xdr:row>
                    <xdr:rowOff>12700</xdr:rowOff>
                  </from>
                  <to>
                    <xdr:col>1</xdr:col>
                    <xdr:colOff>914400</xdr:colOff>
                    <xdr:row>103</xdr:row>
                    <xdr:rowOff>203200</xdr:rowOff>
                  </to>
                </anchor>
              </controlPr>
            </control>
          </mc:Choice>
        </mc:AlternateContent>
        <mc:AlternateContent xmlns:mc="http://schemas.openxmlformats.org/markup-compatibility/2006">
          <mc:Choice Requires="x14">
            <control shapeId="51300" r:id="rId102" name="Option Button 100">
              <controlPr defaultSize="0" autoFill="0" autoLine="0" autoPict="0">
                <anchor moveWithCells="1">
                  <from>
                    <xdr:col>1</xdr:col>
                    <xdr:colOff>438150</xdr:colOff>
                    <xdr:row>104</xdr:row>
                    <xdr:rowOff>12700</xdr:rowOff>
                  </from>
                  <to>
                    <xdr:col>1</xdr:col>
                    <xdr:colOff>914400</xdr:colOff>
                    <xdr:row>104</xdr:row>
                    <xdr:rowOff>203200</xdr:rowOff>
                  </to>
                </anchor>
              </controlPr>
            </control>
          </mc:Choice>
        </mc:AlternateContent>
        <mc:AlternateContent xmlns:mc="http://schemas.openxmlformats.org/markup-compatibility/2006">
          <mc:Choice Requires="x14">
            <control shapeId="51301" r:id="rId103" name="Option Button 101">
              <controlPr defaultSize="0" autoFill="0" autoLine="0" autoPict="0">
                <anchor moveWithCells="1">
                  <from>
                    <xdr:col>1</xdr:col>
                    <xdr:colOff>438150</xdr:colOff>
                    <xdr:row>105</xdr:row>
                    <xdr:rowOff>12700</xdr:rowOff>
                  </from>
                  <to>
                    <xdr:col>1</xdr:col>
                    <xdr:colOff>914400</xdr:colOff>
                    <xdr:row>105</xdr:row>
                    <xdr:rowOff>203200</xdr:rowOff>
                  </to>
                </anchor>
              </controlPr>
            </control>
          </mc:Choice>
        </mc:AlternateContent>
        <mc:AlternateContent xmlns:mc="http://schemas.openxmlformats.org/markup-compatibility/2006">
          <mc:Choice Requires="x14">
            <control shapeId="51302" r:id="rId104" name="Option Button 102">
              <controlPr defaultSize="0" autoFill="0" autoLine="0" autoPict="0">
                <anchor moveWithCells="1">
                  <from>
                    <xdr:col>1</xdr:col>
                    <xdr:colOff>438150</xdr:colOff>
                    <xdr:row>106</xdr:row>
                    <xdr:rowOff>12700</xdr:rowOff>
                  </from>
                  <to>
                    <xdr:col>1</xdr:col>
                    <xdr:colOff>914400</xdr:colOff>
                    <xdr:row>106</xdr:row>
                    <xdr:rowOff>203200</xdr:rowOff>
                  </to>
                </anchor>
              </controlPr>
            </control>
          </mc:Choice>
        </mc:AlternateContent>
        <mc:AlternateContent xmlns:mc="http://schemas.openxmlformats.org/markup-compatibility/2006">
          <mc:Choice Requires="x14">
            <control shapeId="51303" r:id="rId105" name="Option Button 103">
              <controlPr defaultSize="0" autoFill="0" autoLine="0" autoPict="0">
                <anchor moveWithCells="1">
                  <from>
                    <xdr:col>1</xdr:col>
                    <xdr:colOff>438150</xdr:colOff>
                    <xdr:row>107</xdr:row>
                    <xdr:rowOff>12700</xdr:rowOff>
                  </from>
                  <to>
                    <xdr:col>1</xdr:col>
                    <xdr:colOff>914400</xdr:colOff>
                    <xdr:row>107</xdr:row>
                    <xdr:rowOff>203200</xdr:rowOff>
                  </to>
                </anchor>
              </controlPr>
            </control>
          </mc:Choice>
        </mc:AlternateContent>
        <mc:AlternateContent xmlns:mc="http://schemas.openxmlformats.org/markup-compatibility/2006">
          <mc:Choice Requires="x14">
            <control shapeId="51304" r:id="rId106" name="Option Button 104">
              <controlPr defaultSize="0" autoFill="0" autoLine="0" autoPict="0">
                <anchor moveWithCells="1">
                  <from>
                    <xdr:col>1</xdr:col>
                    <xdr:colOff>438150</xdr:colOff>
                    <xdr:row>108</xdr:row>
                    <xdr:rowOff>12700</xdr:rowOff>
                  </from>
                  <to>
                    <xdr:col>1</xdr:col>
                    <xdr:colOff>914400</xdr:colOff>
                    <xdr:row>108</xdr:row>
                    <xdr:rowOff>203200</xdr:rowOff>
                  </to>
                </anchor>
              </controlPr>
            </control>
          </mc:Choice>
        </mc:AlternateContent>
        <mc:AlternateContent xmlns:mc="http://schemas.openxmlformats.org/markup-compatibility/2006">
          <mc:Choice Requires="x14">
            <control shapeId="51305" r:id="rId107" name="Option Button 105">
              <controlPr defaultSize="0" autoFill="0" autoLine="0" autoPict="0">
                <anchor moveWithCells="1">
                  <from>
                    <xdr:col>1</xdr:col>
                    <xdr:colOff>438150</xdr:colOff>
                    <xdr:row>109</xdr:row>
                    <xdr:rowOff>12700</xdr:rowOff>
                  </from>
                  <to>
                    <xdr:col>1</xdr:col>
                    <xdr:colOff>914400</xdr:colOff>
                    <xdr:row>109</xdr:row>
                    <xdr:rowOff>203200</xdr:rowOff>
                  </to>
                </anchor>
              </controlPr>
            </control>
          </mc:Choice>
        </mc:AlternateContent>
        <mc:AlternateContent xmlns:mc="http://schemas.openxmlformats.org/markup-compatibility/2006">
          <mc:Choice Requires="x14">
            <control shapeId="51306" r:id="rId108" name="Option Button 106">
              <controlPr defaultSize="0" autoFill="0" autoLine="0" autoPict="0">
                <anchor moveWithCells="1">
                  <from>
                    <xdr:col>1</xdr:col>
                    <xdr:colOff>438150</xdr:colOff>
                    <xdr:row>110</xdr:row>
                    <xdr:rowOff>12700</xdr:rowOff>
                  </from>
                  <to>
                    <xdr:col>1</xdr:col>
                    <xdr:colOff>914400</xdr:colOff>
                    <xdr:row>110</xdr:row>
                    <xdr:rowOff>203200</xdr:rowOff>
                  </to>
                </anchor>
              </controlPr>
            </control>
          </mc:Choice>
        </mc:AlternateContent>
        <mc:AlternateContent xmlns:mc="http://schemas.openxmlformats.org/markup-compatibility/2006">
          <mc:Choice Requires="x14">
            <control shapeId="51307" r:id="rId109" name="Option Button 107">
              <controlPr defaultSize="0" autoFill="0" autoLine="0" autoPict="0">
                <anchor moveWithCells="1">
                  <from>
                    <xdr:col>1</xdr:col>
                    <xdr:colOff>438150</xdr:colOff>
                    <xdr:row>111</xdr:row>
                    <xdr:rowOff>12700</xdr:rowOff>
                  </from>
                  <to>
                    <xdr:col>1</xdr:col>
                    <xdr:colOff>914400</xdr:colOff>
                    <xdr:row>111</xdr:row>
                    <xdr:rowOff>203200</xdr:rowOff>
                  </to>
                </anchor>
              </controlPr>
            </control>
          </mc:Choice>
        </mc:AlternateContent>
        <mc:AlternateContent xmlns:mc="http://schemas.openxmlformats.org/markup-compatibility/2006">
          <mc:Choice Requires="x14">
            <control shapeId="51308" r:id="rId110" name="Option Button 108">
              <controlPr defaultSize="0" autoFill="0" autoLine="0" autoPict="0">
                <anchor moveWithCells="1">
                  <from>
                    <xdr:col>1</xdr:col>
                    <xdr:colOff>438150</xdr:colOff>
                    <xdr:row>112</xdr:row>
                    <xdr:rowOff>12700</xdr:rowOff>
                  </from>
                  <to>
                    <xdr:col>1</xdr:col>
                    <xdr:colOff>914400</xdr:colOff>
                    <xdr:row>112</xdr:row>
                    <xdr:rowOff>203200</xdr:rowOff>
                  </to>
                </anchor>
              </controlPr>
            </control>
          </mc:Choice>
        </mc:AlternateContent>
        <mc:AlternateContent xmlns:mc="http://schemas.openxmlformats.org/markup-compatibility/2006">
          <mc:Choice Requires="x14">
            <control shapeId="51309" r:id="rId111" name="Option Button 109">
              <controlPr defaultSize="0" autoFill="0" autoLine="0" autoPict="0">
                <anchor moveWithCells="1">
                  <from>
                    <xdr:col>1</xdr:col>
                    <xdr:colOff>438150</xdr:colOff>
                    <xdr:row>113</xdr:row>
                    <xdr:rowOff>12700</xdr:rowOff>
                  </from>
                  <to>
                    <xdr:col>1</xdr:col>
                    <xdr:colOff>914400</xdr:colOff>
                    <xdr:row>113</xdr:row>
                    <xdr:rowOff>203200</xdr:rowOff>
                  </to>
                </anchor>
              </controlPr>
            </control>
          </mc:Choice>
        </mc:AlternateContent>
        <mc:AlternateContent xmlns:mc="http://schemas.openxmlformats.org/markup-compatibility/2006">
          <mc:Choice Requires="x14">
            <control shapeId="51310" r:id="rId112" name="Option Button 110">
              <controlPr defaultSize="0" autoFill="0" autoLine="0" autoPict="0">
                <anchor moveWithCells="1">
                  <from>
                    <xdr:col>1</xdr:col>
                    <xdr:colOff>438150</xdr:colOff>
                    <xdr:row>114</xdr:row>
                    <xdr:rowOff>12700</xdr:rowOff>
                  </from>
                  <to>
                    <xdr:col>1</xdr:col>
                    <xdr:colOff>914400</xdr:colOff>
                    <xdr:row>114</xdr:row>
                    <xdr:rowOff>203200</xdr:rowOff>
                  </to>
                </anchor>
              </controlPr>
            </control>
          </mc:Choice>
        </mc:AlternateContent>
        <mc:AlternateContent xmlns:mc="http://schemas.openxmlformats.org/markup-compatibility/2006">
          <mc:Choice Requires="x14">
            <control shapeId="51311" r:id="rId113" name="Option Button 111">
              <controlPr defaultSize="0" autoFill="0" autoLine="0" autoPict="0">
                <anchor moveWithCells="1">
                  <from>
                    <xdr:col>1</xdr:col>
                    <xdr:colOff>438150</xdr:colOff>
                    <xdr:row>115</xdr:row>
                    <xdr:rowOff>12700</xdr:rowOff>
                  </from>
                  <to>
                    <xdr:col>1</xdr:col>
                    <xdr:colOff>914400</xdr:colOff>
                    <xdr:row>115</xdr:row>
                    <xdr:rowOff>203200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CC00FF"/>
    <pageSetUpPr fitToPage="1"/>
  </sheetPr>
  <dimension ref="A1:M50"/>
  <sheetViews>
    <sheetView showGridLines="0" zoomScale="130" zoomScaleNormal="130" workbookViewId="0">
      <selection activeCell="B7" sqref="B7:C7"/>
    </sheetView>
  </sheetViews>
  <sheetFormatPr defaultRowHeight="13"/>
  <cols>
    <col min="1" max="3" width="15.08984375" style="561" customWidth="1"/>
    <col min="4" max="4" width="35.26953125" style="561" customWidth="1"/>
    <col min="5" max="6" width="19.6328125" style="549" customWidth="1"/>
    <col min="7" max="7" width="9" style="549"/>
    <col min="8" max="8" width="9" style="551" customWidth="1"/>
    <col min="9" max="9" width="9" style="551"/>
    <col min="10" max="10" width="0" style="551" hidden="1" customWidth="1"/>
    <col min="11" max="13" width="9" style="551"/>
    <col min="14" max="256" width="9" style="549"/>
    <col min="257" max="259" width="15.08984375" style="549" customWidth="1"/>
    <col min="260" max="260" width="35.26953125" style="549" customWidth="1"/>
    <col min="261" max="262" width="19.6328125" style="549" customWidth="1"/>
    <col min="263" max="263" width="9" style="549"/>
    <col min="264" max="264" width="29.08984375" style="549" bestFit="1" customWidth="1"/>
    <col min="265" max="512" width="9" style="549"/>
    <col min="513" max="515" width="15.08984375" style="549" customWidth="1"/>
    <col min="516" max="516" width="35.26953125" style="549" customWidth="1"/>
    <col min="517" max="518" width="19.6328125" style="549" customWidth="1"/>
    <col min="519" max="519" width="9" style="549"/>
    <col min="520" max="520" width="29.08984375" style="549" bestFit="1" customWidth="1"/>
    <col min="521" max="768" width="9" style="549"/>
    <col min="769" max="771" width="15.08984375" style="549" customWidth="1"/>
    <col min="772" max="772" width="35.26953125" style="549" customWidth="1"/>
    <col min="773" max="774" width="19.6328125" style="549" customWidth="1"/>
    <col min="775" max="775" width="9" style="549"/>
    <col min="776" max="776" width="29.08984375" style="549" bestFit="1" customWidth="1"/>
    <col min="777" max="1024" width="9" style="549"/>
    <col min="1025" max="1027" width="15.08984375" style="549" customWidth="1"/>
    <col min="1028" max="1028" width="35.26953125" style="549" customWidth="1"/>
    <col min="1029" max="1030" width="19.6328125" style="549" customWidth="1"/>
    <col min="1031" max="1031" width="9" style="549"/>
    <col min="1032" max="1032" width="29.08984375" style="549" bestFit="1" customWidth="1"/>
    <col min="1033" max="1280" width="9" style="549"/>
    <col min="1281" max="1283" width="15.08984375" style="549" customWidth="1"/>
    <col min="1284" max="1284" width="35.26953125" style="549" customWidth="1"/>
    <col min="1285" max="1286" width="19.6328125" style="549" customWidth="1"/>
    <col min="1287" max="1287" width="9" style="549"/>
    <col min="1288" max="1288" width="29.08984375" style="549" bestFit="1" customWidth="1"/>
    <col min="1289" max="1536" width="9" style="549"/>
    <col min="1537" max="1539" width="15.08984375" style="549" customWidth="1"/>
    <col min="1540" max="1540" width="35.26953125" style="549" customWidth="1"/>
    <col min="1541" max="1542" width="19.6328125" style="549" customWidth="1"/>
    <col min="1543" max="1543" width="9" style="549"/>
    <col min="1544" max="1544" width="29.08984375" style="549" bestFit="1" customWidth="1"/>
    <col min="1545" max="1792" width="9" style="549"/>
    <col min="1793" max="1795" width="15.08984375" style="549" customWidth="1"/>
    <col min="1796" max="1796" width="35.26953125" style="549" customWidth="1"/>
    <col min="1797" max="1798" width="19.6328125" style="549" customWidth="1"/>
    <col min="1799" max="1799" width="9" style="549"/>
    <col min="1800" max="1800" width="29.08984375" style="549" bestFit="1" customWidth="1"/>
    <col min="1801" max="2048" width="9" style="549"/>
    <col min="2049" max="2051" width="15.08984375" style="549" customWidth="1"/>
    <col min="2052" max="2052" width="35.26953125" style="549" customWidth="1"/>
    <col min="2053" max="2054" width="19.6328125" style="549" customWidth="1"/>
    <col min="2055" max="2055" width="9" style="549"/>
    <col min="2056" max="2056" width="29.08984375" style="549" bestFit="1" customWidth="1"/>
    <col min="2057" max="2304" width="9" style="549"/>
    <col min="2305" max="2307" width="15.08984375" style="549" customWidth="1"/>
    <col min="2308" max="2308" width="35.26953125" style="549" customWidth="1"/>
    <col min="2309" max="2310" width="19.6328125" style="549" customWidth="1"/>
    <col min="2311" max="2311" width="9" style="549"/>
    <col min="2312" max="2312" width="29.08984375" style="549" bestFit="1" customWidth="1"/>
    <col min="2313" max="2560" width="9" style="549"/>
    <col min="2561" max="2563" width="15.08984375" style="549" customWidth="1"/>
    <col min="2564" max="2564" width="35.26953125" style="549" customWidth="1"/>
    <col min="2565" max="2566" width="19.6328125" style="549" customWidth="1"/>
    <col min="2567" max="2567" width="9" style="549"/>
    <col min="2568" max="2568" width="29.08984375" style="549" bestFit="1" customWidth="1"/>
    <col min="2569" max="2816" width="9" style="549"/>
    <col min="2817" max="2819" width="15.08984375" style="549" customWidth="1"/>
    <col min="2820" max="2820" width="35.26953125" style="549" customWidth="1"/>
    <col min="2821" max="2822" width="19.6328125" style="549" customWidth="1"/>
    <col min="2823" max="2823" width="9" style="549"/>
    <col min="2824" max="2824" width="29.08984375" style="549" bestFit="1" customWidth="1"/>
    <col min="2825" max="3072" width="9" style="549"/>
    <col min="3073" max="3075" width="15.08984375" style="549" customWidth="1"/>
    <col min="3076" max="3076" width="35.26953125" style="549" customWidth="1"/>
    <col min="3077" max="3078" width="19.6328125" style="549" customWidth="1"/>
    <col min="3079" max="3079" width="9" style="549"/>
    <col min="3080" max="3080" width="29.08984375" style="549" bestFit="1" customWidth="1"/>
    <col min="3081" max="3328" width="9" style="549"/>
    <col min="3329" max="3331" width="15.08984375" style="549" customWidth="1"/>
    <col min="3332" max="3332" width="35.26953125" style="549" customWidth="1"/>
    <col min="3333" max="3334" width="19.6328125" style="549" customWidth="1"/>
    <col min="3335" max="3335" width="9" style="549"/>
    <col min="3336" max="3336" width="29.08984375" style="549" bestFit="1" customWidth="1"/>
    <col min="3337" max="3584" width="9" style="549"/>
    <col min="3585" max="3587" width="15.08984375" style="549" customWidth="1"/>
    <col min="3588" max="3588" width="35.26953125" style="549" customWidth="1"/>
    <col min="3589" max="3590" width="19.6328125" style="549" customWidth="1"/>
    <col min="3591" max="3591" width="9" style="549"/>
    <col min="3592" max="3592" width="29.08984375" style="549" bestFit="1" customWidth="1"/>
    <col min="3593" max="3840" width="9" style="549"/>
    <col min="3841" max="3843" width="15.08984375" style="549" customWidth="1"/>
    <col min="3844" max="3844" width="35.26953125" style="549" customWidth="1"/>
    <col min="3845" max="3846" width="19.6328125" style="549" customWidth="1"/>
    <col min="3847" max="3847" width="9" style="549"/>
    <col min="3848" max="3848" width="29.08984375" style="549" bestFit="1" customWidth="1"/>
    <col min="3849" max="4096" width="9" style="549"/>
    <col min="4097" max="4099" width="15.08984375" style="549" customWidth="1"/>
    <col min="4100" max="4100" width="35.26953125" style="549" customWidth="1"/>
    <col min="4101" max="4102" width="19.6328125" style="549" customWidth="1"/>
    <col min="4103" max="4103" width="9" style="549"/>
    <col min="4104" max="4104" width="29.08984375" style="549" bestFit="1" customWidth="1"/>
    <col min="4105" max="4352" width="9" style="549"/>
    <col min="4353" max="4355" width="15.08984375" style="549" customWidth="1"/>
    <col min="4356" max="4356" width="35.26953125" style="549" customWidth="1"/>
    <col min="4357" max="4358" width="19.6328125" style="549" customWidth="1"/>
    <col min="4359" max="4359" width="9" style="549"/>
    <col min="4360" max="4360" width="29.08984375" style="549" bestFit="1" customWidth="1"/>
    <col min="4361" max="4608" width="9" style="549"/>
    <col min="4609" max="4611" width="15.08984375" style="549" customWidth="1"/>
    <col min="4612" max="4612" width="35.26953125" style="549" customWidth="1"/>
    <col min="4613" max="4614" width="19.6328125" style="549" customWidth="1"/>
    <col min="4615" max="4615" width="9" style="549"/>
    <col min="4616" max="4616" width="29.08984375" style="549" bestFit="1" customWidth="1"/>
    <col min="4617" max="4864" width="9" style="549"/>
    <col min="4865" max="4867" width="15.08984375" style="549" customWidth="1"/>
    <col min="4868" max="4868" width="35.26953125" style="549" customWidth="1"/>
    <col min="4869" max="4870" width="19.6328125" style="549" customWidth="1"/>
    <col min="4871" max="4871" width="9" style="549"/>
    <col min="4872" max="4872" width="29.08984375" style="549" bestFit="1" customWidth="1"/>
    <col min="4873" max="5120" width="9" style="549"/>
    <col min="5121" max="5123" width="15.08984375" style="549" customWidth="1"/>
    <col min="5124" max="5124" width="35.26953125" style="549" customWidth="1"/>
    <col min="5125" max="5126" width="19.6328125" style="549" customWidth="1"/>
    <col min="5127" max="5127" width="9" style="549"/>
    <col min="5128" max="5128" width="29.08984375" style="549" bestFit="1" customWidth="1"/>
    <col min="5129" max="5376" width="9" style="549"/>
    <col min="5377" max="5379" width="15.08984375" style="549" customWidth="1"/>
    <col min="5380" max="5380" width="35.26953125" style="549" customWidth="1"/>
    <col min="5381" max="5382" width="19.6328125" style="549" customWidth="1"/>
    <col min="5383" max="5383" width="9" style="549"/>
    <col min="5384" max="5384" width="29.08984375" style="549" bestFit="1" customWidth="1"/>
    <col min="5385" max="5632" width="9" style="549"/>
    <col min="5633" max="5635" width="15.08984375" style="549" customWidth="1"/>
    <col min="5636" max="5636" width="35.26953125" style="549" customWidth="1"/>
    <col min="5637" max="5638" width="19.6328125" style="549" customWidth="1"/>
    <col min="5639" max="5639" width="9" style="549"/>
    <col min="5640" max="5640" width="29.08984375" style="549" bestFit="1" customWidth="1"/>
    <col min="5641" max="5888" width="9" style="549"/>
    <col min="5889" max="5891" width="15.08984375" style="549" customWidth="1"/>
    <col min="5892" max="5892" width="35.26953125" style="549" customWidth="1"/>
    <col min="5893" max="5894" width="19.6328125" style="549" customWidth="1"/>
    <col min="5895" max="5895" width="9" style="549"/>
    <col min="5896" max="5896" width="29.08984375" style="549" bestFit="1" customWidth="1"/>
    <col min="5897" max="6144" width="9" style="549"/>
    <col min="6145" max="6147" width="15.08984375" style="549" customWidth="1"/>
    <col min="6148" max="6148" width="35.26953125" style="549" customWidth="1"/>
    <col min="6149" max="6150" width="19.6328125" style="549" customWidth="1"/>
    <col min="6151" max="6151" width="9" style="549"/>
    <col min="6152" max="6152" width="29.08984375" style="549" bestFit="1" customWidth="1"/>
    <col min="6153" max="6400" width="9" style="549"/>
    <col min="6401" max="6403" width="15.08984375" style="549" customWidth="1"/>
    <col min="6404" max="6404" width="35.26953125" style="549" customWidth="1"/>
    <col min="6405" max="6406" width="19.6328125" style="549" customWidth="1"/>
    <col min="6407" max="6407" width="9" style="549"/>
    <col min="6408" max="6408" width="29.08984375" style="549" bestFit="1" customWidth="1"/>
    <col min="6409" max="6656" width="9" style="549"/>
    <col min="6657" max="6659" width="15.08984375" style="549" customWidth="1"/>
    <col min="6660" max="6660" width="35.26953125" style="549" customWidth="1"/>
    <col min="6661" max="6662" width="19.6328125" style="549" customWidth="1"/>
    <col min="6663" max="6663" width="9" style="549"/>
    <col min="6664" max="6664" width="29.08984375" style="549" bestFit="1" customWidth="1"/>
    <col min="6665" max="6912" width="9" style="549"/>
    <col min="6913" max="6915" width="15.08984375" style="549" customWidth="1"/>
    <col min="6916" max="6916" width="35.26953125" style="549" customWidth="1"/>
    <col min="6917" max="6918" width="19.6328125" style="549" customWidth="1"/>
    <col min="6919" max="6919" width="9" style="549"/>
    <col min="6920" max="6920" width="29.08984375" style="549" bestFit="1" customWidth="1"/>
    <col min="6921" max="7168" width="9" style="549"/>
    <col min="7169" max="7171" width="15.08984375" style="549" customWidth="1"/>
    <col min="7172" max="7172" width="35.26953125" style="549" customWidth="1"/>
    <col min="7173" max="7174" width="19.6328125" style="549" customWidth="1"/>
    <col min="7175" max="7175" width="9" style="549"/>
    <col min="7176" max="7176" width="29.08984375" style="549" bestFit="1" customWidth="1"/>
    <col min="7177" max="7424" width="9" style="549"/>
    <col min="7425" max="7427" width="15.08984375" style="549" customWidth="1"/>
    <col min="7428" max="7428" width="35.26953125" style="549" customWidth="1"/>
    <col min="7429" max="7430" width="19.6328125" style="549" customWidth="1"/>
    <col min="7431" max="7431" width="9" style="549"/>
    <col min="7432" max="7432" width="29.08984375" style="549" bestFit="1" customWidth="1"/>
    <col min="7433" max="7680" width="9" style="549"/>
    <col min="7681" max="7683" width="15.08984375" style="549" customWidth="1"/>
    <col min="7684" max="7684" width="35.26953125" style="549" customWidth="1"/>
    <col min="7685" max="7686" width="19.6328125" style="549" customWidth="1"/>
    <col min="7687" max="7687" width="9" style="549"/>
    <col min="7688" max="7688" width="29.08984375" style="549" bestFit="1" customWidth="1"/>
    <col min="7689" max="7936" width="9" style="549"/>
    <col min="7937" max="7939" width="15.08984375" style="549" customWidth="1"/>
    <col min="7940" max="7940" width="35.26953125" style="549" customWidth="1"/>
    <col min="7941" max="7942" width="19.6328125" style="549" customWidth="1"/>
    <col min="7943" max="7943" width="9" style="549"/>
    <col min="7944" max="7944" width="29.08984375" style="549" bestFit="1" customWidth="1"/>
    <col min="7945" max="8192" width="9" style="549"/>
    <col min="8193" max="8195" width="15.08984375" style="549" customWidth="1"/>
    <col min="8196" max="8196" width="35.26953125" style="549" customWidth="1"/>
    <col min="8197" max="8198" width="19.6328125" style="549" customWidth="1"/>
    <col min="8199" max="8199" width="9" style="549"/>
    <col min="8200" max="8200" width="29.08984375" style="549" bestFit="1" customWidth="1"/>
    <col min="8201" max="8448" width="9" style="549"/>
    <col min="8449" max="8451" width="15.08984375" style="549" customWidth="1"/>
    <col min="8452" max="8452" width="35.26953125" style="549" customWidth="1"/>
    <col min="8453" max="8454" width="19.6328125" style="549" customWidth="1"/>
    <col min="8455" max="8455" width="9" style="549"/>
    <col min="8456" max="8456" width="29.08984375" style="549" bestFit="1" customWidth="1"/>
    <col min="8457" max="8704" width="9" style="549"/>
    <col min="8705" max="8707" width="15.08984375" style="549" customWidth="1"/>
    <col min="8708" max="8708" width="35.26953125" style="549" customWidth="1"/>
    <col min="8709" max="8710" width="19.6328125" style="549" customWidth="1"/>
    <col min="8711" max="8711" width="9" style="549"/>
    <col min="8712" max="8712" width="29.08984375" style="549" bestFit="1" customWidth="1"/>
    <col min="8713" max="8960" width="9" style="549"/>
    <col min="8961" max="8963" width="15.08984375" style="549" customWidth="1"/>
    <col min="8964" max="8964" width="35.26953125" style="549" customWidth="1"/>
    <col min="8965" max="8966" width="19.6328125" style="549" customWidth="1"/>
    <col min="8967" max="8967" width="9" style="549"/>
    <col min="8968" max="8968" width="29.08984375" style="549" bestFit="1" customWidth="1"/>
    <col min="8969" max="9216" width="9" style="549"/>
    <col min="9217" max="9219" width="15.08984375" style="549" customWidth="1"/>
    <col min="9220" max="9220" width="35.26953125" style="549" customWidth="1"/>
    <col min="9221" max="9222" width="19.6328125" style="549" customWidth="1"/>
    <col min="9223" max="9223" width="9" style="549"/>
    <col min="9224" max="9224" width="29.08984375" style="549" bestFit="1" customWidth="1"/>
    <col min="9225" max="9472" width="9" style="549"/>
    <col min="9473" max="9475" width="15.08984375" style="549" customWidth="1"/>
    <col min="9476" max="9476" width="35.26953125" style="549" customWidth="1"/>
    <col min="9477" max="9478" width="19.6328125" style="549" customWidth="1"/>
    <col min="9479" max="9479" width="9" style="549"/>
    <col min="9480" max="9480" width="29.08984375" style="549" bestFit="1" customWidth="1"/>
    <col min="9481" max="9728" width="9" style="549"/>
    <col min="9729" max="9731" width="15.08984375" style="549" customWidth="1"/>
    <col min="9732" max="9732" width="35.26953125" style="549" customWidth="1"/>
    <col min="9733" max="9734" width="19.6328125" style="549" customWidth="1"/>
    <col min="9735" max="9735" width="9" style="549"/>
    <col min="9736" max="9736" width="29.08984375" style="549" bestFit="1" customWidth="1"/>
    <col min="9737" max="9984" width="9" style="549"/>
    <col min="9985" max="9987" width="15.08984375" style="549" customWidth="1"/>
    <col min="9988" max="9988" width="35.26953125" style="549" customWidth="1"/>
    <col min="9989" max="9990" width="19.6328125" style="549" customWidth="1"/>
    <col min="9991" max="9991" width="9" style="549"/>
    <col min="9992" max="9992" width="29.08984375" style="549" bestFit="1" customWidth="1"/>
    <col min="9993" max="10240" width="9" style="549"/>
    <col min="10241" max="10243" width="15.08984375" style="549" customWidth="1"/>
    <col min="10244" max="10244" width="35.26953125" style="549" customWidth="1"/>
    <col min="10245" max="10246" width="19.6328125" style="549" customWidth="1"/>
    <col min="10247" max="10247" width="9" style="549"/>
    <col min="10248" max="10248" width="29.08984375" style="549" bestFit="1" customWidth="1"/>
    <col min="10249" max="10496" width="9" style="549"/>
    <col min="10497" max="10499" width="15.08984375" style="549" customWidth="1"/>
    <col min="10500" max="10500" width="35.26953125" style="549" customWidth="1"/>
    <col min="10501" max="10502" width="19.6328125" style="549" customWidth="1"/>
    <col min="10503" max="10503" width="9" style="549"/>
    <col min="10504" max="10504" width="29.08984375" style="549" bestFit="1" customWidth="1"/>
    <col min="10505" max="10752" width="9" style="549"/>
    <col min="10753" max="10755" width="15.08984375" style="549" customWidth="1"/>
    <col min="10756" max="10756" width="35.26953125" style="549" customWidth="1"/>
    <col min="10757" max="10758" width="19.6328125" style="549" customWidth="1"/>
    <col min="10759" max="10759" width="9" style="549"/>
    <col min="10760" max="10760" width="29.08984375" style="549" bestFit="1" customWidth="1"/>
    <col min="10761" max="11008" width="9" style="549"/>
    <col min="11009" max="11011" width="15.08984375" style="549" customWidth="1"/>
    <col min="11012" max="11012" width="35.26953125" style="549" customWidth="1"/>
    <col min="11013" max="11014" width="19.6328125" style="549" customWidth="1"/>
    <col min="11015" max="11015" width="9" style="549"/>
    <col min="11016" max="11016" width="29.08984375" style="549" bestFit="1" customWidth="1"/>
    <col min="11017" max="11264" width="9" style="549"/>
    <col min="11265" max="11267" width="15.08984375" style="549" customWidth="1"/>
    <col min="11268" max="11268" width="35.26953125" style="549" customWidth="1"/>
    <col min="11269" max="11270" width="19.6328125" style="549" customWidth="1"/>
    <col min="11271" max="11271" width="9" style="549"/>
    <col min="11272" max="11272" width="29.08984375" style="549" bestFit="1" customWidth="1"/>
    <col min="11273" max="11520" width="9" style="549"/>
    <col min="11521" max="11523" width="15.08984375" style="549" customWidth="1"/>
    <col min="11524" max="11524" width="35.26953125" style="549" customWidth="1"/>
    <col min="11525" max="11526" width="19.6328125" style="549" customWidth="1"/>
    <col min="11527" max="11527" width="9" style="549"/>
    <col min="11528" max="11528" width="29.08984375" style="549" bestFit="1" customWidth="1"/>
    <col min="11529" max="11776" width="9" style="549"/>
    <col min="11777" max="11779" width="15.08984375" style="549" customWidth="1"/>
    <col min="11780" max="11780" width="35.26953125" style="549" customWidth="1"/>
    <col min="11781" max="11782" width="19.6328125" style="549" customWidth="1"/>
    <col min="11783" max="11783" width="9" style="549"/>
    <col min="11784" max="11784" width="29.08984375" style="549" bestFit="1" customWidth="1"/>
    <col min="11785" max="12032" width="9" style="549"/>
    <col min="12033" max="12035" width="15.08984375" style="549" customWidth="1"/>
    <col min="12036" max="12036" width="35.26953125" style="549" customWidth="1"/>
    <col min="12037" max="12038" width="19.6328125" style="549" customWidth="1"/>
    <col min="12039" max="12039" width="9" style="549"/>
    <col min="12040" max="12040" width="29.08984375" style="549" bestFit="1" customWidth="1"/>
    <col min="12041" max="12288" width="9" style="549"/>
    <col min="12289" max="12291" width="15.08984375" style="549" customWidth="1"/>
    <col min="12292" max="12292" width="35.26953125" style="549" customWidth="1"/>
    <col min="12293" max="12294" width="19.6328125" style="549" customWidth="1"/>
    <col min="12295" max="12295" width="9" style="549"/>
    <col min="12296" max="12296" width="29.08984375" style="549" bestFit="1" customWidth="1"/>
    <col min="12297" max="12544" width="9" style="549"/>
    <col min="12545" max="12547" width="15.08984375" style="549" customWidth="1"/>
    <col min="12548" max="12548" width="35.26953125" style="549" customWidth="1"/>
    <col min="12549" max="12550" width="19.6328125" style="549" customWidth="1"/>
    <col min="12551" max="12551" width="9" style="549"/>
    <col min="12552" max="12552" width="29.08984375" style="549" bestFit="1" customWidth="1"/>
    <col min="12553" max="12800" width="9" style="549"/>
    <col min="12801" max="12803" width="15.08984375" style="549" customWidth="1"/>
    <col min="12804" max="12804" width="35.26953125" style="549" customWidth="1"/>
    <col min="12805" max="12806" width="19.6328125" style="549" customWidth="1"/>
    <col min="12807" max="12807" width="9" style="549"/>
    <col min="12808" max="12808" width="29.08984375" style="549" bestFit="1" customWidth="1"/>
    <col min="12809" max="13056" width="9" style="549"/>
    <col min="13057" max="13059" width="15.08984375" style="549" customWidth="1"/>
    <col min="13060" max="13060" width="35.26953125" style="549" customWidth="1"/>
    <col min="13061" max="13062" width="19.6328125" style="549" customWidth="1"/>
    <col min="13063" max="13063" width="9" style="549"/>
    <col min="13064" max="13064" width="29.08984375" style="549" bestFit="1" customWidth="1"/>
    <col min="13065" max="13312" width="9" style="549"/>
    <col min="13313" max="13315" width="15.08984375" style="549" customWidth="1"/>
    <col min="13316" max="13316" width="35.26953125" style="549" customWidth="1"/>
    <col min="13317" max="13318" width="19.6328125" style="549" customWidth="1"/>
    <col min="13319" max="13319" width="9" style="549"/>
    <col min="13320" max="13320" width="29.08984375" style="549" bestFit="1" customWidth="1"/>
    <col min="13321" max="13568" width="9" style="549"/>
    <col min="13569" max="13571" width="15.08984375" style="549" customWidth="1"/>
    <col min="13572" max="13572" width="35.26953125" style="549" customWidth="1"/>
    <col min="13573" max="13574" width="19.6328125" style="549" customWidth="1"/>
    <col min="13575" max="13575" width="9" style="549"/>
    <col min="13576" max="13576" width="29.08984375" style="549" bestFit="1" customWidth="1"/>
    <col min="13577" max="13824" width="9" style="549"/>
    <col min="13825" max="13827" width="15.08984375" style="549" customWidth="1"/>
    <col min="13828" max="13828" width="35.26953125" style="549" customWidth="1"/>
    <col min="13829" max="13830" width="19.6328125" style="549" customWidth="1"/>
    <col min="13831" max="13831" width="9" style="549"/>
    <col min="13832" max="13832" width="29.08984375" style="549" bestFit="1" customWidth="1"/>
    <col min="13833" max="14080" width="9" style="549"/>
    <col min="14081" max="14083" width="15.08984375" style="549" customWidth="1"/>
    <col min="14084" max="14084" width="35.26953125" style="549" customWidth="1"/>
    <col min="14085" max="14086" width="19.6328125" style="549" customWidth="1"/>
    <col min="14087" max="14087" width="9" style="549"/>
    <col min="14088" max="14088" width="29.08984375" style="549" bestFit="1" customWidth="1"/>
    <col min="14089" max="14336" width="9" style="549"/>
    <col min="14337" max="14339" width="15.08984375" style="549" customWidth="1"/>
    <col min="14340" max="14340" width="35.26953125" style="549" customWidth="1"/>
    <col min="14341" max="14342" width="19.6328125" style="549" customWidth="1"/>
    <col min="14343" max="14343" width="9" style="549"/>
    <col min="14344" max="14344" width="29.08984375" style="549" bestFit="1" customWidth="1"/>
    <col min="14345" max="14592" width="9" style="549"/>
    <col min="14593" max="14595" width="15.08984375" style="549" customWidth="1"/>
    <col min="14596" max="14596" width="35.26953125" style="549" customWidth="1"/>
    <col min="14597" max="14598" width="19.6328125" style="549" customWidth="1"/>
    <col min="14599" max="14599" width="9" style="549"/>
    <col min="14600" max="14600" width="29.08984375" style="549" bestFit="1" customWidth="1"/>
    <col min="14601" max="14848" width="9" style="549"/>
    <col min="14849" max="14851" width="15.08984375" style="549" customWidth="1"/>
    <col min="14852" max="14852" width="35.26953125" style="549" customWidth="1"/>
    <col min="14853" max="14854" width="19.6328125" style="549" customWidth="1"/>
    <col min="14855" max="14855" width="9" style="549"/>
    <col min="14856" max="14856" width="29.08984375" style="549" bestFit="1" customWidth="1"/>
    <col min="14857" max="15104" width="9" style="549"/>
    <col min="15105" max="15107" width="15.08984375" style="549" customWidth="1"/>
    <col min="15108" max="15108" width="35.26953125" style="549" customWidth="1"/>
    <col min="15109" max="15110" width="19.6328125" style="549" customWidth="1"/>
    <col min="15111" max="15111" width="9" style="549"/>
    <col min="15112" max="15112" width="29.08984375" style="549" bestFit="1" customWidth="1"/>
    <col min="15113" max="15360" width="9" style="549"/>
    <col min="15361" max="15363" width="15.08984375" style="549" customWidth="1"/>
    <col min="15364" max="15364" width="35.26953125" style="549" customWidth="1"/>
    <col min="15365" max="15366" width="19.6328125" style="549" customWidth="1"/>
    <col min="15367" max="15367" width="9" style="549"/>
    <col min="15368" max="15368" width="29.08984375" style="549" bestFit="1" customWidth="1"/>
    <col min="15369" max="15616" width="9" style="549"/>
    <col min="15617" max="15619" width="15.08984375" style="549" customWidth="1"/>
    <col min="15620" max="15620" width="35.26953125" style="549" customWidth="1"/>
    <col min="15621" max="15622" width="19.6328125" style="549" customWidth="1"/>
    <col min="15623" max="15623" width="9" style="549"/>
    <col min="15624" max="15624" width="29.08984375" style="549" bestFit="1" customWidth="1"/>
    <col min="15625" max="15872" width="9" style="549"/>
    <col min="15873" max="15875" width="15.08984375" style="549" customWidth="1"/>
    <col min="15876" max="15876" width="35.26953125" style="549" customWidth="1"/>
    <col min="15877" max="15878" width="19.6328125" style="549" customWidth="1"/>
    <col min="15879" max="15879" width="9" style="549"/>
    <col min="15880" max="15880" width="29.08984375" style="549" bestFit="1" customWidth="1"/>
    <col min="15881" max="16128" width="9" style="549"/>
    <col min="16129" max="16131" width="15.08984375" style="549" customWidth="1"/>
    <col min="16132" max="16132" width="35.26953125" style="549" customWidth="1"/>
    <col min="16133" max="16134" width="19.6328125" style="549" customWidth="1"/>
    <col min="16135" max="16135" width="9" style="549"/>
    <col min="16136" max="16136" width="29.08984375" style="549" bestFit="1" customWidth="1"/>
    <col min="16137" max="16384" width="9" style="549"/>
  </cols>
  <sheetData>
    <row r="1" spans="1:13" ht="19.5" customHeight="1">
      <c r="A1" s="2831" t="s">
        <v>1820</v>
      </c>
      <c r="B1" s="2831"/>
      <c r="C1" s="2831"/>
      <c r="D1" s="2831"/>
      <c r="E1" s="2831"/>
      <c r="F1" s="2831"/>
      <c r="H1" s="550"/>
      <c r="J1" s="585" t="s">
        <v>1892</v>
      </c>
    </row>
    <row r="2" spans="1:13" ht="19.5" customHeight="1">
      <c r="A2" s="553"/>
      <c r="B2" s="553"/>
      <c r="C2" s="553"/>
      <c r="D2" s="553"/>
      <c r="E2" s="553"/>
      <c r="F2" s="553"/>
      <c r="H2" s="550"/>
      <c r="J2" s="552" t="str">
        <f>【楽天Edy用記入シート】業種シート!H5</f>
        <v/>
      </c>
    </row>
    <row r="3" spans="1:13" ht="15" customHeight="1">
      <c r="A3" s="554" t="s">
        <v>335</v>
      </c>
      <c r="B3" s="3214" t="str">
        <f>IF(J2=1,T(記入シート1!I61),"")</f>
        <v/>
      </c>
      <c r="C3" s="3215"/>
      <c r="D3" s="555"/>
      <c r="E3" s="556"/>
      <c r="F3" s="556"/>
      <c r="H3" s="557"/>
      <c r="J3" s="552">
        <f>SUMPRODUCT((J7:J44)*1)</f>
        <v>25</v>
      </c>
    </row>
    <row r="4" spans="1:13" ht="15" customHeight="1">
      <c r="A4" s="558" t="s">
        <v>1821</v>
      </c>
      <c r="B4" s="2836" t="str">
        <f>IF(J2=1,T(【楽天Edy用記入シート】業種シート!$G$4),"")</f>
        <v/>
      </c>
      <c r="C4" s="2837"/>
      <c r="D4" s="555"/>
      <c r="E4" s="556"/>
      <c r="F4" s="556"/>
      <c r="H4" s="557"/>
      <c r="J4" s="552"/>
    </row>
    <row r="5" spans="1:13" ht="15" customHeight="1">
      <c r="A5" s="558" t="s">
        <v>1822</v>
      </c>
      <c r="B5" s="2836" t="str">
        <f>IF(J2=1,T(【楽天Edy用記入シート】業種シート!$C$4),"")</f>
        <v/>
      </c>
      <c r="C5" s="2837"/>
      <c r="D5" s="555"/>
      <c r="E5" s="556"/>
      <c r="F5" s="556"/>
      <c r="H5" s="557"/>
      <c r="J5" s="552"/>
    </row>
    <row r="6" spans="1:13" ht="15" customHeight="1">
      <c r="A6" s="558" t="s">
        <v>1823</v>
      </c>
      <c r="B6" s="2838" t="str">
        <f>IF(J2=1,記入シート2!AX8,"")</f>
        <v/>
      </c>
      <c r="C6" s="2839"/>
      <c r="D6" s="555"/>
      <c r="E6" s="556"/>
      <c r="F6" s="556"/>
      <c r="H6" s="557"/>
      <c r="J6" s="552"/>
    </row>
    <row r="7" spans="1:13" ht="15" customHeight="1">
      <c r="A7" s="559" t="s">
        <v>1893</v>
      </c>
      <c r="B7" s="2829"/>
      <c r="C7" s="2830"/>
      <c r="D7" s="555"/>
      <c r="E7" s="556"/>
      <c r="F7" s="556"/>
      <c r="H7" s="557"/>
      <c r="J7" s="560" t="b">
        <f>IF(B7="",TRUE,FALSE)</f>
        <v>1</v>
      </c>
    </row>
    <row r="8" spans="1:13" ht="7.5" customHeight="1">
      <c r="A8" s="553"/>
      <c r="B8" s="553"/>
      <c r="C8" s="553"/>
      <c r="D8" s="553"/>
      <c r="E8" s="553"/>
      <c r="F8" s="553"/>
      <c r="H8" s="550"/>
      <c r="J8" s="560"/>
    </row>
    <row r="9" spans="1:13" ht="14.25" customHeight="1">
      <c r="H9" s="557"/>
      <c r="J9" s="560"/>
    </row>
    <row r="10" spans="1:13" s="563" customFormat="1" ht="13.5" customHeight="1">
      <c r="A10" s="562" t="s">
        <v>1824</v>
      </c>
      <c r="B10" s="562"/>
      <c r="C10" s="562"/>
      <c r="D10" s="562"/>
      <c r="H10" s="557"/>
      <c r="I10" s="551"/>
      <c r="J10" s="560"/>
      <c r="K10" s="564"/>
      <c r="L10" s="564"/>
      <c r="M10" s="564"/>
    </row>
    <row r="11" spans="1:13" s="563" customFormat="1" ht="13.5" customHeight="1">
      <c r="A11" s="562" t="s">
        <v>1825</v>
      </c>
      <c r="B11" s="562"/>
      <c r="C11" s="562"/>
      <c r="D11" s="562"/>
      <c r="H11" s="557"/>
      <c r="I11" s="551"/>
      <c r="J11" s="560"/>
      <c r="K11" s="564"/>
      <c r="L11" s="564"/>
      <c r="M11" s="564"/>
    </row>
    <row r="12" spans="1:13" s="563" customFormat="1" ht="13.5" customHeight="1">
      <c r="A12" s="562" t="s">
        <v>1826</v>
      </c>
      <c r="B12" s="562"/>
      <c r="C12" s="562"/>
      <c r="D12" s="562"/>
      <c r="H12" s="557"/>
      <c r="I12" s="551"/>
      <c r="J12" s="560"/>
      <c r="K12" s="564"/>
      <c r="L12" s="564"/>
      <c r="M12" s="564"/>
    </row>
    <row r="13" spans="1:13" s="563" customFormat="1" ht="10.5" customHeight="1">
      <c r="A13" s="2840" t="s">
        <v>1827</v>
      </c>
      <c r="B13" s="2841"/>
      <c r="C13" s="2842" t="s">
        <v>1828</v>
      </c>
      <c r="D13" s="2843"/>
      <c r="E13" s="565" t="s">
        <v>1829</v>
      </c>
      <c r="F13" s="565" t="s">
        <v>319</v>
      </c>
      <c r="H13" s="557"/>
      <c r="I13" s="551"/>
      <c r="J13" s="560"/>
      <c r="K13" s="564"/>
      <c r="L13" s="564"/>
      <c r="M13" s="564"/>
    </row>
    <row r="14" spans="1:13" ht="24" customHeight="1">
      <c r="A14" s="2844" t="s">
        <v>1830</v>
      </c>
      <c r="B14" s="2845"/>
      <c r="C14" s="2844" t="s">
        <v>1831</v>
      </c>
      <c r="D14" s="2845"/>
      <c r="E14" s="530" t="s">
        <v>1891</v>
      </c>
      <c r="F14" s="575"/>
      <c r="H14" s="557"/>
      <c r="J14" s="560" t="b">
        <f>IF(E14="選択してください",TRUE,FALSE)</f>
        <v>1</v>
      </c>
    </row>
    <row r="15" spans="1:13" ht="23.25" customHeight="1">
      <c r="A15" s="2844" t="s">
        <v>1832</v>
      </c>
      <c r="B15" s="2845"/>
      <c r="C15" s="2844" t="s">
        <v>1833</v>
      </c>
      <c r="D15" s="2845"/>
      <c r="E15" s="530" t="s">
        <v>1891</v>
      </c>
      <c r="F15" s="575"/>
      <c r="H15" s="557"/>
      <c r="J15" s="560" t="b">
        <f>IF(E15="選択してください",TRUE,FALSE)</f>
        <v>1</v>
      </c>
    </row>
    <row r="16" spans="1:13" ht="23.25" customHeight="1">
      <c r="A16" s="566"/>
      <c r="B16" s="567"/>
      <c r="C16" s="567"/>
      <c r="D16" s="567"/>
      <c r="E16" s="568"/>
      <c r="F16" s="569"/>
      <c r="H16" s="557"/>
      <c r="J16" s="560"/>
    </row>
    <row r="17" spans="1:13" ht="12" customHeight="1">
      <c r="A17" s="562" t="s">
        <v>1834</v>
      </c>
      <c r="B17" s="562"/>
      <c r="C17" s="562"/>
      <c r="D17" s="562"/>
      <c r="E17" s="563"/>
      <c r="F17" s="563"/>
      <c r="H17" s="557"/>
      <c r="J17" s="560"/>
    </row>
    <row r="18" spans="1:13" s="563" customFormat="1" ht="12" customHeight="1">
      <c r="A18" s="2840" t="s">
        <v>1827</v>
      </c>
      <c r="B18" s="2841"/>
      <c r="C18" s="2842" t="s">
        <v>1828</v>
      </c>
      <c r="D18" s="2843"/>
      <c r="E18" s="565" t="s">
        <v>1829</v>
      </c>
      <c r="F18" s="565" t="s">
        <v>319</v>
      </c>
      <c r="H18" s="557"/>
      <c r="I18" s="551"/>
      <c r="J18" s="560"/>
      <c r="K18" s="564"/>
      <c r="L18" s="564"/>
      <c r="M18" s="564"/>
    </row>
    <row r="19" spans="1:13" ht="14.15" customHeight="1">
      <c r="A19" s="2844" t="s">
        <v>1835</v>
      </c>
      <c r="B19" s="2845"/>
      <c r="C19" s="570" t="s">
        <v>1836</v>
      </c>
      <c r="D19" s="571"/>
      <c r="E19" s="530" t="s">
        <v>1891</v>
      </c>
      <c r="F19" s="575"/>
      <c r="J19" s="560" t="b">
        <f t="shared" ref="J19:J31" si="0">IF(E19="選択してください",TRUE,FALSE)</f>
        <v>1</v>
      </c>
    </row>
    <row r="20" spans="1:13" ht="24.75" customHeight="1">
      <c r="A20" s="2844" t="s">
        <v>1837</v>
      </c>
      <c r="B20" s="2845"/>
      <c r="C20" s="2844" t="s">
        <v>1838</v>
      </c>
      <c r="D20" s="2845"/>
      <c r="E20" s="530" t="s">
        <v>3853</v>
      </c>
      <c r="F20" s="575"/>
      <c r="J20" s="560" t="b">
        <f t="shared" si="0"/>
        <v>1</v>
      </c>
    </row>
    <row r="21" spans="1:13" ht="24.25" customHeight="1">
      <c r="A21" s="2844" t="s">
        <v>1839</v>
      </c>
      <c r="B21" s="2845"/>
      <c r="C21" s="2844" t="s">
        <v>1840</v>
      </c>
      <c r="D21" s="2845"/>
      <c r="E21" s="530" t="s">
        <v>1891</v>
      </c>
      <c r="F21" s="575"/>
      <c r="J21" s="560" t="b">
        <f t="shared" si="0"/>
        <v>1</v>
      </c>
    </row>
    <row r="22" spans="1:13" ht="14.15" customHeight="1">
      <c r="A22" s="2844" t="s">
        <v>1841</v>
      </c>
      <c r="B22" s="2845"/>
      <c r="C22" s="570" t="s">
        <v>1842</v>
      </c>
      <c r="D22" s="571"/>
      <c r="E22" s="530" t="s">
        <v>1891</v>
      </c>
      <c r="F22" s="575"/>
      <c r="J22" s="560" t="b">
        <f t="shared" si="0"/>
        <v>1</v>
      </c>
    </row>
    <row r="23" spans="1:13" ht="14.15" customHeight="1">
      <c r="A23" s="2844" t="s">
        <v>1843</v>
      </c>
      <c r="B23" s="2845"/>
      <c r="C23" s="570" t="s">
        <v>1844</v>
      </c>
      <c r="D23" s="571"/>
      <c r="E23" s="530" t="s">
        <v>1891</v>
      </c>
      <c r="F23" s="575"/>
      <c r="J23" s="560" t="b">
        <f t="shared" si="0"/>
        <v>1</v>
      </c>
    </row>
    <row r="24" spans="1:13" ht="14.15" customHeight="1">
      <c r="A24" s="2844" t="s">
        <v>1845</v>
      </c>
      <c r="B24" s="2845"/>
      <c r="C24" s="570" t="s">
        <v>1846</v>
      </c>
      <c r="D24" s="571"/>
      <c r="E24" s="530" t="s">
        <v>1891</v>
      </c>
      <c r="F24" s="575"/>
      <c r="J24" s="560" t="b">
        <f t="shared" si="0"/>
        <v>1</v>
      </c>
    </row>
    <row r="25" spans="1:13" ht="14.15" customHeight="1">
      <c r="A25" s="2844" t="s">
        <v>1847</v>
      </c>
      <c r="B25" s="2845"/>
      <c r="C25" s="570" t="s">
        <v>1848</v>
      </c>
      <c r="D25" s="571"/>
      <c r="E25" s="530" t="s">
        <v>1891</v>
      </c>
      <c r="F25" s="575"/>
      <c r="J25" s="560" t="b">
        <f t="shared" si="0"/>
        <v>1</v>
      </c>
    </row>
    <row r="26" spans="1:13" ht="24.25" customHeight="1">
      <c r="A26" s="2844" t="s">
        <v>1849</v>
      </c>
      <c r="B26" s="2845"/>
      <c r="C26" s="2844" t="s">
        <v>1850</v>
      </c>
      <c r="D26" s="2846"/>
      <c r="E26" s="530" t="s">
        <v>1891</v>
      </c>
      <c r="F26" s="575"/>
      <c r="J26" s="560" t="b">
        <f t="shared" si="0"/>
        <v>1</v>
      </c>
    </row>
    <row r="27" spans="1:13" ht="24.25" customHeight="1">
      <c r="A27" s="2844" t="s">
        <v>1851</v>
      </c>
      <c r="B27" s="2845"/>
      <c r="C27" s="2844" t="s">
        <v>1852</v>
      </c>
      <c r="D27" s="2845"/>
      <c r="E27" s="530" t="s">
        <v>1891</v>
      </c>
      <c r="F27" s="575"/>
      <c r="J27" s="560" t="b">
        <f t="shared" si="0"/>
        <v>1</v>
      </c>
    </row>
    <row r="28" spans="1:13" ht="33" customHeight="1">
      <c r="A28" s="2844" t="s">
        <v>1853</v>
      </c>
      <c r="B28" s="2845"/>
      <c r="C28" s="2844" t="s">
        <v>1854</v>
      </c>
      <c r="D28" s="2845"/>
      <c r="E28" s="530" t="s">
        <v>1891</v>
      </c>
      <c r="F28" s="575"/>
      <c r="J28" s="560" t="b">
        <f t="shared" si="0"/>
        <v>1</v>
      </c>
    </row>
    <row r="29" spans="1:13" ht="28.5" customHeight="1">
      <c r="A29" s="2844" t="s">
        <v>1855</v>
      </c>
      <c r="B29" s="2845"/>
      <c r="C29" s="2844" t="s">
        <v>1856</v>
      </c>
      <c r="D29" s="2845"/>
      <c r="E29" s="530" t="s">
        <v>1891</v>
      </c>
      <c r="F29" s="575"/>
      <c r="J29" s="560" t="b">
        <f t="shared" si="0"/>
        <v>1</v>
      </c>
    </row>
    <row r="30" spans="1:13" ht="14.15" customHeight="1">
      <c r="A30" s="2844" t="s">
        <v>1857</v>
      </c>
      <c r="B30" s="2845"/>
      <c r="C30" s="570" t="s">
        <v>1858</v>
      </c>
      <c r="D30" s="571"/>
      <c r="E30" s="530" t="s">
        <v>1891</v>
      </c>
      <c r="F30" s="575"/>
      <c r="J30" s="560" t="b">
        <f t="shared" si="0"/>
        <v>1</v>
      </c>
    </row>
    <row r="31" spans="1:13" ht="31.5" customHeight="1">
      <c r="A31" s="2844" t="s">
        <v>1859</v>
      </c>
      <c r="B31" s="2845"/>
      <c r="C31" s="2844" t="s">
        <v>1860</v>
      </c>
      <c r="D31" s="2845"/>
      <c r="E31" s="530" t="s">
        <v>1891</v>
      </c>
      <c r="F31" s="575"/>
      <c r="J31" s="560" t="b">
        <f t="shared" si="0"/>
        <v>1</v>
      </c>
    </row>
    <row r="32" spans="1:13" ht="14.25" customHeight="1">
      <c r="A32" s="567"/>
      <c r="B32" s="567"/>
      <c r="C32" s="567"/>
      <c r="D32" s="567"/>
      <c r="E32" s="568"/>
      <c r="F32" s="569"/>
      <c r="J32" s="560"/>
    </row>
    <row r="33" spans="1:13" ht="16.75" customHeight="1">
      <c r="A33" s="563" t="s">
        <v>1861</v>
      </c>
      <c r="B33" s="562"/>
      <c r="C33" s="562"/>
      <c r="D33" s="562"/>
      <c r="E33" s="563"/>
      <c r="F33" s="563"/>
      <c r="J33" s="560"/>
    </row>
    <row r="34" spans="1:13" ht="12" customHeight="1">
      <c r="A34" s="563" t="s">
        <v>1862</v>
      </c>
      <c r="B34" s="562"/>
      <c r="C34" s="562"/>
      <c r="D34" s="562"/>
      <c r="E34" s="563"/>
      <c r="F34" s="563"/>
      <c r="I34" s="564"/>
      <c r="J34" s="560"/>
    </row>
    <row r="35" spans="1:13" s="563" customFormat="1" ht="14.25" customHeight="1">
      <c r="A35" s="2840" t="s">
        <v>1827</v>
      </c>
      <c r="B35" s="2841"/>
      <c r="C35" s="2842" t="s">
        <v>1828</v>
      </c>
      <c r="D35" s="2843"/>
      <c r="E35" s="565" t="s">
        <v>1829</v>
      </c>
      <c r="F35" s="565" t="s">
        <v>319</v>
      </c>
      <c r="H35" s="551"/>
      <c r="I35" s="564"/>
      <c r="J35" s="560"/>
      <c r="K35" s="564"/>
      <c r="L35" s="564"/>
      <c r="M35" s="564"/>
    </row>
    <row r="36" spans="1:13" s="563" customFormat="1" ht="24" customHeight="1">
      <c r="A36" s="2844" t="s">
        <v>1863</v>
      </c>
      <c r="B36" s="2845"/>
      <c r="C36" s="2844" t="s">
        <v>1864</v>
      </c>
      <c r="D36" s="2845"/>
      <c r="E36" s="530" t="s">
        <v>1891</v>
      </c>
      <c r="F36" s="575"/>
      <c r="H36" s="551"/>
      <c r="I36" s="564"/>
      <c r="J36" s="560" t="b">
        <f t="shared" ref="J36:J44" si="1">IF(E36="選択してください",TRUE,FALSE)</f>
        <v>1</v>
      </c>
      <c r="K36" s="564"/>
      <c r="L36" s="564"/>
      <c r="M36" s="564"/>
    </row>
    <row r="37" spans="1:13" s="563" customFormat="1" ht="24.25" customHeight="1">
      <c r="A37" s="2844" t="s">
        <v>1865</v>
      </c>
      <c r="B37" s="2845"/>
      <c r="C37" s="2844" t="s">
        <v>1866</v>
      </c>
      <c r="D37" s="2845"/>
      <c r="E37" s="530" t="s">
        <v>1891</v>
      </c>
      <c r="F37" s="575"/>
      <c r="H37" s="551"/>
      <c r="I37" s="551"/>
      <c r="J37" s="560" t="b">
        <f t="shared" si="1"/>
        <v>1</v>
      </c>
      <c r="K37" s="564"/>
      <c r="L37" s="564"/>
      <c r="M37" s="564"/>
    </row>
    <row r="38" spans="1:13" ht="16.75" customHeight="1">
      <c r="A38" s="2847" t="s">
        <v>1867</v>
      </c>
      <c r="B38" s="2848"/>
      <c r="C38" s="570" t="s">
        <v>1868</v>
      </c>
      <c r="D38" s="571"/>
      <c r="E38" s="530" t="s">
        <v>1891</v>
      </c>
      <c r="F38" s="575"/>
      <c r="J38" s="560" t="b">
        <f t="shared" si="1"/>
        <v>1</v>
      </c>
    </row>
    <row r="39" spans="1:13" ht="16.5" customHeight="1">
      <c r="A39" s="2849"/>
      <c r="B39" s="2850"/>
      <c r="C39" s="570" t="s">
        <v>1869</v>
      </c>
      <c r="D39" s="571"/>
      <c r="E39" s="530" t="s">
        <v>1891</v>
      </c>
      <c r="F39" s="575"/>
      <c r="H39" s="557"/>
      <c r="J39" s="560" t="b">
        <f t="shared" si="1"/>
        <v>1</v>
      </c>
    </row>
    <row r="40" spans="1:13" ht="16.75" customHeight="1">
      <c r="A40" s="2849"/>
      <c r="B40" s="2850"/>
      <c r="C40" s="570" t="s">
        <v>1870</v>
      </c>
      <c r="D40" s="571"/>
      <c r="E40" s="530" t="s">
        <v>1891</v>
      </c>
      <c r="F40" s="575"/>
      <c r="H40" s="557"/>
      <c r="J40" s="560" t="b">
        <f t="shared" si="1"/>
        <v>1</v>
      </c>
    </row>
    <row r="41" spans="1:13" ht="16.75" customHeight="1">
      <c r="A41" s="2849"/>
      <c r="B41" s="2850"/>
      <c r="C41" s="570" t="s">
        <v>1871</v>
      </c>
      <c r="D41" s="571"/>
      <c r="E41" s="530" t="s">
        <v>1891</v>
      </c>
      <c r="F41" s="575"/>
      <c r="J41" s="560" t="b">
        <f t="shared" si="1"/>
        <v>1</v>
      </c>
    </row>
    <row r="42" spans="1:13" ht="16.75" customHeight="1">
      <c r="A42" s="2849"/>
      <c r="B42" s="2850"/>
      <c r="C42" s="570" t="s">
        <v>1872</v>
      </c>
      <c r="D42" s="571"/>
      <c r="E42" s="530" t="s">
        <v>1891</v>
      </c>
      <c r="F42" s="575"/>
      <c r="J42" s="560" t="b">
        <f t="shared" si="1"/>
        <v>1</v>
      </c>
    </row>
    <row r="43" spans="1:13" ht="16.5" customHeight="1">
      <c r="A43" s="2849"/>
      <c r="B43" s="2850"/>
      <c r="C43" s="570" t="s">
        <v>1873</v>
      </c>
      <c r="D43" s="571"/>
      <c r="E43" s="530" t="s">
        <v>1891</v>
      </c>
      <c r="F43" s="575"/>
      <c r="J43" s="560" t="b">
        <f t="shared" si="1"/>
        <v>1</v>
      </c>
    </row>
    <row r="44" spans="1:13" ht="16.75" customHeight="1">
      <c r="A44" s="2851"/>
      <c r="B44" s="2852"/>
      <c r="C44" s="570" t="s">
        <v>1874</v>
      </c>
      <c r="D44" s="571"/>
      <c r="E44" s="530" t="s">
        <v>1891</v>
      </c>
      <c r="F44" s="575"/>
      <c r="J44" s="560" t="b">
        <f t="shared" si="1"/>
        <v>1</v>
      </c>
    </row>
    <row r="45" spans="1:13" ht="16.75" customHeight="1">
      <c r="A45" s="567"/>
      <c r="B45" s="567"/>
      <c r="C45" s="572"/>
      <c r="D45" s="572"/>
      <c r="E45" s="568"/>
      <c r="F45" s="569"/>
      <c r="J45" s="552"/>
    </row>
    <row r="46" spans="1:13" ht="16.75" customHeight="1" thickBot="1">
      <c r="A46" s="573" t="s">
        <v>1875</v>
      </c>
      <c r="J46" s="552"/>
    </row>
    <row r="47" spans="1:13" ht="20.5" customHeight="1">
      <c r="A47" s="2853"/>
      <c r="B47" s="2854"/>
      <c r="C47" s="2854"/>
      <c r="D47" s="2854"/>
      <c r="E47" s="2854"/>
      <c r="F47" s="2855"/>
      <c r="J47" s="552"/>
    </row>
    <row r="48" spans="1:13" ht="20.5" customHeight="1" thickBot="1">
      <c r="A48" s="2856"/>
      <c r="B48" s="2857"/>
      <c r="C48" s="2857"/>
      <c r="D48" s="2857"/>
      <c r="E48" s="2857"/>
      <c r="F48" s="2858"/>
      <c r="J48" s="552"/>
    </row>
    <row r="49" spans="6:10" ht="21" customHeight="1">
      <c r="J49" s="552"/>
    </row>
    <row r="50" spans="6:10">
      <c r="F50" s="574" t="s">
        <v>1876</v>
      </c>
      <c r="J50" s="552"/>
    </row>
  </sheetData>
  <sheetProtection password="842B" sheet="1" objects="1" scenarios="1" selectLockedCells="1"/>
  <mergeCells count="42">
    <mergeCell ref="B7:C7"/>
    <mergeCell ref="A47:F48"/>
    <mergeCell ref="A1:F1"/>
    <mergeCell ref="B3:C3"/>
    <mergeCell ref="B4:C4"/>
    <mergeCell ref="B5:C5"/>
    <mergeCell ref="B6:C6"/>
    <mergeCell ref="A13:B13"/>
    <mergeCell ref="C13:D13"/>
    <mergeCell ref="A14:B14"/>
    <mergeCell ref="C14:D14"/>
    <mergeCell ref="A15:B15"/>
    <mergeCell ref="C15:D15"/>
    <mergeCell ref="C26:D26"/>
    <mergeCell ref="A18:B18"/>
    <mergeCell ref="C18:D18"/>
    <mergeCell ref="A19:B19"/>
    <mergeCell ref="A20:B20"/>
    <mergeCell ref="C20:D20"/>
    <mergeCell ref="A21:B21"/>
    <mergeCell ref="C21:D21"/>
    <mergeCell ref="A22:B22"/>
    <mergeCell ref="A23:B23"/>
    <mergeCell ref="A24:B24"/>
    <mergeCell ref="A25:B25"/>
    <mergeCell ref="A26:B26"/>
    <mergeCell ref="A27:B27"/>
    <mergeCell ref="C27:D27"/>
    <mergeCell ref="A28:B28"/>
    <mergeCell ref="C28:D28"/>
    <mergeCell ref="A29:B29"/>
    <mergeCell ref="C29:D29"/>
    <mergeCell ref="A37:B37"/>
    <mergeCell ref="C37:D37"/>
    <mergeCell ref="A38:B44"/>
    <mergeCell ref="A30:B30"/>
    <mergeCell ref="A31:B31"/>
    <mergeCell ref="C31:D31"/>
    <mergeCell ref="A35:B35"/>
    <mergeCell ref="C35:D35"/>
    <mergeCell ref="A36:B36"/>
    <mergeCell ref="C36:D36"/>
  </mergeCells>
  <phoneticPr fontId="3"/>
  <conditionalFormatting sqref="E14:E15 E19:E31 E36:E44">
    <cfRule type="expression" dxfId="1" priority="2">
      <formula>AND($J$2=1,E14="選択してください")</formula>
    </cfRule>
  </conditionalFormatting>
  <conditionalFormatting sqref="B7:C7">
    <cfRule type="expression" dxfId="0" priority="1">
      <formula>AND($J$2=1,$B$7="")</formula>
    </cfRule>
  </conditionalFormatting>
  <dataValidations count="2">
    <dataValidation type="list" allowBlank="1" showInputMessage="1" showErrorMessage="1" sqref="WVJ983044:WVK983044 IX4:IY4 ST4:SU4 ACP4:ACQ4 AML4:AMM4 AWH4:AWI4 BGD4:BGE4 BPZ4:BQA4 BZV4:BZW4 CJR4:CJS4 CTN4:CTO4 DDJ4:DDK4 DNF4:DNG4 DXB4:DXC4 EGX4:EGY4 EQT4:EQU4 FAP4:FAQ4 FKL4:FKM4 FUH4:FUI4 GED4:GEE4 GNZ4:GOA4 GXV4:GXW4 HHR4:HHS4 HRN4:HRO4 IBJ4:IBK4 ILF4:ILG4 IVB4:IVC4 JEX4:JEY4 JOT4:JOU4 JYP4:JYQ4 KIL4:KIM4 KSH4:KSI4 LCD4:LCE4 LLZ4:LMA4 LVV4:LVW4 MFR4:MFS4 MPN4:MPO4 MZJ4:MZK4 NJF4:NJG4 NTB4:NTC4 OCX4:OCY4 OMT4:OMU4 OWP4:OWQ4 PGL4:PGM4 PQH4:PQI4 QAD4:QAE4 QJZ4:QKA4 QTV4:QTW4 RDR4:RDS4 RNN4:RNO4 RXJ4:RXK4 SHF4:SHG4 SRB4:SRC4 TAX4:TAY4 TKT4:TKU4 TUP4:TUQ4 UEL4:UEM4 UOH4:UOI4 UYD4:UYE4 VHZ4:VIA4 VRV4:VRW4 WBR4:WBS4 WLN4:WLO4 WVJ4:WVK4 B65540:C65540 IX65540:IY65540 ST65540:SU65540 ACP65540:ACQ65540 AML65540:AMM65540 AWH65540:AWI65540 BGD65540:BGE65540 BPZ65540:BQA65540 BZV65540:BZW65540 CJR65540:CJS65540 CTN65540:CTO65540 DDJ65540:DDK65540 DNF65540:DNG65540 DXB65540:DXC65540 EGX65540:EGY65540 EQT65540:EQU65540 FAP65540:FAQ65540 FKL65540:FKM65540 FUH65540:FUI65540 GED65540:GEE65540 GNZ65540:GOA65540 GXV65540:GXW65540 HHR65540:HHS65540 HRN65540:HRO65540 IBJ65540:IBK65540 ILF65540:ILG65540 IVB65540:IVC65540 JEX65540:JEY65540 JOT65540:JOU65540 JYP65540:JYQ65540 KIL65540:KIM65540 KSH65540:KSI65540 LCD65540:LCE65540 LLZ65540:LMA65540 LVV65540:LVW65540 MFR65540:MFS65540 MPN65540:MPO65540 MZJ65540:MZK65540 NJF65540:NJG65540 NTB65540:NTC65540 OCX65540:OCY65540 OMT65540:OMU65540 OWP65540:OWQ65540 PGL65540:PGM65540 PQH65540:PQI65540 QAD65540:QAE65540 QJZ65540:QKA65540 QTV65540:QTW65540 RDR65540:RDS65540 RNN65540:RNO65540 RXJ65540:RXK65540 SHF65540:SHG65540 SRB65540:SRC65540 TAX65540:TAY65540 TKT65540:TKU65540 TUP65540:TUQ65540 UEL65540:UEM65540 UOH65540:UOI65540 UYD65540:UYE65540 VHZ65540:VIA65540 VRV65540:VRW65540 WBR65540:WBS65540 WLN65540:WLO65540 WVJ65540:WVK65540 B131076:C131076 IX131076:IY131076 ST131076:SU131076 ACP131076:ACQ131076 AML131076:AMM131076 AWH131076:AWI131076 BGD131076:BGE131076 BPZ131076:BQA131076 BZV131076:BZW131076 CJR131076:CJS131076 CTN131076:CTO131076 DDJ131076:DDK131076 DNF131076:DNG131076 DXB131076:DXC131076 EGX131076:EGY131076 EQT131076:EQU131076 FAP131076:FAQ131076 FKL131076:FKM131076 FUH131076:FUI131076 GED131076:GEE131076 GNZ131076:GOA131076 GXV131076:GXW131076 HHR131076:HHS131076 HRN131076:HRO131076 IBJ131076:IBK131076 ILF131076:ILG131076 IVB131076:IVC131076 JEX131076:JEY131076 JOT131076:JOU131076 JYP131076:JYQ131076 KIL131076:KIM131076 KSH131076:KSI131076 LCD131076:LCE131076 LLZ131076:LMA131076 LVV131076:LVW131076 MFR131076:MFS131076 MPN131076:MPO131076 MZJ131076:MZK131076 NJF131076:NJG131076 NTB131076:NTC131076 OCX131076:OCY131076 OMT131076:OMU131076 OWP131076:OWQ131076 PGL131076:PGM131076 PQH131076:PQI131076 QAD131076:QAE131076 QJZ131076:QKA131076 QTV131076:QTW131076 RDR131076:RDS131076 RNN131076:RNO131076 RXJ131076:RXK131076 SHF131076:SHG131076 SRB131076:SRC131076 TAX131076:TAY131076 TKT131076:TKU131076 TUP131076:TUQ131076 UEL131076:UEM131076 UOH131076:UOI131076 UYD131076:UYE131076 VHZ131076:VIA131076 VRV131076:VRW131076 WBR131076:WBS131076 WLN131076:WLO131076 WVJ131076:WVK131076 B196612:C196612 IX196612:IY196612 ST196612:SU196612 ACP196612:ACQ196612 AML196612:AMM196612 AWH196612:AWI196612 BGD196612:BGE196612 BPZ196612:BQA196612 BZV196612:BZW196612 CJR196612:CJS196612 CTN196612:CTO196612 DDJ196612:DDK196612 DNF196612:DNG196612 DXB196612:DXC196612 EGX196612:EGY196612 EQT196612:EQU196612 FAP196612:FAQ196612 FKL196612:FKM196612 FUH196612:FUI196612 GED196612:GEE196612 GNZ196612:GOA196612 GXV196612:GXW196612 HHR196612:HHS196612 HRN196612:HRO196612 IBJ196612:IBK196612 ILF196612:ILG196612 IVB196612:IVC196612 JEX196612:JEY196612 JOT196612:JOU196612 JYP196612:JYQ196612 KIL196612:KIM196612 KSH196612:KSI196612 LCD196612:LCE196612 LLZ196612:LMA196612 LVV196612:LVW196612 MFR196612:MFS196612 MPN196612:MPO196612 MZJ196612:MZK196612 NJF196612:NJG196612 NTB196612:NTC196612 OCX196612:OCY196612 OMT196612:OMU196612 OWP196612:OWQ196612 PGL196612:PGM196612 PQH196612:PQI196612 QAD196612:QAE196612 QJZ196612:QKA196612 QTV196612:QTW196612 RDR196612:RDS196612 RNN196612:RNO196612 RXJ196612:RXK196612 SHF196612:SHG196612 SRB196612:SRC196612 TAX196612:TAY196612 TKT196612:TKU196612 TUP196612:TUQ196612 UEL196612:UEM196612 UOH196612:UOI196612 UYD196612:UYE196612 VHZ196612:VIA196612 VRV196612:VRW196612 WBR196612:WBS196612 WLN196612:WLO196612 WVJ196612:WVK196612 B262148:C262148 IX262148:IY262148 ST262148:SU262148 ACP262148:ACQ262148 AML262148:AMM262148 AWH262148:AWI262148 BGD262148:BGE262148 BPZ262148:BQA262148 BZV262148:BZW262148 CJR262148:CJS262148 CTN262148:CTO262148 DDJ262148:DDK262148 DNF262148:DNG262148 DXB262148:DXC262148 EGX262148:EGY262148 EQT262148:EQU262148 FAP262148:FAQ262148 FKL262148:FKM262148 FUH262148:FUI262148 GED262148:GEE262148 GNZ262148:GOA262148 GXV262148:GXW262148 HHR262148:HHS262148 HRN262148:HRO262148 IBJ262148:IBK262148 ILF262148:ILG262148 IVB262148:IVC262148 JEX262148:JEY262148 JOT262148:JOU262148 JYP262148:JYQ262148 KIL262148:KIM262148 KSH262148:KSI262148 LCD262148:LCE262148 LLZ262148:LMA262148 LVV262148:LVW262148 MFR262148:MFS262148 MPN262148:MPO262148 MZJ262148:MZK262148 NJF262148:NJG262148 NTB262148:NTC262148 OCX262148:OCY262148 OMT262148:OMU262148 OWP262148:OWQ262148 PGL262148:PGM262148 PQH262148:PQI262148 QAD262148:QAE262148 QJZ262148:QKA262148 QTV262148:QTW262148 RDR262148:RDS262148 RNN262148:RNO262148 RXJ262148:RXK262148 SHF262148:SHG262148 SRB262148:SRC262148 TAX262148:TAY262148 TKT262148:TKU262148 TUP262148:TUQ262148 UEL262148:UEM262148 UOH262148:UOI262148 UYD262148:UYE262148 VHZ262148:VIA262148 VRV262148:VRW262148 WBR262148:WBS262148 WLN262148:WLO262148 WVJ262148:WVK262148 B327684:C327684 IX327684:IY327684 ST327684:SU327684 ACP327684:ACQ327684 AML327684:AMM327684 AWH327684:AWI327684 BGD327684:BGE327684 BPZ327684:BQA327684 BZV327684:BZW327684 CJR327684:CJS327684 CTN327684:CTO327684 DDJ327684:DDK327684 DNF327684:DNG327684 DXB327684:DXC327684 EGX327684:EGY327684 EQT327684:EQU327684 FAP327684:FAQ327684 FKL327684:FKM327684 FUH327684:FUI327684 GED327684:GEE327684 GNZ327684:GOA327684 GXV327684:GXW327684 HHR327684:HHS327684 HRN327684:HRO327684 IBJ327684:IBK327684 ILF327684:ILG327684 IVB327684:IVC327684 JEX327684:JEY327684 JOT327684:JOU327684 JYP327684:JYQ327684 KIL327684:KIM327684 KSH327684:KSI327684 LCD327684:LCE327684 LLZ327684:LMA327684 LVV327684:LVW327684 MFR327684:MFS327684 MPN327684:MPO327684 MZJ327684:MZK327684 NJF327684:NJG327684 NTB327684:NTC327684 OCX327684:OCY327684 OMT327684:OMU327684 OWP327684:OWQ327684 PGL327684:PGM327684 PQH327684:PQI327684 QAD327684:QAE327684 QJZ327684:QKA327684 QTV327684:QTW327684 RDR327684:RDS327684 RNN327684:RNO327684 RXJ327684:RXK327684 SHF327684:SHG327684 SRB327684:SRC327684 TAX327684:TAY327684 TKT327684:TKU327684 TUP327684:TUQ327684 UEL327684:UEM327684 UOH327684:UOI327684 UYD327684:UYE327684 VHZ327684:VIA327684 VRV327684:VRW327684 WBR327684:WBS327684 WLN327684:WLO327684 WVJ327684:WVK327684 B393220:C393220 IX393220:IY393220 ST393220:SU393220 ACP393220:ACQ393220 AML393220:AMM393220 AWH393220:AWI393220 BGD393220:BGE393220 BPZ393220:BQA393220 BZV393220:BZW393220 CJR393220:CJS393220 CTN393220:CTO393220 DDJ393220:DDK393220 DNF393220:DNG393220 DXB393220:DXC393220 EGX393220:EGY393220 EQT393220:EQU393220 FAP393220:FAQ393220 FKL393220:FKM393220 FUH393220:FUI393220 GED393220:GEE393220 GNZ393220:GOA393220 GXV393220:GXW393220 HHR393220:HHS393220 HRN393220:HRO393220 IBJ393220:IBK393220 ILF393220:ILG393220 IVB393220:IVC393220 JEX393220:JEY393220 JOT393220:JOU393220 JYP393220:JYQ393220 KIL393220:KIM393220 KSH393220:KSI393220 LCD393220:LCE393220 LLZ393220:LMA393220 LVV393220:LVW393220 MFR393220:MFS393220 MPN393220:MPO393220 MZJ393220:MZK393220 NJF393220:NJG393220 NTB393220:NTC393220 OCX393220:OCY393220 OMT393220:OMU393220 OWP393220:OWQ393220 PGL393220:PGM393220 PQH393220:PQI393220 QAD393220:QAE393220 QJZ393220:QKA393220 QTV393220:QTW393220 RDR393220:RDS393220 RNN393220:RNO393220 RXJ393220:RXK393220 SHF393220:SHG393220 SRB393220:SRC393220 TAX393220:TAY393220 TKT393220:TKU393220 TUP393220:TUQ393220 UEL393220:UEM393220 UOH393220:UOI393220 UYD393220:UYE393220 VHZ393220:VIA393220 VRV393220:VRW393220 WBR393220:WBS393220 WLN393220:WLO393220 WVJ393220:WVK393220 B458756:C458756 IX458756:IY458756 ST458756:SU458756 ACP458756:ACQ458756 AML458756:AMM458756 AWH458756:AWI458756 BGD458756:BGE458756 BPZ458756:BQA458756 BZV458756:BZW458756 CJR458756:CJS458756 CTN458756:CTO458756 DDJ458756:DDK458756 DNF458756:DNG458756 DXB458756:DXC458756 EGX458756:EGY458756 EQT458756:EQU458756 FAP458756:FAQ458756 FKL458756:FKM458756 FUH458756:FUI458756 GED458756:GEE458756 GNZ458756:GOA458756 GXV458756:GXW458756 HHR458756:HHS458756 HRN458756:HRO458756 IBJ458756:IBK458756 ILF458756:ILG458756 IVB458756:IVC458756 JEX458756:JEY458756 JOT458756:JOU458756 JYP458756:JYQ458756 KIL458756:KIM458756 KSH458756:KSI458756 LCD458756:LCE458756 LLZ458756:LMA458756 LVV458756:LVW458756 MFR458756:MFS458756 MPN458756:MPO458756 MZJ458756:MZK458756 NJF458756:NJG458756 NTB458756:NTC458756 OCX458756:OCY458756 OMT458756:OMU458756 OWP458756:OWQ458756 PGL458756:PGM458756 PQH458756:PQI458756 QAD458756:QAE458756 QJZ458756:QKA458756 QTV458756:QTW458756 RDR458756:RDS458756 RNN458756:RNO458756 RXJ458756:RXK458756 SHF458756:SHG458756 SRB458756:SRC458756 TAX458756:TAY458756 TKT458756:TKU458756 TUP458756:TUQ458756 UEL458756:UEM458756 UOH458756:UOI458756 UYD458756:UYE458756 VHZ458756:VIA458756 VRV458756:VRW458756 WBR458756:WBS458756 WLN458756:WLO458756 WVJ458756:WVK458756 B524292:C524292 IX524292:IY524292 ST524292:SU524292 ACP524292:ACQ524292 AML524292:AMM524292 AWH524292:AWI524292 BGD524292:BGE524292 BPZ524292:BQA524292 BZV524292:BZW524292 CJR524292:CJS524292 CTN524292:CTO524292 DDJ524292:DDK524292 DNF524292:DNG524292 DXB524292:DXC524292 EGX524292:EGY524292 EQT524292:EQU524292 FAP524292:FAQ524292 FKL524292:FKM524292 FUH524292:FUI524292 GED524292:GEE524292 GNZ524292:GOA524292 GXV524292:GXW524292 HHR524292:HHS524292 HRN524292:HRO524292 IBJ524292:IBK524292 ILF524292:ILG524292 IVB524292:IVC524292 JEX524292:JEY524292 JOT524292:JOU524292 JYP524292:JYQ524292 KIL524292:KIM524292 KSH524292:KSI524292 LCD524292:LCE524292 LLZ524292:LMA524292 LVV524292:LVW524292 MFR524292:MFS524292 MPN524292:MPO524292 MZJ524292:MZK524292 NJF524292:NJG524292 NTB524292:NTC524292 OCX524292:OCY524292 OMT524292:OMU524292 OWP524292:OWQ524292 PGL524292:PGM524292 PQH524292:PQI524292 QAD524292:QAE524292 QJZ524292:QKA524292 QTV524292:QTW524292 RDR524292:RDS524292 RNN524292:RNO524292 RXJ524292:RXK524292 SHF524292:SHG524292 SRB524292:SRC524292 TAX524292:TAY524292 TKT524292:TKU524292 TUP524292:TUQ524292 UEL524292:UEM524292 UOH524292:UOI524292 UYD524292:UYE524292 VHZ524292:VIA524292 VRV524292:VRW524292 WBR524292:WBS524292 WLN524292:WLO524292 WVJ524292:WVK524292 B589828:C589828 IX589828:IY589828 ST589828:SU589828 ACP589828:ACQ589828 AML589828:AMM589828 AWH589828:AWI589828 BGD589828:BGE589828 BPZ589828:BQA589828 BZV589828:BZW589828 CJR589828:CJS589828 CTN589828:CTO589828 DDJ589828:DDK589828 DNF589828:DNG589828 DXB589828:DXC589828 EGX589828:EGY589828 EQT589828:EQU589828 FAP589828:FAQ589828 FKL589828:FKM589828 FUH589828:FUI589828 GED589828:GEE589828 GNZ589828:GOA589828 GXV589828:GXW589828 HHR589828:HHS589828 HRN589828:HRO589828 IBJ589828:IBK589828 ILF589828:ILG589828 IVB589828:IVC589828 JEX589828:JEY589828 JOT589828:JOU589828 JYP589828:JYQ589828 KIL589828:KIM589828 KSH589828:KSI589828 LCD589828:LCE589828 LLZ589828:LMA589828 LVV589828:LVW589828 MFR589828:MFS589828 MPN589828:MPO589828 MZJ589828:MZK589828 NJF589828:NJG589828 NTB589828:NTC589828 OCX589828:OCY589828 OMT589828:OMU589828 OWP589828:OWQ589828 PGL589828:PGM589828 PQH589828:PQI589828 QAD589828:QAE589828 QJZ589828:QKA589828 QTV589828:QTW589828 RDR589828:RDS589828 RNN589828:RNO589828 RXJ589828:RXK589828 SHF589828:SHG589828 SRB589828:SRC589828 TAX589828:TAY589828 TKT589828:TKU589828 TUP589828:TUQ589828 UEL589828:UEM589828 UOH589828:UOI589828 UYD589828:UYE589828 VHZ589828:VIA589828 VRV589828:VRW589828 WBR589828:WBS589828 WLN589828:WLO589828 WVJ589828:WVK589828 B655364:C655364 IX655364:IY655364 ST655364:SU655364 ACP655364:ACQ655364 AML655364:AMM655364 AWH655364:AWI655364 BGD655364:BGE655364 BPZ655364:BQA655364 BZV655364:BZW655364 CJR655364:CJS655364 CTN655364:CTO655364 DDJ655364:DDK655364 DNF655364:DNG655364 DXB655364:DXC655364 EGX655364:EGY655364 EQT655364:EQU655364 FAP655364:FAQ655364 FKL655364:FKM655364 FUH655364:FUI655364 GED655364:GEE655364 GNZ655364:GOA655364 GXV655364:GXW655364 HHR655364:HHS655364 HRN655364:HRO655364 IBJ655364:IBK655364 ILF655364:ILG655364 IVB655364:IVC655364 JEX655364:JEY655364 JOT655364:JOU655364 JYP655364:JYQ655364 KIL655364:KIM655364 KSH655364:KSI655364 LCD655364:LCE655364 LLZ655364:LMA655364 LVV655364:LVW655364 MFR655364:MFS655364 MPN655364:MPO655364 MZJ655364:MZK655364 NJF655364:NJG655364 NTB655364:NTC655364 OCX655364:OCY655364 OMT655364:OMU655364 OWP655364:OWQ655364 PGL655364:PGM655364 PQH655364:PQI655364 QAD655364:QAE655364 QJZ655364:QKA655364 QTV655364:QTW655364 RDR655364:RDS655364 RNN655364:RNO655364 RXJ655364:RXK655364 SHF655364:SHG655364 SRB655364:SRC655364 TAX655364:TAY655364 TKT655364:TKU655364 TUP655364:TUQ655364 UEL655364:UEM655364 UOH655364:UOI655364 UYD655364:UYE655364 VHZ655364:VIA655364 VRV655364:VRW655364 WBR655364:WBS655364 WLN655364:WLO655364 WVJ655364:WVK655364 B720900:C720900 IX720900:IY720900 ST720900:SU720900 ACP720900:ACQ720900 AML720900:AMM720900 AWH720900:AWI720900 BGD720900:BGE720900 BPZ720900:BQA720900 BZV720900:BZW720900 CJR720900:CJS720900 CTN720900:CTO720900 DDJ720900:DDK720900 DNF720900:DNG720900 DXB720900:DXC720900 EGX720900:EGY720900 EQT720900:EQU720900 FAP720900:FAQ720900 FKL720900:FKM720900 FUH720900:FUI720900 GED720900:GEE720900 GNZ720900:GOA720900 GXV720900:GXW720900 HHR720900:HHS720900 HRN720900:HRO720900 IBJ720900:IBK720900 ILF720900:ILG720900 IVB720900:IVC720900 JEX720900:JEY720900 JOT720900:JOU720900 JYP720900:JYQ720900 KIL720900:KIM720900 KSH720900:KSI720900 LCD720900:LCE720900 LLZ720900:LMA720900 LVV720900:LVW720900 MFR720900:MFS720900 MPN720900:MPO720900 MZJ720900:MZK720900 NJF720900:NJG720900 NTB720900:NTC720900 OCX720900:OCY720900 OMT720900:OMU720900 OWP720900:OWQ720900 PGL720900:PGM720900 PQH720900:PQI720900 QAD720900:QAE720900 QJZ720900:QKA720900 QTV720900:QTW720900 RDR720900:RDS720900 RNN720900:RNO720900 RXJ720900:RXK720900 SHF720900:SHG720900 SRB720900:SRC720900 TAX720900:TAY720900 TKT720900:TKU720900 TUP720900:TUQ720900 UEL720900:UEM720900 UOH720900:UOI720900 UYD720900:UYE720900 VHZ720900:VIA720900 VRV720900:VRW720900 WBR720900:WBS720900 WLN720900:WLO720900 WVJ720900:WVK720900 B786436:C786436 IX786436:IY786436 ST786436:SU786436 ACP786436:ACQ786436 AML786436:AMM786436 AWH786436:AWI786436 BGD786436:BGE786436 BPZ786436:BQA786436 BZV786436:BZW786436 CJR786436:CJS786436 CTN786436:CTO786436 DDJ786436:DDK786436 DNF786436:DNG786436 DXB786436:DXC786436 EGX786436:EGY786436 EQT786436:EQU786436 FAP786436:FAQ786436 FKL786436:FKM786436 FUH786436:FUI786436 GED786436:GEE786436 GNZ786436:GOA786436 GXV786436:GXW786436 HHR786436:HHS786436 HRN786436:HRO786436 IBJ786436:IBK786436 ILF786436:ILG786436 IVB786436:IVC786436 JEX786436:JEY786436 JOT786436:JOU786436 JYP786436:JYQ786436 KIL786436:KIM786436 KSH786436:KSI786436 LCD786436:LCE786436 LLZ786436:LMA786436 LVV786436:LVW786436 MFR786436:MFS786436 MPN786436:MPO786436 MZJ786436:MZK786436 NJF786436:NJG786436 NTB786436:NTC786436 OCX786436:OCY786436 OMT786436:OMU786436 OWP786436:OWQ786436 PGL786436:PGM786436 PQH786436:PQI786436 QAD786436:QAE786436 QJZ786436:QKA786436 QTV786436:QTW786436 RDR786436:RDS786436 RNN786436:RNO786436 RXJ786436:RXK786436 SHF786436:SHG786436 SRB786436:SRC786436 TAX786436:TAY786436 TKT786436:TKU786436 TUP786436:TUQ786436 UEL786436:UEM786436 UOH786436:UOI786436 UYD786436:UYE786436 VHZ786436:VIA786436 VRV786436:VRW786436 WBR786436:WBS786436 WLN786436:WLO786436 WVJ786436:WVK786436 B851972:C851972 IX851972:IY851972 ST851972:SU851972 ACP851972:ACQ851972 AML851972:AMM851972 AWH851972:AWI851972 BGD851972:BGE851972 BPZ851972:BQA851972 BZV851972:BZW851972 CJR851972:CJS851972 CTN851972:CTO851972 DDJ851972:DDK851972 DNF851972:DNG851972 DXB851972:DXC851972 EGX851972:EGY851972 EQT851972:EQU851972 FAP851972:FAQ851972 FKL851972:FKM851972 FUH851972:FUI851972 GED851972:GEE851972 GNZ851972:GOA851972 GXV851972:GXW851972 HHR851972:HHS851972 HRN851972:HRO851972 IBJ851972:IBK851972 ILF851972:ILG851972 IVB851972:IVC851972 JEX851972:JEY851972 JOT851972:JOU851972 JYP851972:JYQ851972 KIL851972:KIM851972 KSH851972:KSI851972 LCD851972:LCE851972 LLZ851972:LMA851972 LVV851972:LVW851972 MFR851972:MFS851972 MPN851972:MPO851972 MZJ851972:MZK851972 NJF851972:NJG851972 NTB851972:NTC851972 OCX851972:OCY851972 OMT851972:OMU851972 OWP851972:OWQ851972 PGL851972:PGM851972 PQH851972:PQI851972 QAD851972:QAE851972 QJZ851972:QKA851972 QTV851972:QTW851972 RDR851972:RDS851972 RNN851972:RNO851972 RXJ851972:RXK851972 SHF851972:SHG851972 SRB851972:SRC851972 TAX851972:TAY851972 TKT851972:TKU851972 TUP851972:TUQ851972 UEL851972:UEM851972 UOH851972:UOI851972 UYD851972:UYE851972 VHZ851972:VIA851972 VRV851972:VRW851972 WBR851972:WBS851972 WLN851972:WLO851972 WVJ851972:WVK851972 B917508:C917508 IX917508:IY917508 ST917508:SU917508 ACP917508:ACQ917508 AML917508:AMM917508 AWH917508:AWI917508 BGD917508:BGE917508 BPZ917508:BQA917508 BZV917508:BZW917508 CJR917508:CJS917508 CTN917508:CTO917508 DDJ917508:DDK917508 DNF917508:DNG917508 DXB917508:DXC917508 EGX917508:EGY917508 EQT917508:EQU917508 FAP917508:FAQ917508 FKL917508:FKM917508 FUH917508:FUI917508 GED917508:GEE917508 GNZ917508:GOA917508 GXV917508:GXW917508 HHR917508:HHS917508 HRN917508:HRO917508 IBJ917508:IBK917508 ILF917508:ILG917508 IVB917508:IVC917508 JEX917508:JEY917508 JOT917508:JOU917508 JYP917508:JYQ917508 KIL917508:KIM917508 KSH917508:KSI917508 LCD917508:LCE917508 LLZ917508:LMA917508 LVV917508:LVW917508 MFR917508:MFS917508 MPN917508:MPO917508 MZJ917508:MZK917508 NJF917508:NJG917508 NTB917508:NTC917508 OCX917508:OCY917508 OMT917508:OMU917508 OWP917508:OWQ917508 PGL917508:PGM917508 PQH917508:PQI917508 QAD917508:QAE917508 QJZ917508:QKA917508 QTV917508:QTW917508 RDR917508:RDS917508 RNN917508:RNO917508 RXJ917508:RXK917508 SHF917508:SHG917508 SRB917508:SRC917508 TAX917508:TAY917508 TKT917508:TKU917508 TUP917508:TUQ917508 UEL917508:UEM917508 UOH917508:UOI917508 UYD917508:UYE917508 VHZ917508:VIA917508 VRV917508:VRW917508 WBR917508:WBS917508 WLN917508:WLO917508 WVJ917508:WVK917508 B983044:C983044 IX983044:IY983044 ST983044:SU983044 ACP983044:ACQ983044 AML983044:AMM983044 AWH983044:AWI983044 BGD983044:BGE983044 BPZ983044:BQA983044 BZV983044:BZW983044 CJR983044:CJS983044 CTN983044:CTO983044 DDJ983044:DDK983044 DNF983044:DNG983044 DXB983044:DXC983044 EGX983044:EGY983044 EQT983044:EQU983044 FAP983044:FAQ983044 FKL983044:FKM983044 FUH983044:FUI983044 GED983044:GEE983044 GNZ983044:GOA983044 GXV983044:GXW983044 HHR983044:HHS983044 HRN983044:HRO983044 IBJ983044:IBK983044 ILF983044:ILG983044 IVB983044:IVC983044 JEX983044:JEY983044 JOT983044:JOU983044 JYP983044:JYQ983044 KIL983044:KIM983044 KSH983044:KSI983044 LCD983044:LCE983044 LLZ983044:LMA983044 LVV983044:LVW983044 MFR983044:MFS983044 MPN983044:MPO983044 MZJ983044:MZK983044 NJF983044:NJG983044 NTB983044:NTC983044 OCX983044:OCY983044 OMT983044:OMU983044 OWP983044:OWQ983044 PGL983044:PGM983044 PQH983044:PQI983044 QAD983044:QAE983044 QJZ983044:QKA983044 QTV983044:QTW983044 RDR983044:RDS983044 RNN983044:RNO983044 RXJ983044:RXK983044 SHF983044:SHG983044 SRB983044:SRC983044 TAX983044:TAY983044 TKT983044:TKU983044 TUP983044:TUQ983044 UEL983044:UEM983044 UOH983044:UOI983044 UYD983044:UYE983044 VHZ983044:VIA983044 VRV983044:VRW983044 WBR983044:WBS983044 WLN983044:WLO983044">
      <formula1>$H$1:$H$18</formula1>
    </dataValidation>
    <dataValidation type="list" allowBlank="1" showInputMessage="1" showErrorMessage="1" sqref="E14:E15 E19:E31 E36:E44">
      <formula1>"選択してください,はい,いいえ"</formula1>
    </dataValidation>
  </dataValidations>
  <printOptions horizontalCentered="1"/>
  <pageMargins left="0.59055118110236227" right="0.59055118110236227" top="0.78740157480314965" bottom="0.78740157480314965" header="0.39370078740157483" footer="0.39370078740157483"/>
  <pageSetup paperSize="9" scale="76"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00FF"/>
  </sheetPr>
  <dimension ref="B1:G144"/>
  <sheetViews>
    <sheetView showGridLines="0" zoomScale="85" zoomScaleNormal="85" workbookViewId="0">
      <pane ySplit="6" topLeftCell="A7" activePane="bottomLeft" state="frozen"/>
      <selection pane="bottomLeft"/>
    </sheetView>
  </sheetViews>
  <sheetFormatPr defaultColWidth="9" defaultRowHeight="15"/>
  <cols>
    <col min="1" max="1" width="3.7265625" style="1120" customWidth="1"/>
    <col min="2" max="2" width="14.6328125" style="1120" customWidth="1"/>
    <col min="3" max="3" width="30.6328125" style="1120" customWidth="1"/>
    <col min="4" max="4" width="5.453125" style="1120" hidden="1" customWidth="1"/>
    <col min="5" max="7" width="8.6328125" style="1120" hidden="1" customWidth="1"/>
    <col min="8" max="16384" width="9" style="1120"/>
  </cols>
  <sheetData>
    <row r="1" spans="2:7">
      <c r="D1" s="1121" t="s">
        <v>1073</v>
      </c>
      <c r="E1" s="1121" t="s">
        <v>1073</v>
      </c>
      <c r="F1" s="1121" t="s">
        <v>1073</v>
      </c>
      <c r="G1" s="1121" t="s">
        <v>1073</v>
      </c>
    </row>
    <row r="2" spans="2:7" ht="26.5">
      <c r="B2" s="1122" t="s">
        <v>4884</v>
      </c>
    </row>
    <row r="4" spans="2:7">
      <c r="B4" s="527" t="s">
        <v>1885</v>
      </c>
      <c r="C4" s="1161" t="str">
        <f ca="1">IF(G5=0,"該当する業種を一覧の中からご選択ください。",OFFSET(C6,G5,0))</f>
        <v>該当する業種を一覧の中からご選択ください。</v>
      </c>
      <c r="G4" s="1333">
        <f ca="1">IF(G5=0,0,OFFSET(G6,G5,0))</f>
        <v>0</v>
      </c>
    </row>
    <row r="5" spans="2:7">
      <c r="G5" s="1190">
        <v>0</v>
      </c>
    </row>
    <row r="6" spans="2:7" ht="30">
      <c r="B6" s="1124" t="s">
        <v>1884</v>
      </c>
      <c r="C6" s="1125" t="s">
        <v>4151</v>
      </c>
      <c r="D6" s="1126" t="s">
        <v>4152</v>
      </c>
      <c r="G6" s="1120" t="s">
        <v>4153</v>
      </c>
    </row>
    <row r="7" spans="2:7" ht="16.5" customHeight="1">
      <c r="B7" s="1127"/>
      <c r="C7" s="1127" t="s">
        <v>4885</v>
      </c>
      <c r="D7" s="1128"/>
      <c r="G7" s="1186" t="s">
        <v>4924</v>
      </c>
    </row>
    <row r="8" spans="2:7" ht="16.5" customHeight="1">
      <c r="B8" s="1127"/>
      <c r="C8" s="1127" t="s">
        <v>4886</v>
      </c>
      <c r="D8" s="1128"/>
      <c r="G8" s="1186">
        <v>1131</v>
      </c>
    </row>
    <row r="9" spans="2:7" ht="16.5" customHeight="1">
      <c r="B9" s="1127"/>
      <c r="C9" s="1127" t="s">
        <v>4887</v>
      </c>
      <c r="D9" s="1128"/>
      <c r="G9" s="1186">
        <v>1931</v>
      </c>
    </row>
    <row r="10" spans="2:7" ht="16.5" customHeight="1">
      <c r="B10" s="1127"/>
      <c r="C10" s="1127" t="s">
        <v>4888</v>
      </c>
      <c r="D10" s="1128"/>
      <c r="G10" s="1186">
        <v>4101</v>
      </c>
    </row>
    <row r="11" spans="2:7" ht="16.5" customHeight="1">
      <c r="B11" s="1127"/>
      <c r="C11" s="1127" t="s">
        <v>4889</v>
      </c>
      <c r="D11" s="1128"/>
      <c r="G11" s="1186">
        <v>4102</v>
      </c>
    </row>
    <row r="12" spans="2:7" ht="16.5" customHeight="1">
      <c r="B12" s="1127"/>
      <c r="C12" s="1127" t="s">
        <v>4890</v>
      </c>
      <c r="D12" s="1128"/>
      <c r="G12" s="1186">
        <v>4111</v>
      </c>
    </row>
    <row r="13" spans="2:7" ht="16.5" customHeight="1">
      <c r="B13" s="1127"/>
      <c r="C13" s="1127" t="s">
        <v>4891</v>
      </c>
      <c r="D13" s="1128"/>
      <c r="G13" s="1186">
        <v>4201</v>
      </c>
    </row>
    <row r="14" spans="2:7" ht="16.5" customHeight="1">
      <c r="B14" s="1127"/>
      <c r="C14" s="1127" t="s">
        <v>4892</v>
      </c>
      <c r="D14" s="1128"/>
      <c r="G14" s="1186">
        <v>4202</v>
      </c>
    </row>
    <row r="15" spans="2:7" ht="16.5" customHeight="1">
      <c r="B15" s="1127"/>
      <c r="C15" s="1127" t="s">
        <v>4893</v>
      </c>
      <c r="D15" s="1128"/>
      <c r="G15" s="1186">
        <v>4211</v>
      </c>
    </row>
    <row r="16" spans="2:7" ht="16.5" customHeight="1">
      <c r="B16" s="1127"/>
      <c r="C16" s="1127" t="s">
        <v>4894</v>
      </c>
      <c r="D16" s="1128"/>
      <c r="G16" s="1186">
        <v>4311</v>
      </c>
    </row>
    <row r="17" spans="2:7" ht="16.5" customHeight="1">
      <c r="B17" s="1127"/>
      <c r="C17" s="1127" t="s">
        <v>4895</v>
      </c>
      <c r="D17" s="1128"/>
      <c r="G17" s="1186">
        <v>4411</v>
      </c>
    </row>
    <row r="18" spans="2:7" ht="16.5" customHeight="1">
      <c r="B18" s="1127"/>
      <c r="C18" s="1127" t="s">
        <v>1733</v>
      </c>
      <c r="D18" s="1128"/>
      <c r="G18" s="1186">
        <v>4601</v>
      </c>
    </row>
    <row r="19" spans="2:7" ht="16.5" customHeight="1">
      <c r="B19" s="1127"/>
      <c r="C19" s="1127" t="s">
        <v>4896</v>
      </c>
      <c r="D19" s="1128"/>
      <c r="G19" s="1186">
        <v>4641</v>
      </c>
    </row>
    <row r="20" spans="2:7" ht="16.5" customHeight="1">
      <c r="B20" s="1127"/>
      <c r="C20" s="1127" t="s">
        <v>4897</v>
      </c>
      <c r="D20" s="1128"/>
      <c r="G20" s="1186">
        <v>4691</v>
      </c>
    </row>
    <row r="21" spans="2:7" ht="16.5" customHeight="1">
      <c r="B21" s="1127"/>
      <c r="C21" s="1127" t="s">
        <v>4898</v>
      </c>
      <c r="D21" s="1128"/>
      <c r="G21" s="1186">
        <v>4701</v>
      </c>
    </row>
    <row r="22" spans="2:7" ht="16.5" customHeight="1">
      <c r="B22" s="1127"/>
      <c r="C22" s="1127" t="s">
        <v>5014</v>
      </c>
      <c r="D22" s="1128"/>
      <c r="G22" s="1186">
        <v>4702</v>
      </c>
    </row>
    <row r="23" spans="2:7" ht="16.5" customHeight="1">
      <c r="B23" s="1127"/>
      <c r="C23" s="1127" t="s">
        <v>4899</v>
      </c>
      <c r="D23" s="1128"/>
      <c r="G23" s="1186">
        <v>4711</v>
      </c>
    </row>
    <row r="24" spans="2:7" ht="16.5" customHeight="1">
      <c r="B24" s="1127"/>
      <c r="C24" s="1127" t="s">
        <v>4900</v>
      </c>
      <c r="D24" s="1128"/>
      <c r="G24" s="1186">
        <v>5301</v>
      </c>
    </row>
    <row r="25" spans="2:7" ht="16.5" customHeight="1">
      <c r="B25" s="1127"/>
      <c r="C25" s="1127" t="s">
        <v>4158</v>
      </c>
      <c r="D25" s="1128"/>
      <c r="G25" s="1186">
        <v>5302</v>
      </c>
    </row>
    <row r="26" spans="2:7" ht="16.5" customHeight="1">
      <c r="B26" s="1127"/>
      <c r="C26" s="1127" t="s">
        <v>4901</v>
      </c>
      <c r="D26" s="1128"/>
      <c r="G26" s="1186">
        <v>5303</v>
      </c>
    </row>
    <row r="27" spans="2:7" ht="16.5" customHeight="1">
      <c r="B27" s="1127"/>
      <c r="C27" s="1127" t="s">
        <v>4902</v>
      </c>
      <c r="D27" s="1128"/>
      <c r="G27" s="1186">
        <v>5304</v>
      </c>
    </row>
    <row r="28" spans="2:7" ht="16.5" customHeight="1">
      <c r="B28" s="1127"/>
      <c r="C28" s="1127" t="s">
        <v>4903</v>
      </c>
      <c r="D28" s="1128"/>
      <c r="G28" s="1186">
        <v>5305</v>
      </c>
    </row>
    <row r="29" spans="2:7" ht="16.5" customHeight="1">
      <c r="B29" s="1127"/>
      <c r="C29" s="1127" t="s">
        <v>4904</v>
      </c>
      <c r="D29" s="1128"/>
      <c r="G29" s="1186">
        <v>5306</v>
      </c>
    </row>
    <row r="30" spans="2:7" ht="16.5" customHeight="1">
      <c r="B30" s="1127"/>
      <c r="C30" s="1127" t="s">
        <v>4905</v>
      </c>
      <c r="D30" s="1128"/>
      <c r="G30" s="1186">
        <v>5307</v>
      </c>
    </row>
    <row r="31" spans="2:7" ht="16.5" customHeight="1">
      <c r="B31" s="1127"/>
      <c r="C31" s="1127" t="s">
        <v>2275</v>
      </c>
      <c r="D31" s="1128"/>
      <c r="G31" s="1186">
        <v>5308</v>
      </c>
    </row>
    <row r="32" spans="2:7" ht="16.5" customHeight="1">
      <c r="B32" s="1127"/>
      <c r="C32" s="1127" t="s">
        <v>4906</v>
      </c>
      <c r="D32" s="1128"/>
      <c r="G32" s="1186">
        <v>5309</v>
      </c>
    </row>
    <row r="33" spans="2:7" ht="16.5" customHeight="1">
      <c r="B33" s="1127"/>
      <c r="C33" s="1127" t="s">
        <v>5013</v>
      </c>
      <c r="D33" s="1128"/>
      <c r="G33" s="1186">
        <v>5311</v>
      </c>
    </row>
    <row r="34" spans="2:7" ht="16.5" customHeight="1">
      <c r="B34" s="1127"/>
      <c r="C34" s="1127" t="s">
        <v>4907</v>
      </c>
      <c r="D34" s="1128"/>
      <c r="G34" s="1186">
        <v>5312</v>
      </c>
    </row>
    <row r="35" spans="2:7" ht="16.5" customHeight="1">
      <c r="B35" s="1127"/>
      <c r="C35" s="1127" t="s">
        <v>4908</v>
      </c>
      <c r="D35" s="1128"/>
      <c r="G35" s="1186">
        <v>5313</v>
      </c>
    </row>
    <row r="36" spans="2:7" ht="16.5" customHeight="1">
      <c r="B36" s="1127"/>
      <c r="C36" s="1127" t="s">
        <v>5011</v>
      </c>
      <c r="D36" s="1128"/>
      <c r="G36" s="1186">
        <v>5315</v>
      </c>
    </row>
    <row r="37" spans="2:7" ht="16.5" customHeight="1">
      <c r="B37" s="1127"/>
      <c r="C37" s="1127" t="s">
        <v>5012</v>
      </c>
      <c r="D37" s="1128"/>
      <c r="G37" s="1186">
        <v>5319</v>
      </c>
    </row>
    <row r="38" spans="2:7" ht="16.5" customHeight="1">
      <c r="B38" s="1127"/>
      <c r="C38" s="1127" t="s">
        <v>4909</v>
      </c>
      <c r="D38" s="1128"/>
      <c r="G38" s="1186">
        <v>5401</v>
      </c>
    </row>
    <row r="39" spans="2:7" ht="16.5" customHeight="1">
      <c r="B39" s="1127"/>
      <c r="C39" s="1127" t="s">
        <v>4910</v>
      </c>
      <c r="D39" s="1128"/>
      <c r="G39" s="1186">
        <v>5402</v>
      </c>
    </row>
    <row r="40" spans="2:7" ht="16.5" customHeight="1">
      <c r="B40" s="1127"/>
      <c r="C40" s="1127" t="s">
        <v>4911</v>
      </c>
      <c r="D40" s="1128"/>
      <c r="G40" s="1186">
        <v>5403</v>
      </c>
    </row>
    <row r="41" spans="2:7" ht="16.5" customHeight="1">
      <c r="B41" s="1127"/>
      <c r="C41" s="1127" t="s">
        <v>4912</v>
      </c>
      <c r="D41" s="1128"/>
      <c r="G41" s="1186">
        <v>5404</v>
      </c>
    </row>
    <row r="42" spans="2:7" ht="16.5" customHeight="1">
      <c r="B42" s="1127"/>
      <c r="C42" s="1127" t="s">
        <v>4913</v>
      </c>
      <c r="D42" s="1128"/>
      <c r="G42" s="1186">
        <v>5405</v>
      </c>
    </row>
    <row r="43" spans="2:7" ht="16.5" customHeight="1">
      <c r="B43" s="1127"/>
      <c r="C43" s="1127" t="s">
        <v>4914</v>
      </c>
      <c r="D43" s="1128"/>
      <c r="G43" s="1186">
        <v>5411</v>
      </c>
    </row>
    <row r="44" spans="2:7" ht="16.5" customHeight="1">
      <c r="B44" s="1127"/>
      <c r="C44" s="1127" t="s">
        <v>4915</v>
      </c>
      <c r="D44" s="1128"/>
      <c r="G44" s="1186">
        <v>5412</v>
      </c>
    </row>
    <row r="45" spans="2:7" ht="16.5" customHeight="1">
      <c r="B45" s="1127"/>
      <c r="C45" s="1127" t="s">
        <v>4916</v>
      </c>
      <c r="D45" s="1128"/>
      <c r="G45" s="1186">
        <v>5413</v>
      </c>
    </row>
    <row r="46" spans="2:7" ht="16.5" customHeight="1">
      <c r="B46" s="1127"/>
      <c r="C46" s="1127" t="s">
        <v>4917</v>
      </c>
      <c r="D46" s="1128"/>
      <c r="G46" s="1186">
        <v>5414</v>
      </c>
    </row>
    <row r="47" spans="2:7" ht="16.5" customHeight="1">
      <c r="B47" s="1127"/>
      <c r="C47" s="1127" t="s">
        <v>4918</v>
      </c>
      <c r="D47" s="1128"/>
      <c r="G47" s="1186">
        <v>5501</v>
      </c>
    </row>
    <row r="48" spans="2:7" ht="16.5" customHeight="1">
      <c r="B48" s="1127"/>
      <c r="C48" s="1127" t="s">
        <v>4919</v>
      </c>
      <c r="D48" s="1128"/>
      <c r="G48" s="1186">
        <v>5502</v>
      </c>
    </row>
    <row r="49" spans="2:7" ht="16.5" customHeight="1">
      <c r="B49" s="1127"/>
      <c r="C49" s="1127" t="s">
        <v>4920</v>
      </c>
      <c r="D49" s="1128"/>
      <c r="G49" s="1186">
        <v>5611</v>
      </c>
    </row>
    <row r="50" spans="2:7" ht="16.5" customHeight="1">
      <c r="B50" s="1127"/>
      <c r="C50" s="1127" t="s">
        <v>4921</v>
      </c>
      <c r="D50" s="1128"/>
      <c r="G50" s="1186">
        <v>5612</v>
      </c>
    </row>
    <row r="51" spans="2:7" ht="16.5" customHeight="1">
      <c r="B51" s="1127"/>
      <c r="C51" s="1127" t="s">
        <v>4922</v>
      </c>
      <c r="D51" s="1128"/>
      <c r="G51" s="1186">
        <v>5711</v>
      </c>
    </row>
    <row r="52" spans="2:7" ht="16.5" customHeight="1">
      <c r="B52" s="1127"/>
      <c r="C52" s="1127" t="s">
        <v>4923</v>
      </c>
      <c r="D52" s="1128"/>
      <c r="G52" s="1186">
        <v>5712</v>
      </c>
    </row>
    <row r="53" spans="2:7" ht="16.5" customHeight="1">
      <c r="B53" s="1127"/>
      <c r="C53" s="1127" t="s">
        <v>4925</v>
      </c>
      <c r="D53" s="1128"/>
      <c r="G53" s="1186">
        <v>5713</v>
      </c>
    </row>
    <row r="54" spans="2:7" ht="16.5" customHeight="1">
      <c r="B54" s="1127"/>
      <c r="C54" s="1127" t="s">
        <v>4926</v>
      </c>
      <c r="D54" s="1128"/>
      <c r="G54" s="1186">
        <v>5811</v>
      </c>
    </row>
    <row r="55" spans="2:7" ht="16.5" customHeight="1">
      <c r="B55" s="1127"/>
      <c r="C55" s="1127" t="s">
        <v>4927</v>
      </c>
      <c r="D55" s="1128"/>
      <c r="G55" s="1186">
        <v>5812</v>
      </c>
    </row>
    <row r="56" spans="2:7" ht="16.5" customHeight="1">
      <c r="B56" s="1127"/>
      <c r="C56" s="1127" t="s">
        <v>1675</v>
      </c>
      <c r="D56" s="1128"/>
      <c r="G56" s="1186">
        <v>5831</v>
      </c>
    </row>
    <row r="57" spans="2:7" ht="16.5" customHeight="1">
      <c r="B57" s="1127"/>
      <c r="C57" s="1127" t="s">
        <v>4928</v>
      </c>
      <c r="D57" s="1128"/>
      <c r="G57" s="1186">
        <v>5841</v>
      </c>
    </row>
    <row r="58" spans="2:7" ht="16.5" customHeight="1">
      <c r="B58" s="1127"/>
      <c r="C58" s="1127" t="s">
        <v>4929</v>
      </c>
      <c r="D58" s="1128"/>
      <c r="G58" s="1186">
        <v>5842</v>
      </c>
    </row>
    <row r="59" spans="2:7" ht="16.5" customHeight="1">
      <c r="B59" s="1127"/>
      <c r="C59" s="1127" t="s">
        <v>4930</v>
      </c>
      <c r="D59" s="1128"/>
      <c r="G59" s="1186">
        <v>5843</v>
      </c>
    </row>
    <row r="60" spans="2:7" ht="16.5" customHeight="1">
      <c r="B60" s="1127"/>
      <c r="C60" s="1127" t="s">
        <v>4931</v>
      </c>
      <c r="D60" s="1128"/>
      <c r="G60" s="1186">
        <v>5851</v>
      </c>
    </row>
    <row r="61" spans="2:7" ht="16.5" customHeight="1">
      <c r="B61" s="1127"/>
      <c r="C61" s="1127" t="s">
        <v>4932</v>
      </c>
      <c r="D61" s="1128"/>
      <c r="G61" s="1186">
        <v>5852</v>
      </c>
    </row>
    <row r="62" spans="2:7" ht="16.5" customHeight="1">
      <c r="B62" s="1127"/>
      <c r="C62" s="1127" t="s">
        <v>4933</v>
      </c>
      <c r="D62" s="1128"/>
      <c r="G62" s="1186">
        <v>5853</v>
      </c>
    </row>
    <row r="63" spans="2:7" ht="16.5" customHeight="1">
      <c r="B63" s="1127"/>
      <c r="C63" s="1127" t="s">
        <v>4934</v>
      </c>
      <c r="D63" s="1128"/>
      <c r="G63" s="1186">
        <v>5854</v>
      </c>
    </row>
    <row r="64" spans="2:7">
      <c r="B64" s="1127"/>
      <c r="C64" s="1127" t="s">
        <v>4935</v>
      </c>
      <c r="D64" s="1128"/>
      <c r="G64" s="1186">
        <v>5855</v>
      </c>
    </row>
    <row r="65" spans="2:7" ht="16.5" customHeight="1">
      <c r="B65" s="1127"/>
      <c r="C65" s="1127" t="s">
        <v>4936</v>
      </c>
      <c r="D65" s="1128"/>
      <c r="G65" s="1186">
        <v>5856</v>
      </c>
    </row>
    <row r="66" spans="2:7" ht="16.5" customHeight="1">
      <c r="B66" s="1127"/>
      <c r="C66" s="1127" t="s">
        <v>4652</v>
      </c>
      <c r="D66" s="1128"/>
      <c r="G66" s="1186">
        <v>5861</v>
      </c>
    </row>
    <row r="67" spans="2:7" ht="16.5" customHeight="1">
      <c r="B67" s="1127"/>
      <c r="C67" s="1127" t="s">
        <v>4937</v>
      </c>
      <c r="D67" s="1128"/>
      <c r="G67" s="1186">
        <v>5862</v>
      </c>
    </row>
    <row r="68" spans="2:7" ht="16.5" customHeight="1">
      <c r="B68" s="1127"/>
      <c r="C68" s="1127" t="s">
        <v>4938</v>
      </c>
      <c r="D68" s="1128"/>
      <c r="G68" s="1186">
        <v>5863</v>
      </c>
    </row>
    <row r="69" spans="2:7" ht="16.5" customHeight="1">
      <c r="B69" s="1127"/>
      <c r="C69" s="1127" t="s">
        <v>4939</v>
      </c>
      <c r="D69" s="1128"/>
      <c r="G69" s="1186">
        <v>5864</v>
      </c>
    </row>
    <row r="70" spans="2:7" ht="16.5" customHeight="1">
      <c r="B70" s="1127"/>
      <c r="C70" s="1127" t="s">
        <v>4940</v>
      </c>
      <c r="D70" s="1128"/>
      <c r="G70" s="1186">
        <v>5872</v>
      </c>
    </row>
    <row r="71" spans="2:7" ht="16.5" customHeight="1">
      <c r="B71" s="1127"/>
      <c r="C71" s="1127" t="s">
        <v>4941</v>
      </c>
      <c r="D71" s="1128"/>
      <c r="G71" s="1186">
        <v>5881</v>
      </c>
    </row>
    <row r="72" spans="2:7" ht="16.5" customHeight="1">
      <c r="B72" s="1127"/>
      <c r="C72" s="1127" t="s">
        <v>4755</v>
      </c>
      <c r="D72" s="1128"/>
      <c r="G72" s="1186">
        <v>5891</v>
      </c>
    </row>
    <row r="73" spans="2:7" ht="16.5" customHeight="1">
      <c r="B73" s="1127"/>
      <c r="C73" s="1127" t="s">
        <v>4942</v>
      </c>
      <c r="D73" s="1128"/>
      <c r="G73" s="1186">
        <v>5892</v>
      </c>
    </row>
    <row r="74" spans="2:7" ht="16.5" customHeight="1">
      <c r="B74" s="1127"/>
      <c r="C74" s="1127" t="s">
        <v>4943</v>
      </c>
      <c r="D74" s="1128"/>
      <c r="G74" s="1186">
        <v>5893</v>
      </c>
    </row>
    <row r="75" spans="2:7" ht="16.5" customHeight="1">
      <c r="B75" s="1127"/>
      <c r="C75" s="1127" t="s">
        <v>4944</v>
      </c>
      <c r="D75" s="1128"/>
      <c r="G75" s="1186">
        <v>5894</v>
      </c>
    </row>
    <row r="76" spans="2:7" ht="16.5" customHeight="1">
      <c r="B76" s="1127"/>
      <c r="C76" s="1127" t="s">
        <v>4945</v>
      </c>
      <c r="D76" s="1128"/>
      <c r="G76" s="1186">
        <v>5895</v>
      </c>
    </row>
    <row r="77" spans="2:7" ht="16.5" customHeight="1">
      <c r="B77" s="1127"/>
      <c r="C77" s="1127" t="s">
        <v>4946</v>
      </c>
      <c r="D77" s="1128"/>
      <c r="G77" s="1186">
        <v>5899</v>
      </c>
    </row>
    <row r="78" spans="2:7" ht="16.5" customHeight="1">
      <c r="B78" s="1127"/>
      <c r="C78" s="1127" t="s">
        <v>5010</v>
      </c>
      <c r="D78" s="1128"/>
      <c r="G78" s="1186">
        <v>5901</v>
      </c>
    </row>
    <row r="79" spans="2:7" ht="16.5" customHeight="1">
      <c r="B79" s="1127"/>
      <c r="C79" s="1127" t="s">
        <v>4947</v>
      </c>
      <c r="D79" s="1128"/>
      <c r="G79" s="1186">
        <v>5902</v>
      </c>
    </row>
    <row r="80" spans="2:7" ht="16.5" customHeight="1">
      <c r="B80" s="1127"/>
      <c r="C80" s="1127" t="s">
        <v>5008</v>
      </c>
      <c r="D80" s="1128"/>
      <c r="G80" s="1186">
        <v>5903</v>
      </c>
    </row>
    <row r="81" spans="2:7" ht="16.5" customHeight="1">
      <c r="B81" s="1127"/>
      <c r="C81" s="1127" t="s">
        <v>5009</v>
      </c>
      <c r="D81" s="1128"/>
      <c r="G81" s="1186">
        <v>5904</v>
      </c>
    </row>
    <row r="82" spans="2:7" ht="16.5" customHeight="1">
      <c r="B82" s="1127"/>
      <c r="C82" s="1127" t="s">
        <v>4948</v>
      </c>
      <c r="D82" s="1128"/>
      <c r="G82" s="1186">
        <v>5905</v>
      </c>
    </row>
    <row r="83" spans="2:7" ht="16.5" customHeight="1">
      <c r="B83" s="1127"/>
      <c r="C83" s="1127" t="s">
        <v>5007</v>
      </c>
      <c r="D83" s="1128"/>
      <c r="G83" s="1186">
        <v>5906</v>
      </c>
    </row>
    <row r="84" spans="2:7" ht="16.5" customHeight="1">
      <c r="B84" s="1127"/>
      <c r="C84" s="1127" t="s">
        <v>4949</v>
      </c>
      <c r="D84" s="1128"/>
      <c r="G84" s="1186">
        <v>6001</v>
      </c>
    </row>
    <row r="85" spans="2:7" ht="16.5" customHeight="1">
      <c r="B85" s="1127"/>
      <c r="C85" s="1127" t="s">
        <v>4950</v>
      </c>
      <c r="D85" s="1128"/>
      <c r="G85" s="1186">
        <v>6002</v>
      </c>
    </row>
    <row r="86" spans="2:7" ht="16.5" customHeight="1">
      <c r="B86" s="1127"/>
      <c r="C86" s="1127" t="s">
        <v>4951</v>
      </c>
      <c r="D86" s="1128"/>
      <c r="G86" s="1186">
        <v>6003</v>
      </c>
    </row>
    <row r="87" spans="2:7" ht="16.5" customHeight="1">
      <c r="B87" s="1127"/>
      <c r="C87" s="1127" t="s">
        <v>5005</v>
      </c>
      <c r="D87" s="1128"/>
      <c r="G87" s="1186">
        <v>6004</v>
      </c>
    </row>
    <row r="88" spans="2:7" ht="16.5" customHeight="1">
      <c r="B88" s="1127"/>
      <c r="C88" s="1127" t="s">
        <v>4952</v>
      </c>
      <c r="D88" s="1128"/>
      <c r="G88" s="1186">
        <v>6010</v>
      </c>
    </row>
    <row r="89" spans="2:7" ht="16.5" customHeight="1">
      <c r="B89" s="1127"/>
      <c r="C89" s="1127" t="s">
        <v>5004</v>
      </c>
      <c r="D89" s="1128"/>
      <c r="G89" s="1186">
        <v>6011</v>
      </c>
    </row>
    <row r="90" spans="2:7" ht="16.5" customHeight="1">
      <c r="B90" s="1127"/>
      <c r="C90" s="1127" t="s">
        <v>4953</v>
      </c>
      <c r="D90" s="1128"/>
      <c r="G90" s="1186">
        <v>6012</v>
      </c>
    </row>
    <row r="91" spans="2:7" ht="16.5" customHeight="1">
      <c r="B91" s="1127"/>
      <c r="C91" s="1127" t="s">
        <v>4954</v>
      </c>
      <c r="D91" s="1128"/>
      <c r="G91" s="1186">
        <v>6019</v>
      </c>
    </row>
    <row r="92" spans="2:7" ht="16.5" customHeight="1">
      <c r="B92" s="1127"/>
      <c r="C92" s="1127" t="s">
        <v>5006</v>
      </c>
      <c r="D92" s="1128"/>
      <c r="G92" s="1186">
        <v>6021</v>
      </c>
    </row>
    <row r="93" spans="2:7" ht="16.5" customHeight="1">
      <c r="B93" s="1127"/>
      <c r="C93" s="1127" t="s">
        <v>4955</v>
      </c>
      <c r="D93" s="1128"/>
      <c r="G93" s="1186">
        <v>6121</v>
      </c>
    </row>
    <row r="94" spans="2:7" ht="16.5" customHeight="1">
      <c r="B94" s="1127"/>
      <c r="C94" s="1127" t="s">
        <v>4956</v>
      </c>
      <c r="D94" s="1128"/>
      <c r="G94" s="1186">
        <v>6211</v>
      </c>
    </row>
    <row r="95" spans="2:7" ht="16.5" customHeight="1">
      <c r="B95" s="1127"/>
      <c r="C95" s="1127" t="s">
        <v>4957</v>
      </c>
      <c r="D95" s="1128"/>
      <c r="G95" s="1186">
        <v>6212</v>
      </c>
    </row>
    <row r="96" spans="2:7">
      <c r="B96" s="1127"/>
      <c r="C96" s="1127" t="s">
        <v>4958</v>
      </c>
      <c r="D96" s="1127"/>
      <c r="G96" s="1186">
        <v>6213</v>
      </c>
    </row>
    <row r="97" spans="2:7">
      <c r="B97" s="1127"/>
      <c r="C97" s="1127" t="s">
        <v>4995</v>
      </c>
      <c r="D97" s="1127"/>
      <c r="G97" s="1186">
        <v>6321</v>
      </c>
    </row>
    <row r="98" spans="2:7">
      <c r="B98" s="1127"/>
      <c r="C98" s="1127" t="s">
        <v>4996</v>
      </c>
      <c r="D98" s="1127"/>
      <c r="G98" s="1186">
        <v>7019</v>
      </c>
    </row>
    <row r="99" spans="2:7">
      <c r="B99" s="1127"/>
      <c r="C99" s="1127" t="s">
        <v>4997</v>
      </c>
      <c r="D99" s="1127"/>
      <c r="G99" s="1186">
        <v>7211</v>
      </c>
    </row>
    <row r="100" spans="2:7">
      <c r="B100" s="1127"/>
      <c r="C100" s="1127" t="s">
        <v>1682</v>
      </c>
      <c r="D100" s="1127"/>
      <c r="G100" s="1186">
        <v>7241</v>
      </c>
    </row>
    <row r="101" spans="2:7">
      <c r="B101" s="1127"/>
      <c r="C101" s="1127" t="s">
        <v>5003</v>
      </c>
      <c r="D101" s="1127"/>
      <c r="G101" s="1186">
        <v>7251</v>
      </c>
    </row>
    <row r="102" spans="2:7">
      <c r="B102" s="1127"/>
      <c r="C102" s="1127" t="s">
        <v>4998</v>
      </c>
      <c r="D102" s="1127"/>
      <c r="G102" s="1186">
        <v>7252</v>
      </c>
    </row>
    <row r="103" spans="2:7">
      <c r="B103" s="1127"/>
      <c r="C103" s="1127" t="s">
        <v>4999</v>
      </c>
      <c r="D103" s="1127"/>
      <c r="G103" s="1186">
        <v>7253</v>
      </c>
    </row>
    <row r="104" spans="2:7">
      <c r="B104" s="1127"/>
      <c r="C104" s="1127" t="s">
        <v>5000</v>
      </c>
      <c r="D104" s="1127"/>
      <c r="G104" s="1186">
        <v>7301</v>
      </c>
    </row>
    <row r="105" spans="2:7">
      <c r="B105" s="1127"/>
      <c r="C105" s="1127" t="s">
        <v>5001</v>
      </c>
      <c r="D105" s="1127"/>
      <c r="G105" s="1186">
        <v>7311</v>
      </c>
    </row>
    <row r="106" spans="2:7">
      <c r="B106" s="1127"/>
      <c r="C106" s="1127" t="s">
        <v>4265</v>
      </c>
      <c r="D106" s="1127"/>
      <c r="G106" s="1186">
        <v>7511</v>
      </c>
    </row>
    <row r="107" spans="2:7">
      <c r="B107" s="1127"/>
      <c r="C107" s="1127" t="s">
        <v>5002</v>
      </c>
      <c r="D107" s="1127"/>
      <c r="G107" s="1186">
        <v>7512</v>
      </c>
    </row>
    <row r="108" spans="2:7">
      <c r="B108" s="1127"/>
      <c r="C108" s="1127" t="s">
        <v>4959</v>
      </c>
      <c r="D108" s="1127"/>
      <c r="G108" s="1186">
        <v>7541</v>
      </c>
    </row>
    <row r="109" spans="2:7">
      <c r="B109" s="1127"/>
      <c r="C109" s="1127" t="s">
        <v>4960</v>
      </c>
      <c r="D109" s="1127"/>
      <c r="G109" s="1186">
        <v>7613</v>
      </c>
    </row>
    <row r="110" spans="2:7">
      <c r="B110" s="1127"/>
      <c r="C110" s="1127" t="s">
        <v>4961</v>
      </c>
      <c r="D110" s="1127"/>
      <c r="G110" s="1186">
        <v>7641</v>
      </c>
    </row>
    <row r="111" spans="2:7">
      <c r="B111" s="1127"/>
      <c r="C111" s="1127" t="s">
        <v>4962</v>
      </c>
      <c r="D111" s="1127"/>
      <c r="G111" s="1186">
        <v>7642</v>
      </c>
    </row>
    <row r="112" spans="2:7">
      <c r="B112" s="1127"/>
      <c r="C112" s="1127" t="s">
        <v>4963</v>
      </c>
      <c r="D112" s="1127"/>
      <c r="G112" s="1186">
        <v>7643</v>
      </c>
    </row>
    <row r="113" spans="2:7">
      <c r="B113" s="1127"/>
      <c r="C113" s="1127" t="s">
        <v>4222</v>
      </c>
      <c r="D113" s="1127"/>
      <c r="G113" s="1186">
        <v>7691</v>
      </c>
    </row>
    <row r="114" spans="2:7">
      <c r="B114" s="1127"/>
      <c r="C114" s="1127" t="s">
        <v>4994</v>
      </c>
      <c r="D114" s="1127"/>
      <c r="G114" s="1186">
        <v>7692</v>
      </c>
    </row>
    <row r="115" spans="2:7">
      <c r="B115" s="1127"/>
      <c r="C115" s="1127" t="s">
        <v>4964</v>
      </c>
      <c r="D115" s="1127"/>
      <c r="G115" s="1186">
        <v>7811</v>
      </c>
    </row>
    <row r="116" spans="2:7">
      <c r="B116" s="1127"/>
      <c r="C116" s="1127" t="s">
        <v>4965</v>
      </c>
      <c r="D116" s="1127"/>
      <c r="G116" s="1186">
        <v>7812</v>
      </c>
    </row>
    <row r="117" spans="2:7">
      <c r="B117" s="1127"/>
      <c r="C117" s="1127" t="s">
        <v>4966</v>
      </c>
      <c r="D117" s="1127"/>
      <c r="G117" s="1186">
        <v>7813</v>
      </c>
    </row>
    <row r="118" spans="2:7">
      <c r="B118" s="1127"/>
      <c r="C118" s="1127" t="s">
        <v>4992</v>
      </c>
      <c r="D118" s="1127"/>
      <c r="G118" s="1186">
        <v>7814</v>
      </c>
    </row>
    <row r="119" spans="2:7">
      <c r="B119" s="1127"/>
      <c r="C119" s="1127" t="s">
        <v>4967</v>
      </c>
      <c r="D119" s="1127"/>
      <c r="G119" s="1186">
        <v>7815</v>
      </c>
    </row>
    <row r="120" spans="2:7">
      <c r="B120" s="1127"/>
      <c r="C120" s="1127" t="s">
        <v>4968</v>
      </c>
      <c r="D120" s="1127"/>
      <c r="G120" s="1186">
        <v>7816</v>
      </c>
    </row>
    <row r="121" spans="2:7">
      <c r="B121" s="1127"/>
      <c r="C121" s="1127" t="s">
        <v>4969</v>
      </c>
      <c r="D121" s="1127"/>
      <c r="G121" s="1186">
        <v>7817</v>
      </c>
    </row>
    <row r="122" spans="2:7">
      <c r="B122" s="1127"/>
      <c r="C122" s="1127" t="s">
        <v>4970</v>
      </c>
      <c r="D122" s="1127"/>
      <c r="G122" s="1186">
        <v>7818</v>
      </c>
    </row>
    <row r="123" spans="2:7">
      <c r="B123" s="1127"/>
      <c r="C123" s="1127" t="s">
        <v>4971</v>
      </c>
      <c r="D123" s="1127"/>
      <c r="G123" s="1186">
        <v>7821</v>
      </c>
    </row>
    <row r="124" spans="2:7">
      <c r="B124" s="1127"/>
      <c r="C124" s="1127" t="s">
        <v>4972</v>
      </c>
      <c r="D124" s="1127"/>
      <c r="G124" s="1186">
        <v>7822</v>
      </c>
    </row>
    <row r="125" spans="2:7">
      <c r="B125" s="1127"/>
      <c r="C125" s="1127" t="s">
        <v>4973</v>
      </c>
      <c r="D125" s="1127"/>
      <c r="G125" s="1186">
        <v>7823</v>
      </c>
    </row>
    <row r="126" spans="2:7">
      <c r="B126" s="1127"/>
      <c r="C126" s="1127" t="s">
        <v>4974</v>
      </c>
      <c r="D126" s="1127"/>
      <c r="G126" s="1186">
        <v>8011</v>
      </c>
    </row>
    <row r="127" spans="2:7">
      <c r="B127" s="1127"/>
      <c r="C127" s="1127" t="s">
        <v>4975</v>
      </c>
      <c r="D127" s="1127"/>
      <c r="G127" s="1186">
        <v>8111</v>
      </c>
    </row>
    <row r="128" spans="2:7">
      <c r="B128" s="1127"/>
      <c r="C128" s="1127" t="s">
        <v>4976</v>
      </c>
      <c r="D128" s="1127"/>
      <c r="G128" s="1186">
        <v>8291</v>
      </c>
    </row>
    <row r="129" spans="2:7">
      <c r="B129" s="1127"/>
      <c r="C129" s="1127" t="s">
        <v>4977</v>
      </c>
      <c r="D129" s="1127"/>
      <c r="G129" s="1186">
        <v>8321</v>
      </c>
    </row>
    <row r="130" spans="2:7">
      <c r="B130" s="1127"/>
      <c r="C130" s="1127" t="s">
        <v>4978</v>
      </c>
      <c r="D130" s="1127"/>
      <c r="G130" s="1186">
        <v>8331</v>
      </c>
    </row>
    <row r="131" spans="2:7">
      <c r="B131" s="1127"/>
      <c r="C131" s="1127" t="s">
        <v>4979</v>
      </c>
      <c r="D131" s="1127"/>
      <c r="G131" s="1186">
        <v>8401</v>
      </c>
    </row>
    <row r="132" spans="2:7">
      <c r="B132" s="1127"/>
      <c r="C132" s="1127" t="s">
        <v>4980</v>
      </c>
      <c r="D132" s="1127"/>
      <c r="G132" s="1186">
        <v>8441</v>
      </c>
    </row>
    <row r="133" spans="2:7">
      <c r="B133" s="1127"/>
      <c r="C133" s="1127" t="s">
        <v>4981</v>
      </c>
      <c r="D133" s="1127"/>
      <c r="G133" s="1186">
        <v>8451</v>
      </c>
    </row>
    <row r="134" spans="2:7">
      <c r="B134" s="1127"/>
      <c r="C134" s="1127" t="s">
        <v>4993</v>
      </c>
      <c r="D134" s="1127"/>
      <c r="G134" s="1186">
        <v>8561</v>
      </c>
    </row>
    <row r="135" spans="2:7">
      <c r="B135" s="1127"/>
      <c r="C135" s="1127" t="s">
        <v>4982</v>
      </c>
      <c r="D135" s="1127"/>
      <c r="G135" s="1186">
        <v>8711</v>
      </c>
    </row>
    <row r="136" spans="2:7">
      <c r="B136" s="1127"/>
      <c r="C136" s="1127" t="s">
        <v>4983</v>
      </c>
      <c r="D136" s="1127"/>
      <c r="G136" s="1186">
        <v>8712</v>
      </c>
    </row>
    <row r="137" spans="2:7">
      <c r="B137" s="1127"/>
      <c r="C137" s="1127" t="s">
        <v>4984</v>
      </c>
      <c r="D137" s="1127"/>
      <c r="G137" s="1186">
        <v>8713</v>
      </c>
    </row>
    <row r="138" spans="2:7">
      <c r="B138" s="1127"/>
      <c r="C138" s="1127" t="s">
        <v>4985</v>
      </c>
      <c r="D138" s="1127"/>
      <c r="G138" s="1186">
        <v>8714</v>
      </c>
    </row>
    <row r="139" spans="2:7">
      <c r="B139" s="1127"/>
      <c r="C139" s="1127" t="s">
        <v>4986</v>
      </c>
      <c r="D139" s="1127"/>
      <c r="G139" s="1186">
        <v>9171</v>
      </c>
    </row>
    <row r="140" spans="2:7">
      <c r="B140" s="1127"/>
      <c r="C140" s="1127" t="s">
        <v>4987</v>
      </c>
      <c r="D140" s="1127"/>
      <c r="G140" s="1186">
        <v>9401</v>
      </c>
    </row>
    <row r="141" spans="2:7">
      <c r="B141" s="1127"/>
      <c r="C141" s="1127" t="s">
        <v>4988</v>
      </c>
      <c r="D141" s="1127"/>
      <c r="G141" s="1186">
        <v>9402</v>
      </c>
    </row>
    <row r="142" spans="2:7">
      <c r="B142" s="1127"/>
      <c r="C142" s="1127" t="s">
        <v>4989</v>
      </c>
      <c r="D142" s="1127"/>
      <c r="G142" s="1186">
        <v>9491</v>
      </c>
    </row>
    <row r="143" spans="2:7">
      <c r="B143" s="1127"/>
      <c r="C143" s="1127" t="s">
        <v>4990</v>
      </c>
      <c r="D143" s="1127"/>
      <c r="G143" s="1186">
        <v>9501</v>
      </c>
    </row>
    <row r="144" spans="2:7">
      <c r="B144" s="1127"/>
      <c r="C144" s="1127" t="s">
        <v>4991</v>
      </c>
      <c r="D144" s="1127"/>
      <c r="G144" s="1186">
        <v>9503</v>
      </c>
    </row>
  </sheetData>
  <sheetProtection password="842B" sheet="1" objects="1" scenarios="1"/>
  <phoneticPr fontId="3"/>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39265" r:id="rId3" name="Option Button 1">
              <controlPr defaultSize="0" autoFill="0" autoLine="0" autoPict="0">
                <anchor moveWithCells="1">
                  <from>
                    <xdr:col>1</xdr:col>
                    <xdr:colOff>438150</xdr:colOff>
                    <xdr:row>6</xdr:row>
                    <xdr:rowOff>31750</xdr:rowOff>
                  </from>
                  <to>
                    <xdr:col>1</xdr:col>
                    <xdr:colOff>990600</xdr:colOff>
                    <xdr:row>6</xdr:row>
                    <xdr:rowOff>184150</xdr:rowOff>
                  </to>
                </anchor>
              </controlPr>
            </control>
          </mc:Choice>
        </mc:AlternateContent>
        <mc:AlternateContent xmlns:mc="http://schemas.openxmlformats.org/markup-compatibility/2006">
          <mc:Choice Requires="x14">
            <control shapeId="139266" r:id="rId4" name="Option Button 2">
              <controlPr defaultSize="0" autoFill="0" autoLine="0" autoPict="0">
                <anchor moveWithCells="1">
                  <from>
                    <xdr:col>1</xdr:col>
                    <xdr:colOff>438150</xdr:colOff>
                    <xdr:row>7</xdr:row>
                    <xdr:rowOff>31750</xdr:rowOff>
                  </from>
                  <to>
                    <xdr:col>1</xdr:col>
                    <xdr:colOff>990600</xdr:colOff>
                    <xdr:row>7</xdr:row>
                    <xdr:rowOff>184150</xdr:rowOff>
                  </to>
                </anchor>
              </controlPr>
            </control>
          </mc:Choice>
        </mc:AlternateContent>
        <mc:AlternateContent xmlns:mc="http://schemas.openxmlformats.org/markup-compatibility/2006">
          <mc:Choice Requires="x14">
            <control shapeId="139267" r:id="rId5" name="Option Button 3">
              <controlPr defaultSize="0" autoFill="0" autoLine="0" autoPict="0">
                <anchor moveWithCells="1">
                  <from>
                    <xdr:col>1</xdr:col>
                    <xdr:colOff>438150</xdr:colOff>
                    <xdr:row>8</xdr:row>
                    <xdr:rowOff>31750</xdr:rowOff>
                  </from>
                  <to>
                    <xdr:col>1</xdr:col>
                    <xdr:colOff>990600</xdr:colOff>
                    <xdr:row>8</xdr:row>
                    <xdr:rowOff>184150</xdr:rowOff>
                  </to>
                </anchor>
              </controlPr>
            </control>
          </mc:Choice>
        </mc:AlternateContent>
        <mc:AlternateContent xmlns:mc="http://schemas.openxmlformats.org/markup-compatibility/2006">
          <mc:Choice Requires="x14">
            <control shapeId="139268" r:id="rId6" name="Option Button 4">
              <controlPr defaultSize="0" autoFill="0" autoLine="0" autoPict="0">
                <anchor moveWithCells="1">
                  <from>
                    <xdr:col>1</xdr:col>
                    <xdr:colOff>438150</xdr:colOff>
                    <xdr:row>9</xdr:row>
                    <xdr:rowOff>31750</xdr:rowOff>
                  </from>
                  <to>
                    <xdr:col>1</xdr:col>
                    <xdr:colOff>990600</xdr:colOff>
                    <xdr:row>9</xdr:row>
                    <xdr:rowOff>184150</xdr:rowOff>
                  </to>
                </anchor>
              </controlPr>
            </control>
          </mc:Choice>
        </mc:AlternateContent>
        <mc:AlternateContent xmlns:mc="http://schemas.openxmlformats.org/markup-compatibility/2006">
          <mc:Choice Requires="x14">
            <control shapeId="139269" r:id="rId7" name="Option Button 5">
              <controlPr defaultSize="0" autoFill="0" autoLine="0" autoPict="0">
                <anchor moveWithCells="1">
                  <from>
                    <xdr:col>1</xdr:col>
                    <xdr:colOff>438150</xdr:colOff>
                    <xdr:row>10</xdr:row>
                    <xdr:rowOff>31750</xdr:rowOff>
                  </from>
                  <to>
                    <xdr:col>1</xdr:col>
                    <xdr:colOff>990600</xdr:colOff>
                    <xdr:row>10</xdr:row>
                    <xdr:rowOff>184150</xdr:rowOff>
                  </to>
                </anchor>
              </controlPr>
            </control>
          </mc:Choice>
        </mc:AlternateContent>
        <mc:AlternateContent xmlns:mc="http://schemas.openxmlformats.org/markup-compatibility/2006">
          <mc:Choice Requires="x14">
            <control shapeId="139270" r:id="rId8" name="Option Button 6">
              <controlPr defaultSize="0" autoFill="0" autoLine="0" autoPict="0">
                <anchor moveWithCells="1">
                  <from>
                    <xdr:col>1</xdr:col>
                    <xdr:colOff>438150</xdr:colOff>
                    <xdr:row>11</xdr:row>
                    <xdr:rowOff>31750</xdr:rowOff>
                  </from>
                  <to>
                    <xdr:col>1</xdr:col>
                    <xdr:colOff>990600</xdr:colOff>
                    <xdr:row>11</xdr:row>
                    <xdr:rowOff>184150</xdr:rowOff>
                  </to>
                </anchor>
              </controlPr>
            </control>
          </mc:Choice>
        </mc:AlternateContent>
        <mc:AlternateContent xmlns:mc="http://schemas.openxmlformats.org/markup-compatibility/2006">
          <mc:Choice Requires="x14">
            <control shapeId="139271" r:id="rId9" name="Option Button 7">
              <controlPr defaultSize="0" autoFill="0" autoLine="0" autoPict="0">
                <anchor moveWithCells="1">
                  <from>
                    <xdr:col>1</xdr:col>
                    <xdr:colOff>438150</xdr:colOff>
                    <xdr:row>12</xdr:row>
                    <xdr:rowOff>31750</xdr:rowOff>
                  </from>
                  <to>
                    <xdr:col>1</xdr:col>
                    <xdr:colOff>990600</xdr:colOff>
                    <xdr:row>12</xdr:row>
                    <xdr:rowOff>184150</xdr:rowOff>
                  </to>
                </anchor>
              </controlPr>
            </control>
          </mc:Choice>
        </mc:AlternateContent>
        <mc:AlternateContent xmlns:mc="http://schemas.openxmlformats.org/markup-compatibility/2006">
          <mc:Choice Requires="x14">
            <control shapeId="139272" r:id="rId10" name="Option Button 8">
              <controlPr defaultSize="0" autoFill="0" autoLine="0" autoPict="0">
                <anchor moveWithCells="1">
                  <from>
                    <xdr:col>1</xdr:col>
                    <xdr:colOff>438150</xdr:colOff>
                    <xdr:row>13</xdr:row>
                    <xdr:rowOff>31750</xdr:rowOff>
                  </from>
                  <to>
                    <xdr:col>1</xdr:col>
                    <xdr:colOff>990600</xdr:colOff>
                    <xdr:row>13</xdr:row>
                    <xdr:rowOff>184150</xdr:rowOff>
                  </to>
                </anchor>
              </controlPr>
            </control>
          </mc:Choice>
        </mc:AlternateContent>
        <mc:AlternateContent xmlns:mc="http://schemas.openxmlformats.org/markup-compatibility/2006">
          <mc:Choice Requires="x14">
            <control shapeId="139273" r:id="rId11" name="Option Button 9">
              <controlPr defaultSize="0" autoFill="0" autoLine="0" autoPict="0">
                <anchor moveWithCells="1">
                  <from>
                    <xdr:col>1</xdr:col>
                    <xdr:colOff>438150</xdr:colOff>
                    <xdr:row>14</xdr:row>
                    <xdr:rowOff>31750</xdr:rowOff>
                  </from>
                  <to>
                    <xdr:col>1</xdr:col>
                    <xdr:colOff>990600</xdr:colOff>
                    <xdr:row>14</xdr:row>
                    <xdr:rowOff>184150</xdr:rowOff>
                  </to>
                </anchor>
              </controlPr>
            </control>
          </mc:Choice>
        </mc:AlternateContent>
        <mc:AlternateContent xmlns:mc="http://schemas.openxmlformats.org/markup-compatibility/2006">
          <mc:Choice Requires="x14">
            <control shapeId="139274" r:id="rId12" name="Option Button 10">
              <controlPr defaultSize="0" autoFill="0" autoLine="0" autoPict="0">
                <anchor moveWithCells="1">
                  <from>
                    <xdr:col>1</xdr:col>
                    <xdr:colOff>438150</xdr:colOff>
                    <xdr:row>15</xdr:row>
                    <xdr:rowOff>31750</xdr:rowOff>
                  </from>
                  <to>
                    <xdr:col>1</xdr:col>
                    <xdr:colOff>990600</xdr:colOff>
                    <xdr:row>15</xdr:row>
                    <xdr:rowOff>184150</xdr:rowOff>
                  </to>
                </anchor>
              </controlPr>
            </control>
          </mc:Choice>
        </mc:AlternateContent>
        <mc:AlternateContent xmlns:mc="http://schemas.openxmlformats.org/markup-compatibility/2006">
          <mc:Choice Requires="x14">
            <control shapeId="139275" r:id="rId13" name="Option Button 11">
              <controlPr defaultSize="0" autoFill="0" autoLine="0" autoPict="0">
                <anchor moveWithCells="1">
                  <from>
                    <xdr:col>1</xdr:col>
                    <xdr:colOff>438150</xdr:colOff>
                    <xdr:row>16</xdr:row>
                    <xdr:rowOff>31750</xdr:rowOff>
                  </from>
                  <to>
                    <xdr:col>1</xdr:col>
                    <xdr:colOff>990600</xdr:colOff>
                    <xdr:row>16</xdr:row>
                    <xdr:rowOff>184150</xdr:rowOff>
                  </to>
                </anchor>
              </controlPr>
            </control>
          </mc:Choice>
        </mc:AlternateContent>
        <mc:AlternateContent xmlns:mc="http://schemas.openxmlformats.org/markup-compatibility/2006">
          <mc:Choice Requires="x14">
            <control shapeId="139276" r:id="rId14" name="Option Button 12">
              <controlPr defaultSize="0" autoFill="0" autoLine="0" autoPict="0">
                <anchor moveWithCells="1">
                  <from>
                    <xdr:col>1</xdr:col>
                    <xdr:colOff>438150</xdr:colOff>
                    <xdr:row>17</xdr:row>
                    <xdr:rowOff>31750</xdr:rowOff>
                  </from>
                  <to>
                    <xdr:col>1</xdr:col>
                    <xdr:colOff>990600</xdr:colOff>
                    <xdr:row>17</xdr:row>
                    <xdr:rowOff>184150</xdr:rowOff>
                  </to>
                </anchor>
              </controlPr>
            </control>
          </mc:Choice>
        </mc:AlternateContent>
        <mc:AlternateContent xmlns:mc="http://schemas.openxmlformats.org/markup-compatibility/2006">
          <mc:Choice Requires="x14">
            <control shapeId="139277" r:id="rId15" name="Option Button 13">
              <controlPr defaultSize="0" autoFill="0" autoLine="0" autoPict="0">
                <anchor moveWithCells="1">
                  <from>
                    <xdr:col>1</xdr:col>
                    <xdr:colOff>438150</xdr:colOff>
                    <xdr:row>18</xdr:row>
                    <xdr:rowOff>31750</xdr:rowOff>
                  </from>
                  <to>
                    <xdr:col>1</xdr:col>
                    <xdr:colOff>990600</xdr:colOff>
                    <xdr:row>18</xdr:row>
                    <xdr:rowOff>184150</xdr:rowOff>
                  </to>
                </anchor>
              </controlPr>
            </control>
          </mc:Choice>
        </mc:AlternateContent>
        <mc:AlternateContent xmlns:mc="http://schemas.openxmlformats.org/markup-compatibility/2006">
          <mc:Choice Requires="x14">
            <control shapeId="139278" r:id="rId16" name="Option Button 14">
              <controlPr defaultSize="0" autoFill="0" autoLine="0" autoPict="0">
                <anchor moveWithCells="1">
                  <from>
                    <xdr:col>1</xdr:col>
                    <xdr:colOff>438150</xdr:colOff>
                    <xdr:row>19</xdr:row>
                    <xdr:rowOff>31750</xdr:rowOff>
                  </from>
                  <to>
                    <xdr:col>1</xdr:col>
                    <xdr:colOff>990600</xdr:colOff>
                    <xdr:row>19</xdr:row>
                    <xdr:rowOff>184150</xdr:rowOff>
                  </to>
                </anchor>
              </controlPr>
            </control>
          </mc:Choice>
        </mc:AlternateContent>
        <mc:AlternateContent xmlns:mc="http://schemas.openxmlformats.org/markup-compatibility/2006">
          <mc:Choice Requires="x14">
            <control shapeId="139279" r:id="rId17" name="Option Button 15">
              <controlPr defaultSize="0" autoFill="0" autoLine="0" autoPict="0">
                <anchor moveWithCells="1">
                  <from>
                    <xdr:col>1</xdr:col>
                    <xdr:colOff>438150</xdr:colOff>
                    <xdr:row>20</xdr:row>
                    <xdr:rowOff>31750</xdr:rowOff>
                  </from>
                  <to>
                    <xdr:col>1</xdr:col>
                    <xdr:colOff>990600</xdr:colOff>
                    <xdr:row>20</xdr:row>
                    <xdr:rowOff>184150</xdr:rowOff>
                  </to>
                </anchor>
              </controlPr>
            </control>
          </mc:Choice>
        </mc:AlternateContent>
        <mc:AlternateContent xmlns:mc="http://schemas.openxmlformats.org/markup-compatibility/2006">
          <mc:Choice Requires="x14">
            <control shapeId="139280" r:id="rId18" name="Option Button 16">
              <controlPr defaultSize="0" autoFill="0" autoLine="0" autoPict="0">
                <anchor moveWithCells="1">
                  <from>
                    <xdr:col>1</xdr:col>
                    <xdr:colOff>438150</xdr:colOff>
                    <xdr:row>21</xdr:row>
                    <xdr:rowOff>31750</xdr:rowOff>
                  </from>
                  <to>
                    <xdr:col>1</xdr:col>
                    <xdr:colOff>990600</xdr:colOff>
                    <xdr:row>21</xdr:row>
                    <xdr:rowOff>184150</xdr:rowOff>
                  </to>
                </anchor>
              </controlPr>
            </control>
          </mc:Choice>
        </mc:AlternateContent>
        <mc:AlternateContent xmlns:mc="http://schemas.openxmlformats.org/markup-compatibility/2006">
          <mc:Choice Requires="x14">
            <control shapeId="139281" r:id="rId19" name="Option Button 17">
              <controlPr defaultSize="0" autoFill="0" autoLine="0" autoPict="0">
                <anchor moveWithCells="1">
                  <from>
                    <xdr:col>1</xdr:col>
                    <xdr:colOff>438150</xdr:colOff>
                    <xdr:row>22</xdr:row>
                    <xdr:rowOff>31750</xdr:rowOff>
                  </from>
                  <to>
                    <xdr:col>1</xdr:col>
                    <xdr:colOff>990600</xdr:colOff>
                    <xdr:row>22</xdr:row>
                    <xdr:rowOff>184150</xdr:rowOff>
                  </to>
                </anchor>
              </controlPr>
            </control>
          </mc:Choice>
        </mc:AlternateContent>
        <mc:AlternateContent xmlns:mc="http://schemas.openxmlformats.org/markup-compatibility/2006">
          <mc:Choice Requires="x14">
            <control shapeId="139282" r:id="rId20" name="Option Button 18">
              <controlPr defaultSize="0" autoFill="0" autoLine="0" autoPict="0">
                <anchor moveWithCells="1">
                  <from>
                    <xdr:col>1</xdr:col>
                    <xdr:colOff>438150</xdr:colOff>
                    <xdr:row>23</xdr:row>
                    <xdr:rowOff>31750</xdr:rowOff>
                  </from>
                  <to>
                    <xdr:col>1</xdr:col>
                    <xdr:colOff>990600</xdr:colOff>
                    <xdr:row>23</xdr:row>
                    <xdr:rowOff>184150</xdr:rowOff>
                  </to>
                </anchor>
              </controlPr>
            </control>
          </mc:Choice>
        </mc:AlternateContent>
        <mc:AlternateContent xmlns:mc="http://schemas.openxmlformats.org/markup-compatibility/2006">
          <mc:Choice Requires="x14">
            <control shapeId="139283" r:id="rId21" name="Option Button 19">
              <controlPr defaultSize="0" autoFill="0" autoLine="0" autoPict="0">
                <anchor moveWithCells="1">
                  <from>
                    <xdr:col>1</xdr:col>
                    <xdr:colOff>438150</xdr:colOff>
                    <xdr:row>24</xdr:row>
                    <xdr:rowOff>31750</xdr:rowOff>
                  </from>
                  <to>
                    <xdr:col>1</xdr:col>
                    <xdr:colOff>990600</xdr:colOff>
                    <xdr:row>24</xdr:row>
                    <xdr:rowOff>184150</xdr:rowOff>
                  </to>
                </anchor>
              </controlPr>
            </control>
          </mc:Choice>
        </mc:AlternateContent>
        <mc:AlternateContent xmlns:mc="http://schemas.openxmlformats.org/markup-compatibility/2006">
          <mc:Choice Requires="x14">
            <control shapeId="139284" r:id="rId22" name="Option Button 20">
              <controlPr defaultSize="0" autoFill="0" autoLine="0" autoPict="0">
                <anchor moveWithCells="1">
                  <from>
                    <xdr:col>1</xdr:col>
                    <xdr:colOff>438150</xdr:colOff>
                    <xdr:row>25</xdr:row>
                    <xdr:rowOff>31750</xdr:rowOff>
                  </from>
                  <to>
                    <xdr:col>1</xdr:col>
                    <xdr:colOff>990600</xdr:colOff>
                    <xdr:row>25</xdr:row>
                    <xdr:rowOff>184150</xdr:rowOff>
                  </to>
                </anchor>
              </controlPr>
            </control>
          </mc:Choice>
        </mc:AlternateContent>
        <mc:AlternateContent xmlns:mc="http://schemas.openxmlformats.org/markup-compatibility/2006">
          <mc:Choice Requires="x14">
            <control shapeId="139285" r:id="rId23" name="Option Button 21">
              <controlPr defaultSize="0" autoFill="0" autoLine="0" autoPict="0">
                <anchor moveWithCells="1">
                  <from>
                    <xdr:col>1</xdr:col>
                    <xdr:colOff>438150</xdr:colOff>
                    <xdr:row>26</xdr:row>
                    <xdr:rowOff>31750</xdr:rowOff>
                  </from>
                  <to>
                    <xdr:col>1</xdr:col>
                    <xdr:colOff>990600</xdr:colOff>
                    <xdr:row>26</xdr:row>
                    <xdr:rowOff>184150</xdr:rowOff>
                  </to>
                </anchor>
              </controlPr>
            </control>
          </mc:Choice>
        </mc:AlternateContent>
        <mc:AlternateContent xmlns:mc="http://schemas.openxmlformats.org/markup-compatibility/2006">
          <mc:Choice Requires="x14">
            <control shapeId="139286" r:id="rId24" name="Option Button 22">
              <controlPr defaultSize="0" autoFill="0" autoLine="0" autoPict="0">
                <anchor moveWithCells="1">
                  <from>
                    <xdr:col>1</xdr:col>
                    <xdr:colOff>438150</xdr:colOff>
                    <xdr:row>27</xdr:row>
                    <xdr:rowOff>31750</xdr:rowOff>
                  </from>
                  <to>
                    <xdr:col>1</xdr:col>
                    <xdr:colOff>990600</xdr:colOff>
                    <xdr:row>27</xdr:row>
                    <xdr:rowOff>184150</xdr:rowOff>
                  </to>
                </anchor>
              </controlPr>
            </control>
          </mc:Choice>
        </mc:AlternateContent>
        <mc:AlternateContent xmlns:mc="http://schemas.openxmlformats.org/markup-compatibility/2006">
          <mc:Choice Requires="x14">
            <control shapeId="139287" r:id="rId25" name="Option Button 23">
              <controlPr defaultSize="0" autoFill="0" autoLine="0" autoPict="0">
                <anchor moveWithCells="1">
                  <from>
                    <xdr:col>1</xdr:col>
                    <xdr:colOff>438150</xdr:colOff>
                    <xdr:row>28</xdr:row>
                    <xdr:rowOff>31750</xdr:rowOff>
                  </from>
                  <to>
                    <xdr:col>1</xdr:col>
                    <xdr:colOff>990600</xdr:colOff>
                    <xdr:row>28</xdr:row>
                    <xdr:rowOff>184150</xdr:rowOff>
                  </to>
                </anchor>
              </controlPr>
            </control>
          </mc:Choice>
        </mc:AlternateContent>
        <mc:AlternateContent xmlns:mc="http://schemas.openxmlformats.org/markup-compatibility/2006">
          <mc:Choice Requires="x14">
            <control shapeId="139288" r:id="rId26" name="Option Button 24">
              <controlPr defaultSize="0" autoFill="0" autoLine="0" autoPict="0">
                <anchor moveWithCells="1">
                  <from>
                    <xdr:col>1</xdr:col>
                    <xdr:colOff>438150</xdr:colOff>
                    <xdr:row>29</xdr:row>
                    <xdr:rowOff>31750</xdr:rowOff>
                  </from>
                  <to>
                    <xdr:col>1</xdr:col>
                    <xdr:colOff>990600</xdr:colOff>
                    <xdr:row>29</xdr:row>
                    <xdr:rowOff>184150</xdr:rowOff>
                  </to>
                </anchor>
              </controlPr>
            </control>
          </mc:Choice>
        </mc:AlternateContent>
        <mc:AlternateContent xmlns:mc="http://schemas.openxmlformats.org/markup-compatibility/2006">
          <mc:Choice Requires="x14">
            <control shapeId="139289" r:id="rId27" name="Option Button 25">
              <controlPr defaultSize="0" autoFill="0" autoLine="0" autoPict="0">
                <anchor moveWithCells="1">
                  <from>
                    <xdr:col>1</xdr:col>
                    <xdr:colOff>438150</xdr:colOff>
                    <xdr:row>30</xdr:row>
                    <xdr:rowOff>31750</xdr:rowOff>
                  </from>
                  <to>
                    <xdr:col>1</xdr:col>
                    <xdr:colOff>990600</xdr:colOff>
                    <xdr:row>30</xdr:row>
                    <xdr:rowOff>184150</xdr:rowOff>
                  </to>
                </anchor>
              </controlPr>
            </control>
          </mc:Choice>
        </mc:AlternateContent>
        <mc:AlternateContent xmlns:mc="http://schemas.openxmlformats.org/markup-compatibility/2006">
          <mc:Choice Requires="x14">
            <control shapeId="139290" r:id="rId28" name="Option Button 26">
              <controlPr defaultSize="0" autoFill="0" autoLine="0" autoPict="0">
                <anchor moveWithCells="1">
                  <from>
                    <xdr:col>1</xdr:col>
                    <xdr:colOff>438150</xdr:colOff>
                    <xdr:row>31</xdr:row>
                    <xdr:rowOff>31750</xdr:rowOff>
                  </from>
                  <to>
                    <xdr:col>1</xdr:col>
                    <xdr:colOff>990600</xdr:colOff>
                    <xdr:row>31</xdr:row>
                    <xdr:rowOff>184150</xdr:rowOff>
                  </to>
                </anchor>
              </controlPr>
            </control>
          </mc:Choice>
        </mc:AlternateContent>
        <mc:AlternateContent xmlns:mc="http://schemas.openxmlformats.org/markup-compatibility/2006">
          <mc:Choice Requires="x14">
            <control shapeId="139291" r:id="rId29" name="Option Button 27">
              <controlPr defaultSize="0" autoFill="0" autoLine="0" autoPict="0">
                <anchor moveWithCells="1">
                  <from>
                    <xdr:col>1</xdr:col>
                    <xdr:colOff>438150</xdr:colOff>
                    <xdr:row>32</xdr:row>
                    <xdr:rowOff>31750</xdr:rowOff>
                  </from>
                  <to>
                    <xdr:col>1</xdr:col>
                    <xdr:colOff>990600</xdr:colOff>
                    <xdr:row>32</xdr:row>
                    <xdr:rowOff>184150</xdr:rowOff>
                  </to>
                </anchor>
              </controlPr>
            </control>
          </mc:Choice>
        </mc:AlternateContent>
        <mc:AlternateContent xmlns:mc="http://schemas.openxmlformats.org/markup-compatibility/2006">
          <mc:Choice Requires="x14">
            <control shapeId="139292" r:id="rId30" name="Option Button 28">
              <controlPr defaultSize="0" autoFill="0" autoLine="0" autoPict="0">
                <anchor moveWithCells="1">
                  <from>
                    <xdr:col>1</xdr:col>
                    <xdr:colOff>438150</xdr:colOff>
                    <xdr:row>33</xdr:row>
                    <xdr:rowOff>31750</xdr:rowOff>
                  </from>
                  <to>
                    <xdr:col>1</xdr:col>
                    <xdr:colOff>990600</xdr:colOff>
                    <xdr:row>33</xdr:row>
                    <xdr:rowOff>184150</xdr:rowOff>
                  </to>
                </anchor>
              </controlPr>
            </control>
          </mc:Choice>
        </mc:AlternateContent>
        <mc:AlternateContent xmlns:mc="http://schemas.openxmlformats.org/markup-compatibility/2006">
          <mc:Choice Requires="x14">
            <control shapeId="139293" r:id="rId31" name="Option Button 29">
              <controlPr defaultSize="0" autoFill="0" autoLine="0" autoPict="0">
                <anchor moveWithCells="1">
                  <from>
                    <xdr:col>1</xdr:col>
                    <xdr:colOff>438150</xdr:colOff>
                    <xdr:row>34</xdr:row>
                    <xdr:rowOff>31750</xdr:rowOff>
                  </from>
                  <to>
                    <xdr:col>1</xdr:col>
                    <xdr:colOff>990600</xdr:colOff>
                    <xdr:row>34</xdr:row>
                    <xdr:rowOff>184150</xdr:rowOff>
                  </to>
                </anchor>
              </controlPr>
            </control>
          </mc:Choice>
        </mc:AlternateContent>
        <mc:AlternateContent xmlns:mc="http://schemas.openxmlformats.org/markup-compatibility/2006">
          <mc:Choice Requires="x14">
            <control shapeId="139294" r:id="rId32" name="Option Button 30">
              <controlPr defaultSize="0" autoFill="0" autoLine="0" autoPict="0">
                <anchor moveWithCells="1">
                  <from>
                    <xdr:col>1</xdr:col>
                    <xdr:colOff>438150</xdr:colOff>
                    <xdr:row>35</xdr:row>
                    <xdr:rowOff>31750</xdr:rowOff>
                  </from>
                  <to>
                    <xdr:col>1</xdr:col>
                    <xdr:colOff>990600</xdr:colOff>
                    <xdr:row>35</xdr:row>
                    <xdr:rowOff>184150</xdr:rowOff>
                  </to>
                </anchor>
              </controlPr>
            </control>
          </mc:Choice>
        </mc:AlternateContent>
        <mc:AlternateContent xmlns:mc="http://schemas.openxmlformats.org/markup-compatibility/2006">
          <mc:Choice Requires="x14">
            <control shapeId="139295" r:id="rId33" name="Option Button 31">
              <controlPr defaultSize="0" autoFill="0" autoLine="0" autoPict="0">
                <anchor moveWithCells="1">
                  <from>
                    <xdr:col>1</xdr:col>
                    <xdr:colOff>438150</xdr:colOff>
                    <xdr:row>36</xdr:row>
                    <xdr:rowOff>31750</xdr:rowOff>
                  </from>
                  <to>
                    <xdr:col>1</xdr:col>
                    <xdr:colOff>990600</xdr:colOff>
                    <xdr:row>36</xdr:row>
                    <xdr:rowOff>184150</xdr:rowOff>
                  </to>
                </anchor>
              </controlPr>
            </control>
          </mc:Choice>
        </mc:AlternateContent>
        <mc:AlternateContent xmlns:mc="http://schemas.openxmlformats.org/markup-compatibility/2006">
          <mc:Choice Requires="x14">
            <control shapeId="139296" r:id="rId34" name="Option Button 32">
              <controlPr defaultSize="0" autoFill="0" autoLine="0" autoPict="0">
                <anchor moveWithCells="1">
                  <from>
                    <xdr:col>1</xdr:col>
                    <xdr:colOff>438150</xdr:colOff>
                    <xdr:row>37</xdr:row>
                    <xdr:rowOff>31750</xdr:rowOff>
                  </from>
                  <to>
                    <xdr:col>1</xdr:col>
                    <xdr:colOff>990600</xdr:colOff>
                    <xdr:row>37</xdr:row>
                    <xdr:rowOff>184150</xdr:rowOff>
                  </to>
                </anchor>
              </controlPr>
            </control>
          </mc:Choice>
        </mc:AlternateContent>
        <mc:AlternateContent xmlns:mc="http://schemas.openxmlformats.org/markup-compatibility/2006">
          <mc:Choice Requires="x14">
            <control shapeId="139297" r:id="rId35" name="Option Button 33">
              <controlPr defaultSize="0" autoFill="0" autoLine="0" autoPict="0">
                <anchor moveWithCells="1">
                  <from>
                    <xdr:col>1</xdr:col>
                    <xdr:colOff>438150</xdr:colOff>
                    <xdr:row>38</xdr:row>
                    <xdr:rowOff>31750</xdr:rowOff>
                  </from>
                  <to>
                    <xdr:col>1</xdr:col>
                    <xdr:colOff>990600</xdr:colOff>
                    <xdr:row>38</xdr:row>
                    <xdr:rowOff>184150</xdr:rowOff>
                  </to>
                </anchor>
              </controlPr>
            </control>
          </mc:Choice>
        </mc:AlternateContent>
        <mc:AlternateContent xmlns:mc="http://schemas.openxmlformats.org/markup-compatibility/2006">
          <mc:Choice Requires="x14">
            <control shapeId="139298" r:id="rId36" name="Option Button 34">
              <controlPr defaultSize="0" autoFill="0" autoLine="0" autoPict="0">
                <anchor moveWithCells="1">
                  <from>
                    <xdr:col>1</xdr:col>
                    <xdr:colOff>438150</xdr:colOff>
                    <xdr:row>39</xdr:row>
                    <xdr:rowOff>31750</xdr:rowOff>
                  </from>
                  <to>
                    <xdr:col>1</xdr:col>
                    <xdr:colOff>990600</xdr:colOff>
                    <xdr:row>39</xdr:row>
                    <xdr:rowOff>184150</xdr:rowOff>
                  </to>
                </anchor>
              </controlPr>
            </control>
          </mc:Choice>
        </mc:AlternateContent>
        <mc:AlternateContent xmlns:mc="http://schemas.openxmlformats.org/markup-compatibility/2006">
          <mc:Choice Requires="x14">
            <control shapeId="139299" r:id="rId37" name="Option Button 35">
              <controlPr defaultSize="0" autoFill="0" autoLine="0" autoPict="0">
                <anchor moveWithCells="1">
                  <from>
                    <xdr:col>1</xdr:col>
                    <xdr:colOff>438150</xdr:colOff>
                    <xdr:row>40</xdr:row>
                    <xdr:rowOff>31750</xdr:rowOff>
                  </from>
                  <to>
                    <xdr:col>1</xdr:col>
                    <xdr:colOff>990600</xdr:colOff>
                    <xdr:row>40</xdr:row>
                    <xdr:rowOff>184150</xdr:rowOff>
                  </to>
                </anchor>
              </controlPr>
            </control>
          </mc:Choice>
        </mc:AlternateContent>
        <mc:AlternateContent xmlns:mc="http://schemas.openxmlformats.org/markup-compatibility/2006">
          <mc:Choice Requires="x14">
            <control shapeId="139300" r:id="rId38" name="Option Button 36">
              <controlPr defaultSize="0" autoFill="0" autoLine="0" autoPict="0">
                <anchor moveWithCells="1">
                  <from>
                    <xdr:col>1</xdr:col>
                    <xdr:colOff>438150</xdr:colOff>
                    <xdr:row>41</xdr:row>
                    <xdr:rowOff>31750</xdr:rowOff>
                  </from>
                  <to>
                    <xdr:col>1</xdr:col>
                    <xdr:colOff>990600</xdr:colOff>
                    <xdr:row>41</xdr:row>
                    <xdr:rowOff>184150</xdr:rowOff>
                  </to>
                </anchor>
              </controlPr>
            </control>
          </mc:Choice>
        </mc:AlternateContent>
        <mc:AlternateContent xmlns:mc="http://schemas.openxmlformats.org/markup-compatibility/2006">
          <mc:Choice Requires="x14">
            <control shapeId="139301" r:id="rId39" name="Option Button 37">
              <controlPr defaultSize="0" autoFill="0" autoLine="0" autoPict="0">
                <anchor moveWithCells="1">
                  <from>
                    <xdr:col>1</xdr:col>
                    <xdr:colOff>438150</xdr:colOff>
                    <xdr:row>42</xdr:row>
                    <xdr:rowOff>31750</xdr:rowOff>
                  </from>
                  <to>
                    <xdr:col>1</xdr:col>
                    <xdr:colOff>990600</xdr:colOff>
                    <xdr:row>42</xdr:row>
                    <xdr:rowOff>184150</xdr:rowOff>
                  </to>
                </anchor>
              </controlPr>
            </control>
          </mc:Choice>
        </mc:AlternateContent>
        <mc:AlternateContent xmlns:mc="http://schemas.openxmlformats.org/markup-compatibility/2006">
          <mc:Choice Requires="x14">
            <control shapeId="139302" r:id="rId40" name="Option Button 38">
              <controlPr defaultSize="0" autoFill="0" autoLine="0" autoPict="0">
                <anchor moveWithCells="1">
                  <from>
                    <xdr:col>1</xdr:col>
                    <xdr:colOff>438150</xdr:colOff>
                    <xdr:row>43</xdr:row>
                    <xdr:rowOff>31750</xdr:rowOff>
                  </from>
                  <to>
                    <xdr:col>1</xdr:col>
                    <xdr:colOff>990600</xdr:colOff>
                    <xdr:row>43</xdr:row>
                    <xdr:rowOff>184150</xdr:rowOff>
                  </to>
                </anchor>
              </controlPr>
            </control>
          </mc:Choice>
        </mc:AlternateContent>
        <mc:AlternateContent xmlns:mc="http://schemas.openxmlformats.org/markup-compatibility/2006">
          <mc:Choice Requires="x14">
            <control shapeId="139303" r:id="rId41" name="Option Button 39">
              <controlPr defaultSize="0" autoFill="0" autoLine="0" autoPict="0">
                <anchor moveWithCells="1">
                  <from>
                    <xdr:col>1</xdr:col>
                    <xdr:colOff>438150</xdr:colOff>
                    <xdr:row>44</xdr:row>
                    <xdr:rowOff>31750</xdr:rowOff>
                  </from>
                  <to>
                    <xdr:col>1</xdr:col>
                    <xdr:colOff>990600</xdr:colOff>
                    <xdr:row>44</xdr:row>
                    <xdr:rowOff>184150</xdr:rowOff>
                  </to>
                </anchor>
              </controlPr>
            </control>
          </mc:Choice>
        </mc:AlternateContent>
        <mc:AlternateContent xmlns:mc="http://schemas.openxmlformats.org/markup-compatibility/2006">
          <mc:Choice Requires="x14">
            <control shapeId="139304" r:id="rId42" name="Option Button 40">
              <controlPr defaultSize="0" autoFill="0" autoLine="0" autoPict="0">
                <anchor moveWithCells="1">
                  <from>
                    <xdr:col>1</xdr:col>
                    <xdr:colOff>438150</xdr:colOff>
                    <xdr:row>45</xdr:row>
                    <xdr:rowOff>31750</xdr:rowOff>
                  </from>
                  <to>
                    <xdr:col>1</xdr:col>
                    <xdr:colOff>990600</xdr:colOff>
                    <xdr:row>45</xdr:row>
                    <xdr:rowOff>184150</xdr:rowOff>
                  </to>
                </anchor>
              </controlPr>
            </control>
          </mc:Choice>
        </mc:AlternateContent>
        <mc:AlternateContent xmlns:mc="http://schemas.openxmlformats.org/markup-compatibility/2006">
          <mc:Choice Requires="x14">
            <control shapeId="139305" r:id="rId43" name="Option Button 41">
              <controlPr defaultSize="0" autoFill="0" autoLine="0" autoPict="0">
                <anchor moveWithCells="1">
                  <from>
                    <xdr:col>1</xdr:col>
                    <xdr:colOff>438150</xdr:colOff>
                    <xdr:row>46</xdr:row>
                    <xdr:rowOff>31750</xdr:rowOff>
                  </from>
                  <to>
                    <xdr:col>1</xdr:col>
                    <xdr:colOff>990600</xdr:colOff>
                    <xdr:row>46</xdr:row>
                    <xdr:rowOff>184150</xdr:rowOff>
                  </to>
                </anchor>
              </controlPr>
            </control>
          </mc:Choice>
        </mc:AlternateContent>
        <mc:AlternateContent xmlns:mc="http://schemas.openxmlformats.org/markup-compatibility/2006">
          <mc:Choice Requires="x14">
            <control shapeId="139306" r:id="rId44" name="Option Button 42">
              <controlPr defaultSize="0" autoFill="0" autoLine="0" autoPict="0">
                <anchor moveWithCells="1">
                  <from>
                    <xdr:col>1</xdr:col>
                    <xdr:colOff>438150</xdr:colOff>
                    <xdr:row>47</xdr:row>
                    <xdr:rowOff>31750</xdr:rowOff>
                  </from>
                  <to>
                    <xdr:col>1</xdr:col>
                    <xdr:colOff>990600</xdr:colOff>
                    <xdr:row>47</xdr:row>
                    <xdr:rowOff>184150</xdr:rowOff>
                  </to>
                </anchor>
              </controlPr>
            </control>
          </mc:Choice>
        </mc:AlternateContent>
        <mc:AlternateContent xmlns:mc="http://schemas.openxmlformats.org/markup-compatibility/2006">
          <mc:Choice Requires="x14">
            <control shapeId="139307" r:id="rId45" name="Option Button 43">
              <controlPr defaultSize="0" autoFill="0" autoLine="0" autoPict="0">
                <anchor moveWithCells="1">
                  <from>
                    <xdr:col>1</xdr:col>
                    <xdr:colOff>438150</xdr:colOff>
                    <xdr:row>48</xdr:row>
                    <xdr:rowOff>31750</xdr:rowOff>
                  </from>
                  <to>
                    <xdr:col>1</xdr:col>
                    <xdr:colOff>990600</xdr:colOff>
                    <xdr:row>48</xdr:row>
                    <xdr:rowOff>184150</xdr:rowOff>
                  </to>
                </anchor>
              </controlPr>
            </control>
          </mc:Choice>
        </mc:AlternateContent>
        <mc:AlternateContent xmlns:mc="http://schemas.openxmlformats.org/markup-compatibility/2006">
          <mc:Choice Requires="x14">
            <control shapeId="139308" r:id="rId46" name="Option Button 44">
              <controlPr defaultSize="0" autoFill="0" autoLine="0" autoPict="0">
                <anchor moveWithCells="1">
                  <from>
                    <xdr:col>1</xdr:col>
                    <xdr:colOff>438150</xdr:colOff>
                    <xdr:row>49</xdr:row>
                    <xdr:rowOff>31750</xdr:rowOff>
                  </from>
                  <to>
                    <xdr:col>1</xdr:col>
                    <xdr:colOff>990600</xdr:colOff>
                    <xdr:row>49</xdr:row>
                    <xdr:rowOff>184150</xdr:rowOff>
                  </to>
                </anchor>
              </controlPr>
            </control>
          </mc:Choice>
        </mc:AlternateContent>
        <mc:AlternateContent xmlns:mc="http://schemas.openxmlformats.org/markup-compatibility/2006">
          <mc:Choice Requires="x14">
            <control shapeId="139309" r:id="rId47" name="Option Button 45">
              <controlPr defaultSize="0" autoFill="0" autoLine="0" autoPict="0">
                <anchor moveWithCells="1">
                  <from>
                    <xdr:col>1</xdr:col>
                    <xdr:colOff>438150</xdr:colOff>
                    <xdr:row>50</xdr:row>
                    <xdr:rowOff>31750</xdr:rowOff>
                  </from>
                  <to>
                    <xdr:col>1</xdr:col>
                    <xdr:colOff>990600</xdr:colOff>
                    <xdr:row>50</xdr:row>
                    <xdr:rowOff>184150</xdr:rowOff>
                  </to>
                </anchor>
              </controlPr>
            </control>
          </mc:Choice>
        </mc:AlternateContent>
        <mc:AlternateContent xmlns:mc="http://schemas.openxmlformats.org/markup-compatibility/2006">
          <mc:Choice Requires="x14">
            <control shapeId="139310" r:id="rId48" name="Option Button 46">
              <controlPr defaultSize="0" autoFill="0" autoLine="0" autoPict="0">
                <anchor moveWithCells="1">
                  <from>
                    <xdr:col>1</xdr:col>
                    <xdr:colOff>438150</xdr:colOff>
                    <xdr:row>51</xdr:row>
                    <xdr:rowOff>31750</xdr:rowOff>
                  </from>
                  <to>
                    <xdr:col>1</xdr:col>
                    <xdr:colOff>990600</xdr:colOff>
                    <xdr:row>51</xdr:row>
                    <xdr:rowOff>184150</xdr:rowOff>
                  </to>
                </anchor>
              </controlPr>
            </control>
          </mc:Choice>
        </mc:AlternateContent>
        <mc:AlternateContent xmlns:mc="http://schemas.openxmlformats.org/markup-compatibility/2006">
          <mc:Choice Requires="x14">
            <control shapeId="139311" r:id="rId49" name="Option Button 47">
              <controlPr defaultSize="0" autoFill="0" autoLine="0" autoPict="0">
                <anchor moveWithCells="1">
                  <from>
                    <xdr:col>1</xdr:col>
                    <xdr:colOff>438150</xdr:colOff>
                    <xdr:row>52</xdr:row>
                    <xdr:rowOff>31750</xdr:rowOff>
                  </from>
                  <to>
                    <xdr:col>1</xdr:col>
                    <xdr:colOff>990600</xdr:colOff>
                    <xdr:row>52</xdr:row>
                    <xdr:rowOff>184150</xdr:rowOff>
                  </to>
                </anchor>
              </controlPr>
            </control>
          </mc:Choice>
        </mc:AlternateContent>
        <mc:AlternateContent xmlns:mc="http://schemas.openxmlformats.org/markup-compatibility/2006">
          <mc:Choice Requires="x14">
            <control shapeId="139312" r:id="rId50" name="Option Button 48">
              <controlPr defaultSize="0" autoFill="0" autoLine="0" autoPict="0">
                <anchor moveWithCells="1">
                  <from>
                    <xdr:col>1</xdr:col>
                    <xdr:colOff>438150</xdr:colOff>
                    <xdr:row>53</xdr:row>
                    <xdr:rowOff>31750</xdr:rowOff>
                  </from>
                  <to>
                    <xdr:col>1</xdr:col>
                    <xdr:colOff>990600</xdr:colOff>
                    <xdr:row>53</xdr:row>
                    <xdr:rowOff>184150</xdr:rowOff>
                  </to>
                </anchor>
              </controlPr>
            </control>
          </mc:Choice>
        </mc:AlternateContent>
        <mc:AlternateContent xmlns:mc="http://schemas.openxmlformats.org/markup-compatibility/2006">
          <mc:Choice Requires="x14">
            <control shapeId="139313" r:id="rId51" name="Option Button 49">
              <controlPr defaultSize="0" autoFill="0" autoLine="0" autoPict="0">
                <anchor moveWithCells="1">
                  <from>
                    <xdr:col>1</xdr:col>
                    <xdr:colOff>438150</xdr:colOff>
                    <xdr:row>54</xdr:row>
                    <xdr:rowOff>31750</xdr:rowOff>
                  </from>
                  <to>
                    <xdr:col>1</xdr:col>
                    <xdr:colOff>990600</xdr:colOff>
                    <xdr:row>54</xdr:row>
                    <xdr:rowOff>184150</xdr:rowOff>
                  </to>
                </anchor>
              </controlPr>
            </control>
          </mc:Choice>
        </mc:AlternateContent>
        <mc:AlternateContent xmlns:mc="http://schemas.openxmlformats.org/markup-compatibility/2006">
          <mc:Choice Requires="x14">
            <control shapeId="139314" r:id="rId52" name="Option Button 50">
              <controlPr defaultSize="0" autoFill="0" autoLine="0" autoPict="0">
                <anchor moveWithCells="1">
                  <from>
                    <xdr:col>1</xdr:col>
                    <xdr:colOff>438150</xdr:colOff>
                    <xdr:row>55</xdr:row>
                    <xdr:rowOff>31750</xdr:rowOff>
                  </from>
                  <to>
                    <xdr:col>1</xdr:col>
                    <xdr:colOff>990600</xdr:colOff>
                    <xdr:row>55</xdr:row>
                    <xdr:rowOff>184150</xdr:rowOff>
                  </to>
                </anchor>
              </controlPr>
            </control>
          </mc:Choice>
        </mc:AlternateContent>
        <mc:AlternateContent xmlns:mc="http://schemas.openxmlformats.org/markup-compatibility/2006">
          <mc:Choice Requires="x14">
            <control shapeId="139315" r:id="rId53" name="Option Button 51">
              <controlPr defaultSize="0" autoFill="0" autoLine="0" autoPict="0">
                <anchor moveWithCells="1">
                  <from>
                    <xdr:col>1</xdr:col>
                    <xdr:colOff>438150</xdr:colOff>
                    <xdr:row>56</xdr:row>
                    <xdr:rowOff>31750</xdr:rowOff>
                  </from>
                  <to>
                    <xdr:col>1</xdr:col>
                    <xdr:colOff>990600</xdr:colOff>
                    <xdr:row>56</xdr:row>
                    <xdr:rowOff>184150</xdr:rowOff>
                  </to>
                </anchor>
              </controlPr>
            </control>
          </mc:Choice>
        </mc:AlternateContent>
        <mc:AlternateContent xmlns:mc="http://schemas.openxmlformats.org/markup-compatibility/2006">
          <mc:Choice Requires="x14">
            <control shapeId="139316" r:id="rId54" name="Option Button 52">
              <controlPr defaultSize="0" autoFill="0" autoLine="0" autoPict="0">
                <anchor moveWithCells="1">
                  <from>
                    <xdr:col>1</xdr:col>
                    <xdr:colOff>438150</xdr:colOff>
                    <xdr:row>57</xdr:row>
                    <xdr:rowOff>31750</xdr:rowOff>
                  </from>
                  <to>
                    <xdr:col>1</xdr:col>
                    <xdr:colOff>990600</xdr:colOff>
                    <xdr:row>57</xdr:row>
                    <xdr:rowOff>184150</xdr:rowOff>
                  </to>
                </anchor>
              </controlPr>
            </control>
          </mc:Choice>
        </mc:AlternateContent>
        <mc:AlternateContent xmlns:mc="http://schemas.openxmlformats.org/markup-compatibility/2006">
          <mc:Choice Requires="x14">
            <control shapeId="139317" r:id="rId55" name="Option Button 53">
              <controlPr defaultSize="0" autoFill="0" autoLine="0" autoPict="0">
                <anchor moveWithCells="1">
                  <from>
                    <xdr:col>1</xdr:col>
                    <xdr:colOff>438150</xdr:colOff>
                    <xdr:row>58</xdr:row>
                    <xdr:rowOff>31750</xdr:rowOff>
                  </from>
                  <to>
                    <xdr:col>1</xdr:col>
                    <xdr:colOff>990600</xdr:colOff>
                    <xdr:row>58</xdr:row>
                    <xdr:rowOff>184150</xdr:rowOff>
                  </to>
                </anchor>
              </controlPr>
            </control>
          </mc:Choice>
        </mc:AlternateContent>
        <mc:AlternateContent xmlns:mc="http://schemas.openxmlformats.org/markup-compatibility/2006">
          <mc:Choice Requires="x14">
            <control shapeId="139318" r:id="rId56" name="Option Button 54">
              <controlPr defaultSize="0" autoFill="0" autoLine="0" autoPict="0">
                <anchor moveWithCells="1">
                  <from>
                    <xdr:col>1</xdr:col>
                    <xdr:colOff>438150</xdr:colOff>
                    <xdr:row>59</xdr:row>
                    <xdr:rowOff>31750</xdr:rowOff>
                  </from>
                  <to>
                    <xdr:col>1</xdr:col>
                    <xdr:colOff>990600</xdr:colOff>
                    <xdr:row>59</xdr:row>
                    <xdr:rowOff>184150</xdr:rowOff>
                  </to>
                </anchor>
              </controlPr>
            </control>
          </mc:Choice>
        </mc:AlternateContent>
        <mc:AlternateContent xmlns:mc="http://schemas.openxmlformats.org/markup-compatibility/2006">
          <mc:Choice Requires="x14">
            <control shapeId="139319" r:id="rId57" name="Option Button 55">
              <controlPr defaultSize="0" autoFill="0" autoLine="0" autoPict="0">
                <anchor moveWithCells="1">
                  <from>
                    <xdr:col>1</xdr:col>
                    <xdr:colOff>438150</xdr:colOff>
                    <xdr:row>60</xdr:row>
                    <xdr:rowOff>31750</xdr:rowOff>
                  </from>
                  <to>
                    <xdr:col>1</xdr:col>
                    <xdr:colOff>990600</xdr:colOff>
                    <xdr:row>60</xdr:row>
                    <xdr:rowOff>184150</xdr:rowOff>
                  </to>
                </anchor>
              </controlPr>
            </control>
          </mc:Choice>
        </mc:AlternateContent>
        <mc:AlternateContent xmlns:mc="http://schemas.openxmlformats.org/markup-compatibility/2006">
          <mc:Choice Requires="x14">
            <control shapeId="139320" r:id="rId58" name="Option Button 56">
              <controlPr defaultSize="0" autoFill="0" autoLine="0" autoPict="0">
                <anchor moveWithCells="1">
                  <from>
                    <xdr:col>1</xdr:col>
                    <xdr:colOff>438150</xdr:colOff>
                    <xdr:row>61</xdr:row>
                    <xdr:rowOff>31750</xdr:rowOff>
                  </from>
                  <to>
                    <xdr:col>1</xdr:col>
                    <xdr:colOff>990600</xdr:colOff>
                    <xdr:row>61</xdr:row>
                    <xdr:rowOff>184150</xdr:rowOff>
                  </to>
                </anchor>
              </controlPr>
            </control>
          </mc:Choice>
        </mc:AlternateContent>
        <mc:AlternateContent xmlns:mc="http://schemas.openxmlformats.org/markup-compatibility/2006">
          <mc:Choice Requires="x14">
            <control shapeId="139321" r:id="rId59" name="Option Button 57">
              <controlPr defaultSize="0" autoFill="0" autoLine="0" autoPict="0">
                <anchor moveWithCells="1">
                  <from>
                    <xdr:col>1</xdr:col>
                    <xdr:colOff>438150</xdr:colOff>
                    <xdr:row>62</xdr:row>
                    <xdr:rowOff>31750</xdr:rowOff>
                  </from>
                  <to>
                    <xdr:col>1</xdr:col>
                    <xdr:colOff>990600</xdr:colOff>
                    <xdr:row>62</xdr:row>
                    <xdr:rowOff>184150</xdr:rowOff>
                  </to>
                </anchor>
              </controlPr>
            </control>
          </mc:Choice>
        </mc:AlternateContent>
        <mc:AlternateContent xmlns:mc="http://schemas.openxmlformats.org/markup-compatibility/2006">
          <mc:Choice Requires="x14">
            <control shapeId="139322" r:id="rId60" name="Option Button 58">
              <controlPr defaultSize="0" autoFill="0" autoLine="0" autoPict="0">
                <anchor moveWithCells="1">
                  <from>
                    <xdr:col>1</xdr:col>
                    <xdr:colOff>438150</xdr:colOff>
                    <xdr:row>63</xdr:row>
                    <xdr:rowOff>31750</xdr:rowOff>
                  </from>
                  <to>
                    <xdr:col>1</xdr:col>
                    <xdr:colOff>984250</xdr:colOff>
                    <xdr:row>63</xdr:row>
                    <xdr:rowOff>184150</xdr:rowOff>
                  </to>
                </anchor>
              </controlPr>
            </control>
          </mc:Choice>
        </mc:AlternateContent>
        <mc:AlternateContent xmlns:mc="http://schemas.openxmlformats.org/markup-compatibility/2006">
          <mc:Choice Requires="x14">
            <control shapeId="139323" r:id="rId61" name="Option Button 59">
              <controlPr defaultSize="0" autoFill="0" autoLine="0" autoPict="0">
                <anchor moveWithCells="1">
                  <from>
                    <xdr:col>1</xdr:col>
                    <xdr:colOff>438150</xdr:colOff>
                    <xdr:row>64</xdr:row>
                    <xdr:rowOff>31750</xdr:rowOff>
                  </from>
                  <to>
                    <xdr:col>1</xdr:col>
                    <xdr:colOff>990600</xdr:colOff>
                    <xdr:row>64</xdr:row>
                    <xdr:rowOff>184150</xdr:rowOff>
                  </to>
                </anchor>
              </controlPr>
            </control>
          </mc:Choice>
        </mc:AlternateContent>
        <mc:AlternateContent xmlns:mc="http://schemas.openxmlformats.org/markup-compatibility/2006">
          <mc:Choice Requires="x14">
            <control shapeId="139324" r:id="rId62" name="Option Button 60">
              <controlPr defaultSize="0" autoFill="0" autoLine="0" autoPict="0">
                <anchor moveWithCells="1">
                  <from>
                    <xdr:col>1</xdr:col>
                    <xdr:colOff>438150</xdr:colOff>
                    <xdr:row>65</xdr:row>
                    <xdr:rowOff>31750</xdr:rowOff>
                  </from>
                  <to>
                    <xdr:col>1</xdr:col>
                    <xdr:colOff>990600</xdr:colOff>
                    <xdr:row>65</xdr:row>
                    <xdr:rowOff>184150</xdr:rowOff>
                  </to>
                </anchor>
              </controlPr>
            </control>
          </mc:Choice>
        </mc:AlternateContent>
        <mc:AlternateContent xmlns:mc="http://schemas.openxmlformats.org/markup-compatibility/2006">
          <mc:Choice Requires="x14">
            <control shapeId="139325" r:id="rId63" name="Option Button 61">
              <controlPr defaultSize="0" autoFill="0" autoLine="0" autoPict="0">
                <anchor moveWithCells="1">
                  <from>
                    <xdr:col>1</xdr:col>
                    <xdr:colOff>438150</xdr:colOff>
                    <xdr:row>66</xdr:row>
                    <xdr:rowOff>31750</xdr:rowOff>
                  </from>
                  <to>
                    <xdr:col>1</xdr:col>
                    <xdr:colOff>990600</xdr:colOff>
                    <xdr:row>66</xdr:row>
                    <xdr:rowOff>184150</xdr:rowOff>
                  </to>
                </anchor>
              </controlPr>
            </control>
          </mc:Choice>
        </mc:AlternateContent>
        <mc:AlternateContent xmlns:mc="http://schemas.openxmlformats.org/markup-compatibility/2006">
          <mc:Choice Requires="x14">
            <control shapeId="139326" r:id="rId64" name="Option Button 62">
              <controlPr defaultSize="0" autoFill="0" autoLine="0" autoPict="0">
                <anchor moveWithCells="1">
                  <from>
                    <xdr:col>1</xdr:col>
                    <xdr:colOff>438150</xdr:colOff>
                    <xdr:row>67</xdr:row>
                    <xdr:rowOff>31750</xdr:rowOff>
                  </from>
                  <to>
                    <xdr:col>1</xdr:col>
                    <xdr:colOff>990600</xdr:colOff>
                    <xdr:row>67</xdr:row>
                    <xdr:rowOff>184150</xdr:rowOff>
                  </to>
                </anchor>
              </controlPr>
            </control>
          </mc:Choice>
        </mc:AlternateContent>
        <mc:AlternateContent xmlns:mc="http://schemas.openxmlformats.org/markup-compatibility/2006">
          <mc:Choice Requires="x14">
            <control shapeId="139327" r:id="rId65" name="Option Button 63">
              <controlPr defaultSize="0" autoFill="0" autoLine="0" autoPict="0">
                <anchor moveWithCells="1">
                  <from>
                    <xdr:col>1</xdr:col>
                    <xdr:colOff>438150</xdr:colOff>
                    <xdr:row>68</xdr:row>
                    <xdr:rowOff>31750</xdr:rowOff>
                  </from>
                  <to>
                    <xdr:col>1</xdr:col>
                    <xdr:colOff>990600</xdr:colOff>
                    <xdr:row>68</xdr:row>
                    <xdr:rowOff>184150</xdr:rowOff>
                  </to>
                </anchor>
              </controlPr>
            </control>
          </mc:Choice>
        </mc:AlternateContent>
        <mc:AlternateContent xmlns:mc="http://schemas.openxmlformats.org/markup-compatibility/2006">
          <mc:Choice Requires="x14">
            <control shapeId="139328" r:id="rId66" name="Option Button 64">
              <controlPr defaultSize="0" autoFill="0" autoLine="0" autoPict="0">
                <anchor moveWithCells="1">
                  <from>
                    <xdr:col>1</xdr:col>
                    <xdr:colOff>438150</xdr:colOff>
                    <xdr:row>69</xdr:row>
                    <xdr:rowOff>31750</xdr:rowOff>
                  </from>
                  <to>
                    <xdr:col>1</xdr:col>
                    <xdr:colOff>990600</xdr:colOff>
                    <xdr:row>69</xdr:row>
                    <xdr:rowOff>184150</xdr:rowOff>
                  </to>
                </anchor>
              </controlPr>
            </control>
          </mc:Choice>
        </mc:AlternateContent>
        <mc:AlternateContent xmlns:mc="http://schemas.openxmlformats.org/markup-compatibility/2006">
          <mc:Choice Requires="x14">
            <control shapeId="139329" r:id="rId67" name="Option Button 65">
              <controlPr defaultSize="0" autoFill="0" autoLine="0" autoPict="0">
                <anchor moveWithCells="1">
                  <from>
                    <xdr:col>1</xdr:col>
                    <xdr:colOff>438150</xdr:colOff>
                    <xdr:row>70</xdr:row>
                    <xdr:rowOff>31750</xdr:rowOff>
                  </from>
                  <to>
                    <xdr:col>1</xdr:col>
                    <xdr:colOff>990600</xdr:colOff>
                    <xdr:row>70</xdr:row>
                    <xdr:rowOff>184150</xdr:rowOff>
                  </to>
                </anchor>
              </controlPr>
            </control>
          </mc:Choice>
        </mc:AlternateContent>
        <mc:AlternateContent xmlns:mc="http://schemas.openxmlformats.org/markup-compatibility/2006">
          <mc:Choice Requires="x14">
            <control shapeId="139330" r:id="rId68" name="Option Button 66">
              <controlPr defaultSize="0" autoFill="0" autoLine="0" autoPict="0">
                <anchor moveWithCells="1">
                  <from>
                    <xdr:col>1</xdr:col>
                    <xdr:colOff>438150</xdr:colOff>
                    <xdr:row>71</xdr:row>
                    <xdr:rowOff>31750</xdr:rowOff>
                  </from>
                  <to>
                    <xdr:col>1</xdr:col>
                    <xdr:colOff>990600</xdr:colOff>
                    <xdr:row>71</xdr:row>
                    <xdr:rowOff>184150</xdr:rowOff>
                  </to>
                </anchor>
              </controlPr>
            </control>
          </mc:Choice>
        </mc:AlternateContent>
        <mc:AlternateContent xmlns:mc="http://schemas.openxmlformats.org/markup-compatibility/2006">
          <mc:Choice Requires="x14">
            <control shapeId="139331" r:id="rId69" name="Option Button 67">
              <controlPr defaultSize="0" autoFill="0" autoLine="0" autoPict="0">
                <anchor moveWithCells="1">
                  <from>
                    <xdr:col>1</xdr:col>
                    <xdr:colOff>438150</xdr:colOff>
                    <xdr:row>72</xdr:row>
                    <xdr:rowOff>31750</xdr:rowOff>
                  </from>
                  <to>
                    <xdr:col>1</xdr:col>
                    <xdr:colOff>990600</xdr:colOff>
                    <xdr:row>72</xdr:row>
                    <xdr:rowOff>184150</xdr:rowOff>
                  </to>
                </anchor>
              </controlPr>
            </control>
          </mc:Choice>
        </mc:AlternateContent>
        <mc:AlternateContent xmlns:mc="http://schemas.openxmlformats.org/markup-compatibility/2006">
          <mc:Choice Requires="x14">
            <control shapeId="139332" r:id="rId70" name="Option Button 68">
              <controlPr defaultSize="0" autoFill="0" autoLine="0" autoPict="0">
                <anchor moveWithCells="1">
                  <from>
                    <xdr:col>1</xdr:col>
                    <xdr:colOff>438150</xdr:colOff>
                    <xdr:row>73</xdr:row>
                    <xdr:rowOff>31750</xdr:rowOff>
                  </from>
                  <to>
                    <xdr:col>1</xdr:col>
                    <xdr:colOff>990600</xdr:colOff>
                    <xdr:row>73</xdr:row>
                    <xdr:rowOff>184150</xdr:rowOff>
                  </to>
                </anchor>
              </controlPr>
            </control>
          </mc:Choice>
        </mc:AlternateContent>
        <mc:AlternateContent xmlns:mc="http://schemas.openxmlformats.org/markup-compatibility/2006">
          <mc:Choice Requires="x14">
            <control shapeId="139333" r:id="rId71" name="Option Button 69">
              <controlPr defaultSize="0" autoFill="0" autoLine="0" autoPict="0">
                <anchor moveWithCells="1">
                  <from>
                    <xdr:col>1</xdr:col>
                    <xdr:colOff>438150</xdr:colOff>
                    <xdr:row>74</xdr:row>
                    <xdr:rowOff>31750</xdr:rowOff>
                  </from>
                  <to>
                    <xdr:col>1</xdr:col>
                    <xdr:colOff>990600</xdr:colOff>
                    <xdr:row>74</xdr:row>
                    <xdr:rowOff>184150</xdr:rowOff>
                  </to>
                </anchor>
              </controlPr>
            </control>
          </mc:Choice>
        </mc:AlternateContent>
        <mc:AlternateContent xmlns:mc="http://schemas.openxmlformats.org/markup-compatibility/2006">
          <mc:Choice Requires="x14">
            <control shapeId="139334" r:id="rId72" name="Option Button 70">
              <controlPr defaultSize="0" autoFill="0" autoLine="0" autoPict="0">
                <anchor moveWithCells="1">
                  <from>
                    <xdr:col>1</xdr:col>
                    <xdr:colOff>438150</xdr:colOff>
                    <xdr:row>75</xdr:row>
                    <xdr:rowOff>31750</xdr:rowOff>
                  </from>
                  <to>
                    <xdr:col>1</xdr:col>
                    <xdr:colOff>990600</xdr:colOff>
                    <xdr:row>75</xdr:row>
                    <xdr:rowOff>184150</xdr:rowOff>
                  </to>
                </anchor>
              </controlPr>
            </control>
          </mc:Choice>
        </mc:AlternateContent>
        <mc:AlternateContent xmlns:mc="http://schemas.openxmlformats.org/markup-compatibility/2006">
          <mc:Choice Requires="x14">
            <control shapeId="139335" r:id="rId73" name="Option Button 71">
              <controlPr defaultSize="0" autoFill="0" autoLine="0" autoPict="0">
                <anchor moveWithCells="1">
                  <from>
                    <xdr:col>1</xdr:col>
                    <xdr:colOff>438150</xdr:colOff>
                    <xdr:row>76</xdr:row>
                    <xdr:rowOff>31750</xdr:rowOff>
                  </from>
                  <to>
                    <xdr:col>1</xdr:col>
                    <xdr:colOff>990600</xdr:colOff>
                    <xdr:row>76</xdr:row>
                    <xdr:rowOff>184150</xdr:rowOff>
                  </to>
                </anchor>
              </controlPr>
            </control>
          </mc:Choice>
        </mc:AlternateContent>
        <mc:AlternateContent xmlns:mc="http://schemas.openxmlformats.org/markup-compatibility/2006">
          <mc:Choice Requires="x14">
            <control shapeId="139336" r:id="rId74" name="Option Button 72">
              <controlPr defaultSize="0" autoFill="0" autoLine="0" autoPict="0">
                <anchor moveWithCells="1">
                  <from>
                    <xdr:col>1</xdr:col>
                    <xdr:colOff>438150</xdr:colOff>
                    <xdr:row>77</xdr:row>
                    <xdr:rowOff>31750</xdr:rowOff>
                  </from>
                  <to>
                    <xdr:col>1</xdr:col>
                    <xdr:colOff>990600</xdr:colOff>
                    <xdr:row>77</xdr:row>
                    <xdr:rowOff>184150</xdr:rowOff>
                  </to>
                </anchor>
              </controlPr>
            </control>
          </mc:Choice>
        </mc:AlternateContent>
        <mc:AlternateContent xmlns:mc="http://schemas.openxmlformats.org/markup-compatibility/2006">
          <mc:Choice Requires="x14">
            <control shapeId="139337" r:id="rId75" name="Option Button 73">
              <controlPr defaultSize="0" autoFill="0" autoLine="0" autoPict="0">
                <anchor moveWithCells="1">
                  <from>
                    <xdr:col>1</xdr:col>
                    <xdr:colOff>438150</xdr:colOff>
                    <xdr:row>78</xdr:row>
                    <xdr:rowOff>31750</xdr:rowOff>
                  </from>
                  <to>
                    <xdr:col>1</xdr:col>
                    <xdr:colOff>990600</xdr:colOff>
                    <xdr:row>78</xdr:row>
                    <xdr:rowOff>184150</xdr:rowOff>
                  </to>
                </anchor>
              </controlPr>
            </control>
          </mc:Choice>
        </mc:AlternateContent>
        <mc:AlternateContent xmlns:mc="http://schemas.openxmlformats.org/markup-compatibility/2006">
          <mc:Choice Requires="x14">
            <control shapeId="139338" r:id="rId76" name="Option Button 74">
              <controlPr defaultSize="0" autoFill="0" autoLine="0" autoPict="0">
                <anchor moveWithCells="1">
                  <from>
                    <xdr:col>1</xdr:col>
                    <xdr:colOff>438150</xdr:colOff>
                    <xdr:row>79</xdr:row>
                    <xdr:rowOff>31750</xdr:rowOff>
                  </from>
                  <to>
                    <xdr:col>1</xdr:col>
                    <xdr:colOff>990600</xdr:colOff>
                    <xdr:row>79</xdr:row>
                    <xdr:rowOff>184150</xdr:rowOff>
                  </to>
                </anchor>
              </controlPr>
            </control>
          </mc:Choice>
        </mc:AlternateContent>
        <mc:AlternateContent xmlns:mc="http://schemas.openxmlformats.org/markup-compatibility/2006">
          <mc:Choice Requires="x14">
            <control shapeId="139339" r:id="rId77" name="Option Button 75">
              <controlPr defaultSize="0" autoFill="0" autoLine="0" autoPict="0">
                <anchor moveWithCells="1">
                  <from>
                    <xdr:col>1</xdr:col>
                    <xdr:colOff>438150</xdr:colOff>
                    <xdr:row>80</xdr:row>
                    <xdr:rowOff>31750</xdr:rowOff>
                  </from>
                  <to>
                    <xdr:col>1</xdr:col>
                    <xdr:colOff>990600</xdr:colOff>
                    <xdr:row>80</xdr:row>
                    <xdr:rowOff>184150</xdr:rowOff>
                  </to>
                </anchor>
              </controlPr>
            </control>
          </mc:Choice>
        </mc:AlternateContent>
        <mc:AlternateContent xmlns:mc="http://schemas.openxmlformats.org/markup-compatibility/2006">
          <mc:Choice Requires="x14">
            <control shapeId="139340" r:id="rId78" name="Option Button 76">
              <controlPr defaultSize="0" autoFill="0" autoLine="0" autoPict="0">
                <anchor moveWithCells="1">
                  <from>
                    <xdr:col>1</xdr:col>
                    <xdr:colOff>438150</xdr:colOff>
                    <xdr:row>81</xdr:row>
                    <xdr:rowOff>31750</xdr:rowOff>
                  </from>
                  <to>
                    <xdr:col>1</xdr:col>
                    <xdr:colOff>990600</xdr:colOff>
                    <xdr:row>81</xdr:row>
                    <xdr:rowOff>184150</xdr:rowOff>
                  </to>
                </anchor>
              </controlPr>
            </control>
          </mc:Choice>
        </mc:AlternateContent>
        <mc:AlternateContent xmlns:mc="http://schemas.openxmlformats.org/markup-compatibility/2006">
          <mc:Choice Requires="x14">
            <control shapeId="139341" r:id="rId79" name="Option Button 77">
              <controlPr defaultSize="0" autoFill="0" autoLine="0" autoPict="0">
                <anchor moveWithCells="1">
                  <from>
                    <xdr:col>1</xdr:col>
                    <xdr:colOff>438150</xdr:colOff>
                    <xdr:row>82</xdr:row>
                    <xdr:rowOff>31750</xdr:rowOff>
                  </from>
                  <to>
                    <xdr:col>1</xdr:col>
                    <xdr:colOff>990600</xdr:colOff>
                    <xdr:row>82</xdr:row>
                    <xdr:rowOff>184150</xdr:rowOff>
                  </to>
                </anchor>
              </controlPr>
            </control>
          </mc:Choice>
        </mc:AlternateContent>
        <mc:AlternateContent xmlns:mc="http://schemas.openxmlformats.org/markup-compatibility/2006">
          <mc:Choice Requires="x14">
            <control shapeId="139342" r:id="rId80" name="Option Button 78">
              <controlPr defaultSize="0" autoFill="0" autoLine="0" autoPict="0">
                <anchor moveWithCells="1">
                  <from>
                    <xdr:col>1</xdr:col>
                    <xdr:colOff>438150</xdr:colOff>
                    <xdr:row>83</xdr:row>
                    <xdr:rowOff>31750</xdr:rowOff>
                  </from>
                  <to>
                    <xdr:col>1</xdr:col>
                    <xdr:colOff>990600</xdr:colOff>
                    <xdr:row>83</xdr:row>
                    <xdr:rowOff>184150</xdr:rowOff>
                  </to>
                </anchor>
              </controlPr>
            </control>
          </mc:Choice>
        </mc:AlternateContent>
        <mc:AlternateContent xmlns:mc="http://schemas.openxmlformats.org/markup-compatibility/2006">
          <mc:Choice Requires="x14">
            <control shapeId="139343" r:id="rId81" name="Option Button 79">
              <controlPr defaultSize="0" autoFill="0" autoLine="0" autoPict="0">
                <anchor moveWithCells="1">
                  <from>
                    <xdr:col>1</xdr:col>
                    <xdr:colOff>438150</xdr:colOff>
                    <xdr:row>84</xdr:row>
                    <xdr:rowOff>31750</xdr:rowOff>
                  </from>
                  <to>
                    <xdr:col>1</xdr:col>
                    <xdr:colOff>990600</xdr:colOff>
                    <xdr:row>84</xdr:row>
                    <xdr:rowOff>184150</xdr:rowOff>
                  </to>
                </anchor>
              </controlPr>
            </control>
          </mc:Choice>
        </mc:AlternateContent>
        <mc:AlternateContent xmlns:mc="http://schemas.openxmlformats.org/markup-compatibility/2006">
          <mc:Choice Requires="x14">
            <control shapeId="139344" r:id="rId82" name="Option Button 80">
              <controlPr defaultSize="0" autoFill="0" autoLine="0" autoPict="0">
                <anchor moveWithCells="1">
                  <from>
                    <xdr:col>1</xdr:col>
                    <xdr:colOff>438150</xdr:colOff>
                    <xdr:row>85</xdr:row>
                    <xdr:rowOff>31750</xdr:rowOff>
                  </from>
                  <to>
                    <xdr:col>1</xdr:col>
                    <xdr:colOff>990600</xdr:colOff>
                    <xdr:row>85</xdr:row>
                    <xdr:rowOff>184150</xdr:rowOff>
                  </to>
                </anchor>
              </controlPr>
            </control>
          </mc:Choice>
        </mc:AlternateContent>
        <mc:AlternateContent xmlns:mc="http://schemas.openxmlformats.org/markup-compatibility/2006">
          <mc:Choice Requires="x14">
            <control shapeId="139345" r:id="rId83" name="Option Button 81">
              <controlPr defaultSize="0" autoFill="0" autoLine="0" autoPict="0">
                <anchor moveWithCells="1">
                  <from>
                    <xdr:col>1</xdr:col>
                    <xdr:colOff>438150</xdr:colOff>
                    <xdr:row>86</xdr:row>
                    <xdr:rowOff>31750</xdr:rowOff>
                  </from>
                  <to>
                    <xdr:col>1</xdr:col>
                    <xdr:colOff>990600</xdr:colOff>
                    <xdr:row>86</xdr:row>
                    <xdr:rowOff>184150</xdr:rowOff>
                  </to>
                </anchor>
              </controlPr>
            </control>
          </mc:Choice>
        </mc:AlternateContent>
        <mc:AlternateContent xmlns:mc="http://schemas.openxmlformats.org/markup-compatibility/2006">
          <mc:Choice Requires="x14">
            <control shapeId="139346" r:id="rId84" name="Option Button 82">
              <controlPr defaultSize="0" autoFill="0" autoLine="0" autoPict="0">
                <anchor moveWithCells="1">
                  <from>
                    <xdr:col>1</xdr:col>
                    <xdr:colOff>438150</xdr:colOff>
                    <xdr:row>87</xdr:row>
                    <xdr:rowOff>31750</xdr:rowOff>
                  </from>
                  <to>
                    <xdr:col>1</xdr:col>
                    <xdr:colOff>990600</xdr:colOff>
                    <xdr:row>87</xdr:row>
                    <xdr:rowOff>184150</xdr:rowOff>
                  </to>
                </anchor>
              </controlPr>
            </control>
          </mc:Choice>
        </mc:AlternateContent>
        <mc:AlternateContent xmlns:mc="http://schemas.openxmlformats.org/markup-compatibility/2006">
          <mc:Choice Requires="x14">
            <control shapeId="139347" r:id="rId85" name="Option Button 83">
              <controlPr defaultSize="0" autoFill="0" autoLine="0" autoPict="0">
                <anchor moveWithCells="1">
                  <from>
                    <xdr:col>1</xdr:col>
                    <xdr:colOff>438150</xdr:colOff>
                    <xdr:row>88</xdr:row>
                    <xdr:rowOff>31750</xdr:rowOff>
                  </from>
                  <to>
                    <xdr:col>1</xdr:col>
                    <xdr:colOff>990600</xdr:colOff>
                    <xdr:row>88</xdr:row>
                    <xdr:rowOff>184150</xdr:rowOff>
                  </to>
                </anchor>
              </controlPr>
            </control>
          </mc:Choice>
        </mc:AlternateContent>
        <mc:AlternateContent xmlns:mc="http://schemas.openxmlformats.org/markup-compatibility/2006">
          <mc:Choice Requires="x14">
            <control shapeId="139348" r:id="rId86" name="Option Button 84">
              <controlPr defaultSize="0" autoFill="0" autoLine="0" autoPict="0">
                <anchor moveWithCells="1">
                  <from>
                    <xdr:col>1</xdr:col>
                    <xdr:colOff>438150</xdr:colOff>
                    <xdr:row>89</xdr:row>
                    <xdr:rowOff>31750</xdr:rowOff>
                  </from>
                  <to>
                    <xdr:col>1</xdr:col>
                    <xdr:colOff>990600</xdr:colOff>
                    <xdr:row>89</xdr:row>
                    <xdr:rowOff>184150</xdr:rowOff>
                  </to>
                </anchor>
              </controlPr>
            </control>
          </mc:Choice>
        </mc:AlternateContent>
        <mc:AlternateContent xmlns:mc="http://schemas.openxmlformats.org/markup-compatibility/2006">
          <mc:Choice Requires="x14">
            <control shapeId="139349" r:id="rId87" name="Option Button 85">
              <controlPr defaultSize="0" autoFill="0" autoLine="0" autoPict="0">
                <anchor moveWithCells="1">
                  <from>
                    <xdr:col>1</xdr:col>
                    <xdr:colOff>438150</xdr:colOff>
                    <xdr:row>90</xdr:row>
                    <xdr:rowOff>31750</xdr:rowOff>
                  </from>
                  <to>
                    <xdr:col>1</xdr:col>
                    <xdr:colOff>990600</xdr:colOff>
                    <xdr:row>90</xdr:row>
                    <xdr:rowOff>184150</xdr:rowOff>
                  </to>
                </anchor>
              </controlPr>
            </control>
          </mc:Choice>
        </mc:AlternateContent>
        <mc:AlternateContent xmlns:mc="http://schemas.openxmlformats.org/markup-compatibility/2006">
          <mc:Choice Requires="x14">
            <control shapeId="139350" r:id="rId88" name="Option Button 86">
              <controlPr defaultSize="0" autoFill="0" autoLine="0" autoPict="0">
                <anchor moveWithCells="1">
                  <from>
                    <xdr:col>1</xdr:col>
                    <xdr:colOff>438150</xdr:colOff>
                    <xdr:row>91</xdr:row>
                    <xdr:rowOff>31750</xdr:rowOff>
                  </from>
                  <to>
                    <xdr:col>1</xdr:col>
                    <xdr:colOff>990600</xdr:colOff>
                    <xdr:row>91</xdr:row>
                    <xdr:rowOff>184150</xdr:rowOff>
                  </to>
                </anchor>
              </controlPr>
            </control>
          </mc:Choice>
        </mc:AlternateContent>
        <mc:AlternateContent xmlns:mc="http://schemas.openxmlformats.org/markup-compatibility/2006">
          <mc:Choice Requires="x14">
            <control shapeId="139351" r:id="rId89" name="Option Button 87">
              <controlPr defaultSize="0" autoFill="0" autoLine="0" autoPict="0">
                <anchor moveWithCells="1">
                  <from>
                    <xdr:col>1</xdr:col>
                    <xdr:colOff>438150</xdr:colOff>
                    <xdr:row>92</xdr:row>
                    <xdr:rowOff>31750</xdr:rowOff>
                  </from>
                  <to>
                    <xdr:col>1</xdr:col>
                    <xdr:colOff>990600</xdr:colOff>
                    <xdr:row>92</xdr:row>
                    <xdr:rowOff>184150</xdr:rowOff>
                  </to>
                </anchor>
              </controlPr>
            </control>
          </mc:Choice>
        </mc:AlternateContent>
        <mc:AlternateContent xmlns:mc="http://schemas.openxmlformats.org/markup-compatibility/2006">
          <mc:Choice Requires="x14">
            <control shapeId="139352" r:id="rId90" name="Option Button 88">
              <controlPr defaultSize="0" autoFill="0" autoLine="0" autoPict="0">
                <anchor moveWithCells="1">
                  <from>
                    <xdr:col>1</xdr:col>
                    <xdr:colOff>438150</xdr:colOff>
                    <xdr:row>93</xdr:row>
                    <xdr:rowOff>31750</xdr:rowOff>
                  </from>
                  <to>
                    <xdr:col>1</xdr:col>
                    <xdr:colOff>990600</xdr:colOff>
                    <xdr:row>93</xdr:row>
                    <xdr:rowOff>184150</xdr:rowOff>
                  </to>
                </anchor>
              </controlPr>
            </control>
          </mc:Choice>
        </mc:AlternateContent>
        <mc:AlternateContent xmlns:mc="http://schemas.openxmlformats.org/markup-compatibility/2006">
          <mc:Choice Requires="x14">
            <control shapeId="139353" r:id="rId91" name="Option Button 89">
              <controlPr defaultSize="0" autoFill="0" autoLine="0" autoPict="0">
                <anchor moveWithCells="1">
                  <from>
                    <xdr:col>1</xdr:col>
                    <xdr:colOff>438150</xdr:colOff>
                    <xdr:row>94</xdr:row>
                    <xdr:rowOff>31750</xdr:rowOff>
                  </from>
                  <to>
                    <xdr:col>1</xdr:col>
                    <xdr:colOff>984250</xdr:colOff>
                    <xdr:row>94</xdr:row>
                    <xdr:rowOff>184150</xdr:rowOff>
                  </to>
                </anchor>
              </controlPr>
            </control>
          </mc:Choice>
        </mc:AlternateContent>
        <mc:AlternateContent xmlns:mc="http://schemas.openxmlformats.org/markup-compatibility/2006">
          <mc:Choice Requires="x14">
            <control shapeId="139354" r:id="rId92" name="Option Button 90">
              <controlPr defaultSize="0" autoFill="0" autoLine="0" autoPict="0">
                <anchor moveWithCells="1">
                  <from>
                    <xdr:col>1</xdr:col>
                    <xdr:colOff>438150</xdr:colOff>
                    <xdr:row>95</xdr:row>
                    <xdr:rowOff>31750</xdr:rowOff>
                  </from>
                  <to>
                    <xdr:col>1</xdr:col>
                    <xdr:colOff>990600</xdr:colOff>
                    <xdr:row>95</xdr:row>
                    <xdr:rowOff>184150</xdr:rowOff>
                  </to>
                </anchor>
              </controlPr>
            </control>
          </mc:Choice>
        </mc:AlternateContent>
        <mc:AlternateContent xmlns:mc="http://schemas.openxmlformats.org/markup-compatibility/2006">
          <mc:Choice Requires="x14">
            <control shapeId="139355" r:id="rId93" name="Option Button 91">
              <controlPr defaultSize="0" autoFill="0" autoLine="0" autoPict="0">
                <anchor moveWithCells="1">
                  <from>
                    <xdr:col>1</xdr:col>
                    <xdr:colOff>438150</xdr:colOff>
                    <xdr:row>96</xdr:row>
                    <xdr:rowOff>31750</xdr:rowOff>
                  </from>
                  <to>
                    <xdr:col>1</xdr:col>
                    <xdr:colOff>990600</xdr:colOff>
                    <xdr:row>96</xdr:row>
                    <xdr:rowOff>184150</xdr:rowOff>
                  </to>
                </anchor>
              </controlPr>
            </control>
          </mc:Choice>
        </mc:AlternateContent>
        <mc:AlternateContent xmlns:mc="http://schemas.openxmlformats.org/markup-compatibility/2006">
          <mc:Choice Requires="x14">
            <control shapeId="139356" r:id="rId94" name="Option Button 92">
              <controlPr defaultSize="0" autoFill="0" autoLine="0" autoPict="0">
                <anchor moveWithCells="1">
                  <from>
                    <xdr:col>1</xdr:col>
                    <xdr:colOff>438150</xdr:colOff>
                    <xdr:row>97</xdr:row>
                    <xdr:rowOff>31750</xdr:rowOff>
                  </from>
                  <to>
                    <xdr:col>1</xdr:col>
                    <xdr:colOff>990600</xdr:colOff>
                    <xdr:row>97</xdr:row>
                    <xdr:rowOff>184150</xdr:rowOff>
                  </to>
                </anchor>
              </controlPr>
            </control>
          </mc:Choice>
        </mc:AlternateContent>
        <mc:AlternateContent xmlns:mc="http://schemas.openxmlformats.org/markup-compatibility/2006">
          <mc:Choice Requires="x14">
            <control shapeId="139357" r:id="rId95" name="Option Button 93">
              <controlPr defaultSize="0" autoFill="0" autoLine="0" autoPict="0">
                <anchor moveWithCells="1">
                  <from>
                    <xdr:col>1</xdr:col>
                    <xdr:colOff>438150</xdr:colOff>
                    <xdr:row>98</xdr:row>
                    <xdr:rowOff>31750</xdr:rowOff>
                  </from>
                  <to>
                    <xdr:col>1</xdr:col>
                    <xdr:colOff>990600</xdr:colOff>
                    <xdr:row>98</xdr:row>
                    <xdr:rowOff>184150</xdr:rowOff>
                  </to>
                </anchor>
              </controlPr>
            </control>
          </mc:Choice>
        </mc:AlternateContent>
        <mc:AlternateContent xmlns:mc="http://schemas.openxmlformats.org/markup-compatibility/2006">
          <mc:Choice Requires="x14">
            <control shapeId="139358" r:id="rId96" name="Option Button 94">
              <controlPr defaultSize="0" autoFill="0" autoLine="0" autoPict="0">
                <anchor moveWithCells="1">
                  <from>
                    <xdr:col>1</xdr:col>
                    <xdr:colOff>438150</xdr:colOff>
                    <xdr:row>99</xdr:row>
                    <xdr:rowOff>31750</xdr:rowOff>
                  </from>
                  <to>
                    <xdr:col>1</xdr:col>
                    <xdr:colOff>990600</xdr:colOff>
                    <xdr:row>99</xdr:row>
                    <xdr:rowOff>184150</xdr:rowOff>
                  </to>
                </anchor>
              </controlPr>
            </control>
          </mc:Choice>
        </mc:AlternateContent>
        <mc:AlternateContent xmlns:mc="http://schemas.openxmlformats.org/markup-compatibility/2006">
          <mc:Choice Requires="x14">
            <control shapeId="139359" r:id="rId97" name="Option Button 95">
              <controlPr defaultSize="0" autoFill="0" autoLine="0" autoPict="0">
                <anchor moveWithCells="1">
                  <from>
                    <xdr:col>1</xdr:col>
                    <xdr:colOff>438150</xdr:colOff>
                    <xdr:row>100</xdr:row>
                    <xdr:rowOff>31750</xdr:rowOff>
                  </from>
                  <to>
                    <xdr:col>1</xdr:col>
                    <xdr:colOff>990600</xdr:colOff>
                    <xdr:row>100</xdr:row>
                    <xdr:rowOff>184150</xdr:rowOff>
                  </to>
                </anchor>
              </controlPr>
            </control>
          </mc:Choice>
        </mc:AlternateContent>
        <mc:AlternateContent xmlns:mc="http://schemas.openxmlformats.org/markup-compatibility/2006">
          <mc:Choice Requires="x14">
            <control shapeId="139360" r:id="rId98" name="Option Button 96">
              <controlPr defaultSize="0" autoFill="0" autoLine="0" autoPict="0">
                <anchor moveWithCells="1">
                  <from>
                    <xdr:col>1</xdr:col>
                    <xdr:colOff>438150</xdr:colOff>
                    <xdr:row>101</xdr:row>
                    <xdr:rowOff>31750</xdr:rowOff>
                  </from>
                  <to>
                    <xdr:col>1</xdr:col>
                    <xdr:colOff>990600</xdr:colOff>
                    <xdr:row>101</xdr:row>
                    <xdr:rowOff>184150</xdr:rowOff>
                  </to>
                </anchor>
              </controlPr>
            </control>
          </mc:Choice>
        </mc:AlternateContent>
        <mc:AlternateContent xmlns:mc="http://schemas.openxmlformats.org/markup-compatibility/2006">
          <mc:Choice Requires="x14">
            <control shapeId="139361" r:id="rId99" name="Option Button 97">
              <controlPr defaultSize="0" autoFill="0" autoLine="0" autoPict="0">
                <anchor moveWithCells="1">
                  <from>
                    <xdr:col>1</xdr:col>
                    <xdr:colOff>438150</xdr:colOff>
                    <xdr:row>102</xdr:row>
                    <xdr:rowOff>31750</xdr:rowOff>
                  </from>
                  <to>
                    <xdr:col>1</xdr:col>
                    <xdr:colOff>990600</xdr:colOff>
                    <xdr:row>102</xdr:row>
                    <xdr:rowOff>184150</xdr:rowOff>
                  </to>
                </anchor>
              </controlPr>
            </control>
          </mc:Choice>
        </mc:AlternateContent>
        <mc:AlternateContent xmlns:mc="http://schemas.openxmlformats.org/markup-compatibility/2006">
          <mc:Choice Requires="x14">
            <control shapeId="139362" r:id="rId100" name="Option Button 98">
              <controlPr defaultSize="0" autoFill="0" autoLine="0" autoPict="0">
                <anchor moveWithCells="1">
                  <from>
                    <xdr:col>1</xdr:col>
                    <xdr:colOff>438150</xdr:colOff>
                    <xdr:row>103</xdr:row>
                    <xdr:rowOff>31750</xdr:rowOff>
                  </from>
                  <to>
                    <xdr:col>1</xdr:col>
                    <xdr:colOff>990600</xdr:colOff>
                    <xdr:row>103</xdr:row>
                    <xdr:rowOff>184150</xdr:rowOff>
                  </to>
                </anchor>
              </controlPr>
            </control>
          </mc:Choice>
        </mc:AlternateContent>
        <mc:AlternateContent xmlns:mc="http://schemas.openxmlformats.org/markup-compatibility/2006">
          <mc:Choice Requires="x14">
            <control shapeId="139363" r:id="rId101" name="Option Button 99">
              <controlPr defaultSize="0" autoFill="0" autoLine="0" autoPict="0">
                <anchor moveWithCells="1">
                  <from>
                    <xdr:col>1</xdr:col>
                    <xdr:colOff>438150</xdr:colOff>
                    <xdr:row>104</xdr:row>
                    <xdr:rowOff>31750</xdr:rowOff>
                  </from>
                  <to>
                    <xdr:col>1</xdr:col>
                    <xdr:colOff>990600</xdr:colOff>
                    <xdr:row>104</xdr:row>
                    <xdr:rowOff>184150</xdr:rowOff>
                  </to>
                </anchor>
              </controlPr>
            </control>
          </mc:Choice>
        </mc:AlternateContent>
        <mc:AlternateContent xmlns:mc="http://schemas.openxmlformats.org/markup-compatibility/2006">
          <mc:Choice Requires="x14">
            <control shapeId="139364" r:id="rId102" name="Option Button 100">
              <controlPr defaultSize="0" autoFill="0" autoLine="0" autoPict="0">
                <anchor moveWithCells="1">
                  <from>
                    <xdr:col>1</xdr:col>
                    <xdr:colOff>438150</xdr:colOff>
                    <xdr:row>105</xdr:row>
                    <xdr:rowOff>31750</xdr:rowOff>
                  </from>
                  <to>
                    <xdr:col>1</xdr:col>
                    <xdr:colOff>990600</xdr:colOff>
                    <xdr:row>105</xdr:row>
                    <xdr:rowOff>184150</xdr:rowOff>
                  </to>
                </anchor>
              </controlPr>
            </control>
          </mc:Choice>
        </mc:AlternateContent>
        <mc:AlternateContent xmlns:mc="http://schemas.openxmlformats.org/markup-compatibility/2006">
          <mc:Choice Requires="x14">
            <control shapeId="139365" r:id="rId103" name="Option Button 101">
              <controlPr defaultSize="0" autoFill="0" autoLine="0" autoPict="0">
                <anchor moveWithCells="1">
                  <from>
                    <xdr:col>1</xdr:col>
                    <xdr:colOff>438150</xdr:colOff>
                    <xdr:row>106</xdr:row>
                    <xdr:rowOff>31750</xdr:rowOff>
                  </from>
                  <to>
                    <xdr:col>1</xdr:col>
                    <xdr:colOff>990600</xdr:colOff>
                    <xdr:row>106</xdr:row>
                    <xdr:rowOff>184150</xdr:rowOff>
                  </to>
                </anchor>
              </controlPr>
            </control>
          </mc:Choice>
        </mc:AlternateContent>
        <mc:AlternateContent xmlns:mc="http://schemas.openxmlformats.org/markup-compatibility/2006">
          <mc:Choice Requires="x14">
            <control shapeId="139366" r:id="rId104" name="Option Button 102">
              <controlPr defaultSize="0" autoFill="0" autoLine="0" autoPict="0">
                <anchor moveWithCells="1">
                  <from>
                    <xdr:col>1</xdr:col>
                    <xdr:colOff>438150</xdr:colOff>
                    <xdr:row>107</xdr:row>
                    <xdr:rowOff>31750</xdr:rowOff>
                  </from>
                  <to>
                    <xdr:col>1</xdr:col>
                    <xdr:colOff>990600</xdr:colOff>
                    <xdr:row>107</xdr:row>
                    <xdr:rowOff>184150</xdr:rowOff>
                  </to>
                </anchor>
              </controlPr>
            </control>
          </mc:Choice>
        </mc:AlternateContent>
        <mc:AlternateContent xmlns:mc="http://schemas.openxmlformats.org/markup-compatibility/2006">
          <mc:Choice Requires="x14">
            <control shapeId="139367" r:id="rId105" name="Option Button 103">
              <controlPr defaultSize="0" autoFill="0" autoLine="0" autoPict="0">
                <anchor moveWithCells="1">
                  <from>
                    <xdr:col>1</xdr:col>
                    <xdr:colOff>438150</xdr:colOff>
                    <xdr:row>108</xdr:row>
                    <xdr:rowOff>31750</xdr:rowOff>
                  </from>
                  <to>
                    <xdr:col>1</xdr:col>
                    <xdr:colOff>990600</xdr:colOff>
                    <xdr:row>108</xdr:row>
                    <xdr:rowOff>184150</xdr:rowOff>
                  </to>
                </anchor>
              </controlPr>
            </control>
          </mc:Choice>
        </mc:AlternateContent>
        <mc:AlternateContent xmlns:mc="http://schemas.openxmlformats.org/markup-compatibility/2006">
          <mc:Choice Requires="x14">
            <control shapeId="139368" r:id="rId106" name="Option Button 104">
              <controlPr defaultSize="0" autoFill="0" autoLine="0" autoPict="0">
                <anchor moveWithCells="1">
                  <from>
                    <xdr:col>1</xdr:col>
                    <xdr:colOff>438150</xdr:colOff>
                    <xdr:row>109</xdr:row>
                    <xdr:rowOff>31750</xdr:rowOff>
                  </from>
                  <to>
                    <xdr:col>1</xdr:col>
                    <xdr:colOff>990600</xdr:colOff>
                    <xdr:row>109</xdr:row>
                    <xdr:rowOff>184150</xdr:rowOff>
                  </to>
                </anchor>
              </controlPr>
            </control>
          </mc:Choice>
        </mc:AlternateContent>
        <mc:AlternateContent xmlns:mc="http://schemas.openxmlformats.org/markup-compatibility/2006">
          <mc:Choice Requires="x14">
            <control shapeId="139369" r:id="rId107" name="Option Button 105">
              <controlPr defaultSize="0" autoFill="0" autoLine="0" autoPict="0">
                <anchor moveWithCells="1">
                  <from>
                    <xdr:col>1</xdr:col>
                    <xdr:colOff>438150</xdr:colOff>
                    <xdr:row>110</xdr:row>
                    <xdr:rowOff>31750</xdr:rowOff>
                  </from>
                  <to>
                    <xdr:col>1</xdr:col>
                    <xdr:colOff>990600</xdr:colOff>
                    <xdr:row>110</xdr:row>
                    <xdr:rowOff>184150</xdr:rowOff>
                  </to>
                </anchor>
              </controlPr>
            </control>
          </mc:Choice>
        </mc:AlternateContent>
        <mc:AlternateContent xmlns:mc="http://schemas.openxmlformats.org/markup-compatibility/2006">
          <mc:Choice Requires="x14">
            <control shapeId="139370" r:id="rId108" name="Option Button 106">
              <controlPr defaultSize="0" autoFill="0" autoLine="0" autoPict="0">
                <anchor moveWithCells="1">
                  <from>
                    <xdr:col>1</xdr:col>
                    <xdr:colOff>438150</xdr:colOff>
                    <xdr:row>111</xdr:row>
                    <xdr:rowOff>31750</xdr:rowOff>
                  </from>
                  <to>
                    <xdr:col>1</xdr:col>
                    <xdr:colOff>990600</xdr:colOff>
                    <xdr:row>111</xdr:row>
                    <xdr:rowOff>184150</xdr:rowOff>
                  </to>
                </anchor>
              </controlPr>
            </control>
          </mc:Choice>
        </mc:AlternateContent>
        <mc:AlternateContent xmlns:mc="http://schemas.openxmlformats.org/markup-compatibility/2006">
          <mc:Choice Requires="x14">
            <control shapeId="139371" r:id="rId109" name="Option Button 107">
              <controlPr defaultSize="0" autoFill="0" autoLine="0" autoPict="0">
                <anchor moveWithCells="1">
                  <from>
                    <xdr:col>1</xdr:col>
                    <xdr:colOff>438150</xdr:colOff>
                    <xdr:row>112</xdr:row>
                    <xdr:rowOff>31750</xdr:rowOff>
                  </from>
                  <to>
                    <xdr:col>1</xdr:col>
                    <xdr:colOff>990600</xdr:colOff>
                    <xdr:row>112</xdr:row>
                    <xdr:rowOff>184150</xdr:rowOff>
                  </to>
                </anchor>
              </controlPr>
            </control>
          </mc:Choice>
        </mc:AlternateContent>
        <mc:AlternateContent xmlns:mc="http://schemas.openxmlformats.org/markup-compatibility/2006">
          <mc:Choice Requires="x14">
            <control shapeId="139372" r:id="rId110" name="Option Button 108">
              <controlPr defaultSize="0" autoFill="0" autoLine="0" autoPict="0">
                <anchor moveWithCells="1">
                  <from>
                    <xdr:col>1</xdr:col>
                    <xdr:colOff>438150</xdr:colOff>
                    <xdr:row>113</xdr:row>
                    <xdr:rowOff>31750</xdr:rowOff>
                  </from>
                  <to>
                    <xdr:col>1</xdr:col>
                    <xdr:colOff>990600</xdr:colOff>
                    <xdr:row>113</xdr:row>
                    <xdr:rowOff>184150</xdr:rowOff>
                  </to>
                </anchor>
              </controlPr>
            </control>
          </mc:Choice>
        </mc:AlternateContent>
        <mc:AlternateContent xmlns:mc="http://schemas.openxmlformats.org/markup-compatibility/2006">
          <mc:Choice Requires="x14">
            <control shapeId="139373" r:id="rId111" name="Option Button 109">
              <controlPr defaultSize="0" autoFill="0" autoLine="0" autoPict="0">
                <anchor moveWithCells="1">
                  <from>
                    <xdr:col>1</xdr:col>
                    <xdr:colOff>438150</xdr:colOff>
                    <xdr:row>114</xdr:row>
                    <xdr:rowOff>31750</xdr:rowOff>
                  </from>
                  <to>
                    <xdr:col>1</xdr:col>
                    <xdr:colOff>990600</xdr:colOff>
                    <xdr:row>114</xdr:row>
                    <xdr:rowOff>184150</xdr:rowOff>
                  </to>
                </anchor>
              </controlPr>
            </control>
          </mc:Choice>
        </mc:AlternateContent>
        <mc:AlternateContent xmlns:mc="http://schemas.openxmlformats.org/markup-compatibility/2006">
          <mc:Choice Requires="x14">
            <control shapeId="139374" r:id="rId112" name="Option Button 110">
              <controlPr defaultSize="0" autoFill="0" autoLine="0" autoPict="0">
                <anchor moveWithCells="1">
                  <from>
                    <xdr:col>1</xdr:col>
                    <xdr:colOff>438150</xdr:colOff>
                    <xdr:row>115</xdr:row>
                    <xdr:rowOff>31750</xdr:rowOff>
                  </from>
                  <to>
                    <xdr:col>1</xdr:col>
                    <xdr:colOff>990600</xdr:colOff>
                    <xdr:row>115</xdr:row>
                    <xdr:rowOff>184150</xdr:rowOff>
                  </to>
                </anchor>
              </controlPr>
            </control>
          </mc:Choice>
        </mc:AlternateContent>
        <mc:AlternateContent xmlns:mc="http://schemas.openxmlformats.org/markup-compatibility/2006">
          <mc:Choice Requires="x14">
            <control shapeId="139375" r:id="rId113" name="Option Button 111">
              <controlPr defaultSize="0" autoFill="0" autoLine="0" autoPict="0">
                <anchor moveWithCells="1">
                  <from>
                    <xdr:col>1</xdr:col>
                    <xdr:colOff>438150</xdr:colOff>
                    <xdr:row>116</xdr:row>
                    <xdr:rowOff>31750</xdr:rowOff>
                  </from>
                  <to>
                    <xdr:col>1</xdr:col>
                    <xdr:colOff>990600</xdr:colOff>
                    <xdr:row>116</xdr:row>
                    <xdr:rowOff>184150</xdr:rowOff>
                  </to>
                </anchor>
              </controlPr>
            </control>
          </mc:Choice>
        </mc:AlternateContent>
        <mc:AlternateContent xmlns:mc="http://schemas.openxmlformats.org/markup-compatibility/2006">
          <mc:Choice Requires="x14">
            <control shapeId="139376" r:id="rId114" name="Option Button 112">
              <controlPr defaultSize="0" autoFill="0" autoLine="0" autoPict="0">
                <anchor moveWithCells="1">
                  <from>
                    <xdr:col>1</xdr:col>
                    <xdr:colOff>438150</xdr:colOff>
                    <xdr:row>117</xdr:row>
                    <xdr:rowOff>31750</xdr:rowOff>
                  </from>
                  <to>
                    <xdr:col>1</xdr:col>
                    <xdr:colOff>990600</xdr:colOff>
                    <xdr:row>117</xdr:row>
                    <xdr:rowOff>184150</xdr:rowOff>
                  </to>
                </anchor>
              </controlPr>
            </control>
          </mc:Choice>
        </mc:AlternateContent>
        <mc:AlternateContent xmlns:mc="http://schemas.openxmlformats.org/markup-compatibility/2006">
          <mc:Choice Requires="x14">
            <control shapeId="139377" r:id="rId115" name="Option Button 113">
              <controlPr defaultSize="0" autoFill="0" autoLine="0" autoPict="0">
                <anchor moveWithCells="1">
                  <from>
                    <xdr:col>1</xdr:col>
                    <xdr:colOff>438150</xdr:colOff>
                    <xdr:row>118</xdr:row>
                    <xdr:rowOff>31750</xdr:rowOff>
                  </from>
                  <to>
                    <xdr:col>1</xdr:col>
                    <xdr:colOff>990600</xdr:colOff>
                    <xdr:row>118</xdr:row>
                    <xdr:rowOff>184150</xdr:rowOff>
                  </to>
                </anchor>
              </controlPr>
            </control>
          </mc:Choice>
        </mc:AlternateContent>
        <mc:AlternateContent xmlns:mc="http://schemas.openxmlformats.org/markup-compatibility/2006">
          <mc:Choice Requires="x14">
            <control shapeId="139378" r:id="rId116" name="Option Button 114">
              <controlPr defaultSize="0" autoFill="0" autoLine="0" autoPict="0">
                <anchor moveWithCells="1">
                  <from>
                    <xdr:col>1</xdr:col>
                    <xdr:colOff>438150</xdr:colOff>
                    <xdr:row>119</xdr:row>
                    <xdr:rowOff>31750</xdr:rowOff>
                  </from>
                  <to>
                    <xdr:col>1</xdr:col>
                    <xdr:colOff>990600</xdr:colOff>
                    <xdr:row>119</xdr:row>
                    <xdr:rowOff>184150</xdr:rowOff>
                  </to>
                </anchor>
              </controlPr>
            </control>
          </mc:Choice>
        </mc:AlternateContent>
        <mc:AlternateContent xmlns:mc="http://schemas.openxmlformats.org/markup-compatibility/2006">
          <mc:Choice Requires="x14">
            <control shapeId="139379" r:id="rId117" name="Option Button 115">
              <controlPr defaultSize="0" autoFill="0" autoLine="0" autoPict="0">
                <anchor moveWithCells="1">
                  <from>
                    <xdr:col>1</xdr:col>
                    <xdr:colOff>438150</xdr:colOff>
                    <xdr:row>120</xdr:row>
                    <xdr:rowOff>31750</xdr:rowOff>
                  </from>
                  <to>
                    <xdr:col>1</xdr:col>
                    <xdr:colOff>990600</xdr:colOff>
                    <xdr:row>120</xdr:row>
                    <xdr:rowOff>184150</xdr:rowOff>
                  </to>
                </anchor>
              </controlPr>
            </control>
          </mc:Choice>
        </mc:AlternateContent>
        <mc:AlternateContent xmlns:mc="http://schemas.openxmlformats.org/markup-compatibility/2006">
          <mc:Choice Requires="x14">
            <control shapeId="139380" r:id="rId118" name="Option Button 116">
              <controlPr defaultSize="0" autoFill="0" autoLine="0" autoPict="0">
                <anchor moveWithCells="1">
                  <from>
                    <xdr:col>1</xdr:col>
                    <xdr:colOff>438150</xdr:colOff>
                    <xdr:row>121</xdr:row>
                    <xdr:rowOff>31750</xdr:rowOff>
                  </from>
                  <to>
                    <xdr:col>1</xdr:col>
                    <xdr:colOff>990600</xdr:colOff>
                    <xdr:row>121</xdr:row>
                    <xdr:rowOff>184150</xdr:rowOff>
                  </to>
                </anchor>
              </controlPr>
            </control>
          </mc:Choice>
        </mc:AlternateContent>
        <mc:AlternateContent xmlns:mc="http://schemas.openxmlformats.org/markup-compatibility/2006">
          <mc:Choice Requires="x14">
            <control shapeId="139381" r:id="rId119" name="Option Button 117">
              <controlPr defaultSize="0" autoFill="0" autoLine="0" autoPict="0">
                <anchor moveWithCells="1">
                  <from>
                    <xdr:col>1</xdr:col>
                    <xdr:colOff>438150</xdr:colOff>
                    <xdr:row>122</xdr:row>
                    <xdr:rowOff>31750</xdr:rowOff>
                  </from>
                  <to>
                    <xdr:col>1</xdr:col>
                    <xdr:colOff>990600</xdr:colOff>
                    <xdr:row>122</xdr:row>
                    <xdr:rowOff>184150</xdr:rowOff>
                  </to>
                </anchor>
              </controlPr>
            </control>
          </mc:Choice>
        </mc:AlternateContent>
        <mc:AlternateContent xmlns:mc="http://schemas.openxmlformats.org/markup-compatibility/2006">
          <mc:Choice Requires="x14">
            <control shapeId="139382" r:id="rId120" name="Option Button 118">
              <controlPr defaultSize="0" autoFill="0" autoLine="0" autoPict="0">
                <anchor moveWithCells="1">
                  <from>
                    <xdr:col>1</xdr:col>
                    <xdr:colOff>438150</xdr:colOff>
                    <xdr:row>123</xdr:row>
                    <xdr:rowOff>31750</xdr:rowOff>
                  </from>
                  <to>
                    <xdr:col>1</xdr:col>
                    <xdr:colOff>990600</xdr:colOff>
                    <xdr:row>123</xdr:row>
                    <xdr:rowOff>184150</xdr:rowOff>
                  </to>
                </anchor>
              </controlPr>
            </control>
          </mc:Choice>
        </mc:AlternateContent>
        <mc:AlternateContent xmlns:mc="http://schemas.openxmlformats.org/markup-compatibility/2006">
          <mc:Choice Requires="x14">
            <control shapeId="139383" r:id="rId121" name="Option Button 119">
              <controlPr defaultSize="0" autoFill="0" autoLine="0" autoPict="0">
                <anchor moveWithCells="1">
                  <from>
                    <xdr:col>1</xdr:col>
                    <xdr:colOff>438150</xdr:colOff>
                    <xdr:row>124</xdr:row>
                    <xdr:rowOff>31750</xdr:rowOff>
                  </from>
                  <to>
                    <xdr:col>1</xdr:col>
                    <xdr:colOff>990600</xdr:colOff>
                    <xdr:row>124</xdr:row>
                    <xdr:rowOff>184150</xdr:rowOff>
                  </to>
                </anchor>
              </controlPr>
            </control>
          </mc:Choice>
        </mc:AlternateContent>
        <mc:AlternateContent xmlns:mc="http://schemas.openxmlformats.org/markup-compatibility/2006">
          <mc:Choice Requires="x14">
            <control shapeId="139384" r:id="rId122" name="Option Button 120">
              <controlPr defaultSize="0" autoFill="0" autoLine="0" autoPict="0">
                <anchor moveWithCells="1">
                  <from>
                    <xdr:col>1</xdr:col>
                    <xdr:colOff>438150</xdr:colOff>
                    <xdr:row>125</xdr:row>
                    <xdr:rowOff>31750</xdr:rowOff>
                  </from>
                  <to>
                    <xdr:col>1</xdr:col>
                    <xdr:colOff>990600</xdr:colOff>
                    <xdr:row>125</xdr:row>
                    <xdr:rowOff>184150</xdr:rowOff>
                  </to>
                </anchor>
              </controlPr>
            </control>
          </mc:Choice>
        </mc:AlternateContent>
        <mc:AlternateContent xmlns:mc="http://schemas.openxmlformats.org/markup-compatibility/2006">
          <mc:Choice Requires="x14">
            <control shapeId="139385" r:id="rId123" name="Option Button 121">
              <controlPr defaultSize="0" autoFill="0" autoLine="0" autoPict="0">
                <anchor moveWithCells="1">
                  <from>
                    <xdr:col>1</xdr:col>
                    <xdr:colOff>438150</xdr:colOff>
                    <xdr:row>126</xdr:row>
                    <xdr:rowOff>31750</xdr:rowOff>
                  </from>
                  <to>
                    <xdr:col>1</xdr:col>
                    <xdr:colOff>990600</xdr:colOff>
                    <xdr:row>126</xdr:row>
                    <xdr:rowOff>184150</xdr:rowOff>
                  </to>
                </anchor>
              </controlPr>
            </control>
          </mc:Choice>
        </mc:AlternateContent>
        <mc:AlternateContent xmlns:mc="http://schemas.openxmlformats.org/markup-compatibility/2006">
          <mc:Choice Requires="x14">
            <control shapeId="139386" r:id="rId124" name="Option Button 122">
              <controlPr defaultSize="0" autoFill="0" autoLine="0" autoPict="0">
                <anchor moveWithCells="1">
                  <from>
                    <xdr:col>1</xdr:col>
                    <xdr:colOff>438150</xdr:colOff>
                    <xdr:row>127</xdr:row>
                    <xdr:rowOff>31750</xdr:rowOff>
                  </from>
                  <to>
                    <xdr:col>1</xdr:col>
                    <xdr:colOff>990600</xdr:colOff>
                    <xdr:row>127</xdr:row>
                    <xdr:rowOff>184150</xdr:rowOff>
                  </to>
                </anchor>
              </controlPr>
            </control>
          </mc:Choice>
        </mc:AlternateContent>
        <mc:AlternateContent xmlns:mc="http://schemas.openxmlformats.org/markup-compatibility/2006">
          <mc:Choice Requires="x14">
            <control shapeId="139387" r:id="rId125" name="Option Button 123">
              <controlPr defaultSize="0" autoFill="0" autoLine="0" autoPict="0">
                <anchor moveWithCells="1">
                  <from>
                    <xdr:col>1</xdr:col>
                    <xdr:colOff>438150</xdr:colOff>
                    <xdr:row>128</xdr:row>
                    <xdr:rowOff>31750</xdr:rowOff>
                  </from>
                  <to>
                    <xdr:col>1</xdr:col>
                    <xdr:colOff>990600</xdr:colOff>
                    <xdr:row>128</xdr:row>
                    <xdr:rowOff>184150</xdr:rowOff>
                  </to>
                </anchor>
              </controlPr>
            </control>
          </mc:Choice>
        </mc:AlternateContent>
        <mc:AlternateContent xmlns:mc="http://schemas.openxmlformats.org/markup-compatibility/2006">
          <mc:Choice Requires="x14">
            <control shapeId="139388" r:id="rId126" name="Option Button 124">
              <controlPr defaultSize="0" autoFill="0" autoLine="0" autoPict="0">
                <anchor moveWithCells="1">
                  <from>
                    <xdr:col>1</xdr:col>
                    <xdr:colOff>438150</xdr:colOff>
                    <xdr:row>129</xdr:row>
                    <xdr:rowOff>31750</xdr:rowOff>
                  </from>
                  <to>
                    <xdr:col>1</xdr:col>
                    <xdr:colOff>990600</xdr:colOff>
                    <xdr:row>129</xdr:row>
                    <xdr:rowOff>184150</xdr:rowOff>
                  </to>
                </anchor>
              </controlPr>
            </control>
          </mc:Choice>
        </mc:AlternateContent>
        <mc:AlternateContent xmlns:mc="http://schemas.openxmlformats.org/markup-compatibility/2006">
          <mc:Choice Requires="x14">
            <control shapeId="139389" r:id="rId127" name="Option Button 125">
              <controlPr defaultSize="0" autoFill="0" autoLine="0" autoPict="0">
                <anchor moveWithCells="1">
                  <from>
                    <xdr:col>1</xdr:col>
                    <xdr:colOff>438150</xdr:colOff>
                    <xdr:row>130</xdr:row>
                    <xdr:rowOff>31750</xdr:rowOff>
                  </from>
                  <to>
                    <xdr:col>1</xdr:col>
                    <xdr:colOff>990600</xdr:colOff>
                    <xdr:row>130</xdr:row>
                    <xdr:rowOff>184150</xdr:rowOff>
                  </to>
                </anchor>
              </controlPr>
            </control>
          </mc:Choice>
        </mc:AlternateContent>
        <mc:AlternateContent xmlns:mc="http://schemas.openxmlformats.org/markup-compatibility/2006">
          <mc:Choice Requires="x14">
            <control shapeId="139390" r:id="rId128" name="Option Button 126">
              <controlPr defaultSize="0" autoFill="0" autoLine="0" autoPict="0">
                <anchor moveWithCells="1">
                  <from>
                    <xdr:col>1</xdr:col>
                    <xdr:colOff>438150</xdr:colOff>
                    <xdr:row>131</xdr:row>
                    <xdr:rowOff>31750</xdr:rowOff>
                  </from>
                  <to>
                    <xdr:col>1</xdr:col>
                    <xdr:colOff>990600</xdr:colOff>
                    <xdr:row>131</xdr:row>
                    <xdr:rowOff>184150</xdr:rowOff>
                  </to>
                </anchor>
              </controlPr>
            </control>
          </mc:Choice>
        </mc:AlternateContent>
        <mc:AlternateContent xmlns:mc="http://schemas.openxmlformats.org/markup-compatibility/2006">
          <mc:Choice Requires="x14">
            <control shapeId="139391" r:id="rId129" name="Option Button 127">
              <controlPr defaultSize="0" autoFill="0" autoLine="0" autoPict="0">
                <anchor moveWithCells="1">
                  <from>
                    <xdr:col>1</xdr:col>
                    <xdr:colOff>438150</xdr:colOff>
                    <xdr:row>132</xdr:row>
                    <xdr:rowOff>31750</xdr:rowOff>
                  </from>
                  <to>
                    <xdr:col>1</xdr:col>
                    <xdr:colOff>990600</xdr:colOff>
                    <xdr:row>132</xdr:row>
                    <xdr:rowOff>184150</xdr:rowOff>
                  </to>
                </anchor>
              </controlPr>
            </control>
          </mc:Choice>
        </mc:AlternateContent>
        <mc:AlternateContent xmlns:mc="http://schemas.openxmlformats.org/markup-compatibility/2006">
          <mc:Choice Requires="x14">
            <control shapeId="139392" r:id="rId130" name="Option Button 128">
              <controlPr defaultSize="0" autoFill="0" autoLine="0" autoPict="0">
                <anchor moveWithCells="1">
                  <from>
                    <xdr:col>1</xdr:col>
                    <xdr:colOff>438150</xdr:colOff>
                    <xdr:row>133</xdr:row>
                    <xdr:rowOff>31750</xdr:rowOff>
                  </from>
                  <to>
                    <xdr:col>1</xdr:col>
                    <xdr:colOff>990600</xdr:colOff>
                    <xdr:row>133</xdr:row>
                    <xdr:rowOff>184150</xdr:rowOff>
                  </to>
                </anchor>
              </controlPr>
            </control>
          </mc:Choice>
        </mc:AlternateContent>
        <mc:AlternateContent xmlns:mc="http://schemas.openxmlformats.org/markup-compatibility/2006">
          <mc:Choice Requires="x14">
            <control shapeId="139393" r:id="rId131" name="Option Button 129">
              <controlPr defaultSize="0" autoFill="0" autoLine="0" autoPict="0">
                <anchor moveWithCells="1">
                  <from>
                    <xdr:col>1</xdr:col>
                    <xdr:colOff>438150</xdr:colOff>
                    <xdr:row>134</xdr:row>
                    <xdr:rowOff>31750</xdr:rowOff>
                  </from>
                  <to>
                    <xdr:col>1</xdr:col>
                    <xdr:colOff>990600</xdr:colOff>
                    <xdr:row>134</xdr:row>
                    <xdr:rowOff>184150</xdr:rowOff>
                  </to>
                </anchor>
              </controlPr>
            </control>
          </mc:Choice>
        </mc:AlternateContent>
        <mc:AlternateContent xmlns:mc="http://schemas.openxmlformats.org/markup-compatibility/2006">
          <mc:Choice Requires="x14">
            <control shapeId="139394" r:id="rId132" name="Option Button 130">
              <controlPr defaultSize="0" autoFill="0" autoLine="0" autoPict="0">
                <anchor moveWithCells="1">
                  <from>
                    <xdr:col>1</xdr:col>
                    <xdr:colOff>438150</xdr:colOff>
                    <xdr:row>135</xdr:row>
                    <xdr:rowOff>31750</xdr:rowOff>
                  </from>
                  <to>
                    <xdr:col>1</xdr:col>
                    <xdr:colOff>990600</xdr:colOff>
                    <xdr:row>135</xdr:row>
                    <xdr:rowOff>184150</xdr:rowOff>
                  </to>
                </anchor>
              </controlPr>
            </control>
          </mc:Choice>
        </mc:AlternateContent>
        <mc:AlternateContent xmlns:mc="http://schemas.openxmlformats.org/markup-compatibility/2006">
          <mc:Choice Requires="x14">
            <control shapeId="139395" r:id="rId133" name="Option Button 131">
              <controlPr defaultSize="0" autoFill="0" autoLine="0" autoPict="0">
                <anchor moveWithCells="1">
                  <from>
                    <xdr:col>1</xdr:col>
                    <xdr:colOff>438150</xdr:colOff>
                    <xdr:row>136</xdr:row>
                    <xdr:rowOff>31750</xdr:rowOff>
                  </from>
                  <to>
                    <xdr:col>1</xdr:col>
                    <xdr:colOff>990600</xdr:colOff>
                    <xdr:row>136</xdr:row>
                    <xdr:rowOff>184150</xdr:rowOff>
                  </to>
                </anchor>
              </controlPr>
            </control>
          </mc:Choice>
        </mc:AlternateContent>
        <mc:AlternateContent xmlns:mc="http://schemas.openxmlformats.org/markup-compatibility/2006">
          <mc:Choice Requires="x14">
            <control shapeId="139396" r:id="rId134" name="Option Button 132">
              <controlPr defaultSize="0" autoFill="0" autoLine="0" autoPict="0">
                <anchor moveWithCells="1">
                  <from>
                    <xdr:col>1</xdr:col>
                    <xdr:colOff>438150</xdr:colOff>
                    <xdr:row>137</xdr:row>
                    <xdr:rowOff>31750</xdr:rowOff>
                  </from>
                  <to>
                    <xdr:col>1</xdr:col>
                    <xdr:colOff>990600</xdr:colOff>
                    <xdr:row>137</xdr:row>
                    <xdr:rowOff>184150</xdr:rowOff>
                  </to>
                </anchor>
              </controlPr>
            </control>
          </mc:Choice>
        </mc:AlternateContent>
        <mc:AlternateContent xmlns:mc="http://schemas.openxmlformats.org/markup-compatibility/2006">
          <mc:Choice Requires="x14">
            <control shapeId="139397" r:id="rId135" name="Option Button 133">
              <controlPr defaultSize="0" autoFill="0" autoLine="0" autoPict="0">
                <anchor moveWithCells="1">
                  <from>
                    <xdr:col>1</xdr:col>
                    <xdr:colOff>438150</xdr:colOff>
                    <xdr:row>138</xdr:row>
                    <xdr:rowOff>31750</xdr:rowOff>
                  </from>
                  <to>
                    <xdr:col>1</xdr:col>
                    <xdr:colOff>990600</xdr:colOff>
                    <xdr:row>138</xdr:row>
                    <xdr:rowOff>184150</xdr:rowOff>
                  </to>
                </anchor>
              </controlPr>
            </control>
          </mc:Choice>
        </mc:AlternateContent>
        <mc:AlternateContent xmlns:mc="http://schemas.openxmlformats.org/markup-compatibility/2006">
          <mc:Choice Requires="x14">
            <control shapeId="139398" r:id="rId136" name="Option Button 134">
              <controlPr defaultSize="0" autoFill="0" autoLine="0" autoPict="0">
                <anchor moveWithCells="1">
                  <from>
                    <xdr:col>1</xdr:col>
                    <xdr:colOff>438150</xdr:colOff>
                    <xdr:row>139</xdr:row>
                    <xdr:rowOff>31750</xdr:rowOff>
                  </from>
                  <to>
                    <xdr:col>1</xdr:col>
                    <xdr:colOff>990600</xdr:colOff>
                    <xdr:row>139</xdr:row>
                    <xdr:rowOff>184150</xdr:rowOff>
                  </to>
                </anchor>
              </controlPr>
            </control>
          </mc:Choice>
        </mc:AlternateContent>
        <mc:AlternateContent xmlns:mc="http://schemas.openxmlformats.org/markup-compatibility/2006">
          <mc:Choice Requires="x14">
            <control shapeId="139399" r:id="rId137" name="Option Button 135">
              <controlPr defaultSize="0" autoFill="0" autoLine="0" autoPict="0">
                <anchor moveWithCells="1">
                  <from>
                    <xdr:col>1</xdr:col>
                    <xdr:colOff>438150</xdr:colOff>
                    <xdr:row>140</xdr:row>
                    <xdr:rowOff>31750</xdr:rowOff>
                  </from>
                  <to>
                    <xdr:col>1</xdr:col>
                    <xdr:colOff>990600</xdr:colOff>
                    <xdr:row>140</xdr:row>
                    <xdr:rowOff>184150</xdr:rowOff>
                  </to>
                </anchor>
              </controlPr>
            </control>
          </mc:Choice>
        </mc:AlternateContent>
        <mc:AlternateContent xmlns:mc="http://schemas.openxmlformats.org/markup-compatibility/2006">
          <mc:Choice Requires="x14">
            <control shapeId="139400" r:id="rId138" name="Option Button 136">
              <controlPr defaultSize="0" autoFill="0" autoLine="0" autoPict="0">
                <anchor moveWithCells="1">
                  <from>
                    <xdr:col>1</xdr:col>
                    <xdr:colOff>438150</xdr:colOff>
                    <xdr:row>141</xdr:row>
                    <xdr:rowOff>31750</xdr:rowOff>
                  </from>
                  <to>
                    <xdr:col>1</xdr:col>
                    <xdr:colOff>990600</xdr:colOff>
                    <xdr:row>141</xdr:row>
                    <xdr:rowOff>184150</xdr:rowOff>
                  </to>
                </anchor>
              </controlPr>
            </control>
          </mc:Choice>
        </mc:AlternateContent>
        <mc:AlternateContent xmlns:mc="http://schemas.openxmlformats.org/markup-compatibility/2006">
          <mc:Choice Requires="x14">
            <control shapeId="139401" r:id="rId139" name="Option Button 137">
              <controlPr defaultSize="0" autoFill="0" autoLine="0" autoPict="0">
                <anchor moveWithCells="1">
                  <from>
                    <xdr:col>1</xdr:col>
                    <xdr:colOff>438150</xdr:colOff>
                    <xdr:row>142</xdr:row>
                    <xdr:rowOff>31750</xdr:rowOff>
                  </from>
                  <to>
                    <xdr:col>1</xdr:col>
                    <xdr:colOff>990600</xdr:colOff>
                    <xdr:row>142</xdr:row>
                    <xdr:rowOff>184150</xdr:rowOff>
                  </to>
                </anchor>
              </controlPr>
            </control>
          </mc:Choice>
        </mc:AlternateContent>
        <mc:AlternateContent xmlns:mc="http://schemas.openxmlformats.org/markup-compatibility/2006">
          <mc:Choice Requires="x14">
            <control shapeId="139402" r:id="rId140" name="Option Button 138">
              <controlPr defaultSize="0" autoFill="0" autoLine="0" autoPict="0">
                <anchor moveWithCells="1">
                  <from>
                    <xdr:col>1</xdr:col>
                    <xdr:colOff>438150</xdr:colOff>
                    <xdr:row>143</xdr:row>
                    <xdr:rowOff>31750</xdr:rowOff>
                  </from>
                  <to>
                    <xdr:col>1</xdr:col>
                    <xdr:colOff>990600</xdr:colOff>
                    <xdr:row>143</xdr:row>
                    <xdr:rowOff>184150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00FF"/>
  </sheetPr>
  <dimension ref="A1:L37"/>
  <sheetViews>
    <sheetView showGridLines="0" zoomScale="85" zoomScaleNormal="85" workbookViewId="0"/>
  </sheetViews>
  <sheetFormatPr defaultColWidth="5.6328125" defaultRowHeight="16"/>
  <cols>
    <col min="1" max="1" width="3.08984375" style="1265" customWidth="1"/>
    <col min="2" max="2" width="4.08984375" style="1265" customWidth="1"/>
    <col min="3" max="3" width="15.6328125" style="1265" customWidth="1"/>
    <col min="4" max="4" width="30.453125" style="1265" customWidth="1"/>
    <col min="5" max="5" width="8.7265625" style="1265" customWidth="1"/>
    <col min="6" max="6" width="30.6328125" style="1265" customWidth="1"/>
    <col min="7" max="7" width="100.6328125" style="1265" customWidth="1"/>
    <col min="8" max="8" width="3.08984375" style="971" customWidth="1"/>
    <col min="9" max="11" width="6.6328125" style="1271" hidden="1" customWidth="1"/>
    <col min="12" max="12" width="6.6328125" style="971" hidden="1" customWidth="1"/>
    <col min="13" max="16384" width="5.6328125" style="971"/>
  </cols>
  <sheetData>
    <row r="1" spans="2:12">
      <c r="I1" s="1271" t="s">
        <v>1073</v>
      </c>
      <c r="J1" s="1271" t="s">
        <v>1073</v>
      </c>
      <c r="K1" s="1271" t="s">
        <v>1073</v>
      </c>
      <c r="L1" s="1271" t="s">
        <v>1073</v>
      </c>
    </row>
    <row r="2" spans="2:12" ht="26.5">
      <c r="B2" s="1122" t="s">
        <v>5111</v>
      </c>
    </row>
    <row r="4" spans="2:12" ht="16.5" thickBot="1">
      <c r="B4" s="169" t="s">
        <v>5112</v>
      </c>
      <c r="C4" s="169"/>
      <c r="I4" s="1273"/>
      <c r="J4" s="1272">
        <f>J6+J8+J10+J12+J14+J16+J18+J20+J22+J24+J26+J28+J30+J32+J34</f>
        <v>0</v>
      </c>
      <c r="K4" s="1272" t="s">
        <v>5642</v>
      </c>
    </row>
    <row r="5" spans="2:12" ht="17.25" customHeight="1">
      <c r="B5" s="1269"/>
      <c r="C5" s="3232" t="s">
        <v>5119</v>
      </c>
      <c r="D5" s="3233"/>
      <c r="E5" s="1345" t="s">
        <v>5120</v>
      </c>
      <c r="F5" s="1345" t="s">
        <v>5121</v>
      </c>
      <c r="G5" s="1270" t="s">
        <v>5122</v>
      </c>
    </row>
    <row r="6" spans="2:12" ht="30" hidden="1" customHeight="1">
      <c r="B6" s="3216"/>
      <c r="C6" s="3234"/>
      <c r="D6" s="1266" t="s">
        <v>5113</v>
      </c>
      <c r="E6" s="3224"/>
      <c r="F6" s="3231" t="s">
        <v>5125</v>
      </c>
      <c r="G6" s="3226" t="s">
        <v>5123</v>
      </c>
      <c r="I6" s="1271" t="b">
        <v>0</v>
      </c>
      <c r="J6" s="1271">
        <f>I6*1</f>
        <v>0</v>
      </c>
      <c r="K6" s="1271">
        <f>IF(J6=0,0,J6*10)</f>
        <v>0</v>
      </c>
      <c r="L6" s="970"/>
    </row>
    <row r="7" spans="2:12" ht="30" hidden="1" customHeight="1">
      <c r="B7" s="3216"/>
      <c r="C7" s="3234"/>
      <c r="D7" s="1267" t="s">
        <v>5114</v>
      </c>
      <c r="E7" s="3224"/>
      <c r="F7" s="3224"/>
      <c r="G7" s="3226"/>
      <c r="L7" s="970"/>
    </row>
    <row r="8" spans="2:12" ht="30" customHeight="1">
      <c r="B8" s="3216">
        <f>B6+1</f>
        <v>1</v>
      </c>
      <c r="C8" s="3234"/>
      <c r="D8" s="1266" t="s">
        <v>5115</v>
      </c>
      <c r="E8" s="3224"/>
      <c r="F8" s="3224" t="s">
        <v>5126</v>
      </c>
      <c r="G8" s="3226" t="s">
        <v>5124</v>
      </c>
      <c r="I8" s="1271" t="b">
        <v>0</v>
      </c>
      <c r="J8" s="1271">
        <f>I8*1</f>
        <v>0</v>
      </c>
      <c r="K8" s="1271">
        <f>IF(J8=0,0,SUM($J$6:J8)*10)</f>
        <v>0</v>
      </c>
      <c r="L8" s="970"/>
    </row>
    <row r="9" spans="2:12" ht="30" customHeight="1">
      <c r="B9" s="3216"/>
      <c r="C9" s="3234"/>
      <c r="D9" s="1267" t="s">
        <v>5116</v>
      </c>
      <c r="E9" s="3224"/>
      <c r="F9" s="3224"/>
      <c r="G9" s="3226"/>
      <c r="L9" s="970"/>
    </row>
    <row r="10" spans="2:12" ht="30" customHeight="1">
      <c r="B10" s="3216">
        <f t="shared" ref="B10" si="0">B8+1</f>
        <v>2</v>
      </c>
      <c r="C10" s="3234"/>
      <c r="D10" s="1266" t="s">
        <v>5558</v>
      </c>
      <c r="E10" s="3224"/>
      <c r="F10" s="3224" t="s">
        <v>5658</v>
      </c>
      <c r="G10" s="3226" t="s">
        <v>5560</v>
      </c>
      <c r="I10" s="1271" t="b">
        <v>0</v>
      </c>
      <c r="J10" s="1271">
        <f>I10*1</f>
        <v>0</v>
      </c>
      <c r="K10" s="1271">
        <f>IF(J10=0,0,SUM($J$6:J10)*10)</f>
        <v>0</v>
      </c>
      <c r="L10" s="970"/>
    </row>
    <row r="11" spans="2:12" ht="30" customHeight="1">
      <c r="B11" s="3216"/>
      <c r="C11" s="3234"/>
      <c r="D11" s="1267" t="s">
        <v>5117</v>
      </c>
      <c r="E11" s="3224"/>
      <c r="F11" s="3224"/>
      <c r="G11" s="3226"/>
      <c r="L11" s="970"/>
    </row>
    <row r="12" spans="2:12" ht="30" customHeight="1">
      <c r="B12" s="3216">
        <f t="shared" ref="B12" si="1">B10+1</f>
        <v>3</v>
      </c>
      <c r="C12" s="3234"/>
      <c r="D12" s="1266" t="s">
        <v>5559</v>
      </c>
      <c r="E12" s="3224"/>
      <c r="F12" s="3224" t="s">
        <v>5659</v>
      </c>
      <c r="G12" s="3226" t="s">
        <v>5561</v>
      </c>
      <c r="I12" s="1271" t="b">
        <v>0</v>
      </c>
      <c r="J12" s="1271">
        <f>I12*1</f>
        <v>0</v>
      </c>
      <c r="K12" s="1271">
        <f>IF(J12=0,0,SUM($J$6:J12)*10)</f>
        <v>0</v>
      </c>
      <c r="L12" s="970"/>
    </row>
    <row r="13" spans="2:12" ht="30" customHeight="1">
      <c r="B13" s="3216"/>
      <c r="C13" s="3235"/>
      <c r="D13" s="1338" t="s">
        <v>5118</v>
      </c>
      <c r="E13" s="3228"/>
      <c r="F13" s="3228"/>
      <c r="G13" s="3230"/>
      <c r="L13" s="970"/>
    </row>
    <row r="14" spans="2:12" ht="30" customHeight="1">
      <c r="B14" s="3216">
        <f t="shared" ref="B14" si="2">B12+1</f>
        <v>4</v>
      </c>
      <c r="C14" s="3224"/>
      <c r="D14" s="1266" t="s">
        <v>5563</v>
      </c>
      <c r="E14" s="3224"/>
      <c r="F14" s="3224" t="s">
        <v>5660</v>
      </c>
      <c r="G14" s="3226" t="s">
        <v>5565</v>
      </c>
      <c r="I14" s="1271" t="b">
        <v>0</v>
      </c>
      <c r="J14" s="1271">
        <f>I14*1</f>
        <v>0</v>
      </c>
      <c r="K14" s="1271">
        <f>IF(J14=0,0,SUM($J$6:J14)*10)</f>
        <v>0</v>
      </c>
    </row>
    <row r="15" spans="2:12" ht="30" customHeight="1">
      <c r="B15" s="3216"/>
      <c r="C15" s="3224"/>
      <c r="D15" s="1267" t="s">
        <v>5564</v>
      </c>
      <c r="E15" s="3224"/>
      <c r="F15" s="3224"/>
      <c r="G15" s="3226"/>
    </row>
    <row r="16" spans="2:12" ht="30" customHeight="1">
      <c r="B16" s="3216">
        <f t="shared" ref="B16" si="3">B14+1</f>
        <v>5</v>
      </c>
      <c r="C16" s="3224"/>
      <c r="D16" s="1266" t="s">
        <v>5566</v>
      </c>
      <c r="E16" s="3218"/>
      <c r="F16" s="3218" t="s">
        <v>5568</v>
      </c>
      <c r="G16" s="3222" t="s">
        <v>5569</v>
      </c>
      <c r="I16" s="1271" t="b">
        <v>0</v>
      </c>
      <c r="J16" s="1271">
        <f>I16*1</f>
        <v>0</v>
      </c>
      <c r="K16" s="1271">
        <f>IF(J16=0,0,SUM($J$6:J16)*10)</f>
        <v>0</v>
      </c>
    </row>
    <row r="17" spans="2:11" ht="30" customHeight="1">
      <c r="B17" s="3216"/>
      <c r="C17" s="3224"/>
      <c r="D17" s="1267" t="s">
        <v>5567</v>
      </c>
      <c r="E17" s="3228"/>
      <c r="F17" s="3228"/>
      <c r="G17" s="3230"/>
    </row>
    <row r="18" spans="2:11" ht="30" customHeight="1">
      <c r="B18" s="3216">
        <f t="shared" ref="B18" si="4">B16+1</f>
        <v>6</v>
      </c>
      <c r="C18" s="3224"/>
      <c r="D18" s="1266" t="s">
        <v>5636</v>
      </c>
      <c r="E18" s="3224"/>
      <c r="F18" s="3231" t="s">
        <v>5661</v>
      </c>
      <c r="G18" s="3226" t="s">
        <v>5640</v>
      </c>
      <c r="I18" s="1271" t="b">
        <v>0</v>
      </c>
      <c r="J18" s="1271">
        <f>I18*1</f>
        <v>0</v>
      </c>
      <c r="K18" s="1271">
        <f>IF(J18=0,0,SUM($J$6:J18)*10)</f>
        <v>0</v>
      </c>
    </row>
    <row r="19" spans="2:11" ht="30" customHeight="1">
      <c r="B19" s="3216"/>
      <c r="C19" s="3224"/>
      <c r="D19" s="1267" t="s">
        <v>5637</v>
      </c>
      <c r="E19" s="3224"/>
      <c r="F19" s="3224"/>
      <c r="G19" s="3226"/>
    </row>
    <row r="20" spans="2:11" ht="30" customHeight="1">
      <c r="B20" s="3216">
        <f t="shared" ref="B20" si="5">B18+1</f>
        <v>7</v>
      </c>
      <c r="C20" s="3224"/>
      <c r="D20" s="1266" t="s">
        <v>5638</v>
      </c>
      <c r="E20" s="3224"/>
      <c r="F20" s="3227" t="s">
        <v>5662</v>
      </c>
      <c r="G20" s="3226" t="s">
        <v>5641</v>
      </c>
      <c r="I20" s="1271" t="b">
        <v>0</v>
      </c>
      <c r="J20" s="1271">
        <f>I20*1</f>
        <v>0</v>
      </c>
      <c r="K20" s="1271">
        <f>IF(J20=0,0,SUM($J$6:J20)*10)</f>
        <v>0</v>
      </c>
    </row>
    <row r="21" spans="2:11" ht="30" customHeight="1">
      <c r="B21" s="3216"/>
      <c r="C21" s="3224"/>
      <c r="D21" s="1267" t="s">
        <v>5639</v>
      </c>
      <c r="E21" s="3224"/>
      <c r="F21" s="3225"/>
      <c r="G21" s="3226"/>
    </row>
    <row r="22" spans="2:11" ht="30" customHeight="1">
      <c r="B22" s="3216">
        <f t="shared" ref="B22" si="6">B20+1</f>
        <v>8</v>
      </c>
      <c r="C22" s="3224"/>
      <c r="D22" s="1266" t="s">
        <v>5643</v>
      </c>
      <c r="E22" s="3224"/>
      <c r="F22" s="3227" t="s">
        <v>5645</v>
      </c>
      <c r="G22" s="3226" t="s">
        <v>5646</v>
      </c>
      <c r="I22" s="1271" t="b">
        <v>0</v>
      </c>
      <c r="J22" s="1271">
        <f>I22*1</f>
        <v>0</v>
      </c>
      <c r="K22" s="1271">
        <f>IF(J22=0,0,SUM($J$6:J22)*10)</f>
        <v>0</v>
      </c>
    </row>
    <row r="23" spans="2:11" ht="30" customHeight="1">
      <c r="B23" s="3216"/>
      <c r="C23" s="3224"/>
      <c r="D23" s="1267" t="s">
        <v>5644</v>
      </c>
      <c r="E23" s="3224"/>
      <c r="F23" s="3225"/>
      <c r="G23" s="3226"/>
    </row>
    <row r="24" spans="2:11" ht="30" hidden="1" customHeight="1">
      <c r="B24" s="3216"/>
      <c r="C24" s="3224"/>
      <c r="D24" s="1266" t="s">
        <v>5654</v>
      </c>
      <c r="E24" s="3224"/>
      <c r="F24" s="3227" t="s">
        <v>5656</v>
      </c>
      <c r="G24" s="3226" t="s">
        <v>5657</v>
      </c>
      <c r="I24" s="1271" t="b">
        <v>0</v>
      </c>
      <c r="J24" s="1271">
        <f>I24*1</f>
        <v>0</v>
      </c>
      <c r="K24" s="1271">
        <f>IF(J24=0,0,SUM($J$6:J24)*10)</f>
        <v>0</v>
      </c>
    </row>
    <row r="25" spans="2:11" ht="30" hidden="1" customHeight="1">
      <c r="B25" s="3216"/>
      <c r="C25" s="3224"/>
      <c r="D25" s="1267" t="s">
        <v>5655</v>
      </c>
      <c r="E25" s="3224"/>
      <c r="F25" s="3225"/>
      <c r="G25" s="3226"/>
    </row>
    <row r="26" spans="2:11" ht="30" customHeight="1">
      <c r="B26" s="3216">
        <v>9</v>
      </c>
      <c r="C26" s="3218"/>
      <c r="D26" s="1341" t="s">
        <v>5670</v>
      </c>
      <c r="E26" s="3218"/>
      <c r="F26" s="3220" t="s">
        <v>5672</v>
      </c>
      <c r="G26" s="3222" t="s">
        <v>5673</v>
      </c>
      <c r="I26" s="1271" t="b">
        <v>0</v>
      </c>
      <c r="J26" s="1271">
        <f>I26*1</f>
        <v>0</v>
      </c>
      <c r="K26" s="1271">
        <f>IF(J26=0,0,SUM($J$6:J26)*10)</f>
        <v>0</v>
      </c>
    </row>
    <row r="27" spans="2:11" ht="30" customHeight="1">
      <c r="B27" s="3216"/>
      <c r="C27" s="3228"/>
      <c r="D27" s="1338" t="s">
        <v>5671</v>
      </c>
      <c r="E27" s="3228"/>
      <c r="F27" s="3229"/>
      <c r="G27" s="3230"/>
    </row>
    <row r="28" spans="2:11" ht="30" customHeight="1">
      <c r="B28" s="3216">
        <f t="shared" ref="B28" si="7">B26+1</f>
        <v>10</v>
      </c>
      <c r="C28" s="3224"/>
      <c r="D28" s="1266" t="s">
        <v>5709</v>
      </c>
      <c r="E28" s="3224"/>
      <c r="F28" s="3227" t="s">
        <v>5713</v>
      </c>
      <c r="G28" s="3226" t="s">
        <v>5715</v>
      </c>
      <c r="I28" s="1271" t="b">
        <v>0</v>
      </c>
      <c r="J28" s="1271">
        <f>I28*1</f>
        <v>0</v>
      </c>
      <c r="K28" s="1271">
        <f>IF(J28=0,0,SUM($J$6:J28)*10)</f>
        <v>0</v>
      </c>
    </row>
    <row r="29" spans="2:11" ht="30" customHeight="1">
      <c r="B29" s="3216"/>
      <c r="C29" s="3224"/>
      <c r="D29" s="1375" t="s">
        <v>5710</v>
      </c>
      <c r="E29" s="3224"/>
      <c r="F29" s="3225"/>
      <c r="G29" s="3226"/>
    </row>
    <row r="30" spans="2:11" ht="30" customHeight="1">
      <c r="B30" s="3216">
        <f t="shared" ref="B30" si="8">B28+1</f>
        <v>11</v>
      </c>
      <c r="C30" s="3224"/>
      <c r="D30" s="1266" t="s">
        <v>5711</v>
      </c>
      <c r="E30" s="3224"/>
      <c r="F30" s="3227" t="s">
        <v>5714</v>
      </c>
      <c r="G30" s="3226" t="s">
        <v>5716</v>
      </c>
      <c r="I30" s="1271" t="b">
        <v>0</v>
      </c>
      <c r="J30" s="1271">
        <f>I30*1</f>
        <v>0</v>
      </c>
      <c r="K30" s="1271">
        <f>IF(J30=0,0,SUM($J$6:J30)*10)</f>
        <v>0</v>
      </c>
    </row>
    <row r="31" spans="2:11" ht="30" customHeight="1">
      <c r="B31" s="3216"/>
      <c r="C31" s="3224"/>
      <c r="D31" s="1267" t="s">
        <v>5712</v>
      </c>
      <c r="E31" s="3224"/>
      <c r="F31" s="3225"/>
      <c r="G31" s="3226"/>
    </row>
    <row r="32" spans="2:11" ht="30" customHeight="1">
      <c r="B32" s="3216">
        <f t="shared" ref="B32" si="9">B30+1</f>
        <v>12</v>
      </c>
      <c r="C32" s="3224"/>
      <c r="D32" s="1341" t="s">
        <v>5740</v>
      </c>
      <c r="E32" s="3224"/>
      <c r="F32" s="3220" t="s">
        <v>5737</v>
      </c>
      <c r="G32" s="3222" t="s">
        <v>5738</v>
      </c>
      <c r="I32" s="1271" t="b">
        <v>0</v>
      </c>
      <c r="J32" s="1271">
        <f>I32*1</f>
        <v>0</v>
      </c>
      <c r="K32" s="1271">
        <f>IF(J32=0,0,SUM($J$6:J32)*10)</f>
        <v>0</v>
      </c>
    </row>
    <row r="33" spans="2:11" ht="30" customHeight="1">
      <c r="B33" s="3216"/>
      <c r="C33" s="3224"/>
      <c r="D33" s="1267" t="s">
        <v>5741</v>
      </c>
      <c r="E33" s="3224"/>
      <c r="F33" s="3225"/>
      <c r="G33" s="3226"/>
    </row>
    <row r="34" spans="2:11" ht="30" customHeight="1">
      <c r="B34" s="3216">
        <f t="shared" ref="B34" si="10">B32+1</f>
        <v>13</v>
      </c>
      <c r="C34" s="3218"/>
      <c r="D34" s="1341" t="s">
        <v>5742</v>
      </c>
      <c r="E34" s="3218"/>
      <c r="F34" s="3220" t="s">
        <v>5744</v>
      </c>
      <c r="G34" s="3222" t="s">
        <v>5739</v>
      </c>
      <c r="I34" s="1271" t="b">
        <v>0</v>
      </c>
      <c r="J34" s="1271">
        <f>I34*1</f>
        <v>0</v>
      </c>
      <c r="K34" s="1271">
        <f>IF(J34=0,0,SUM($J$6:J34)*10)</f>
        <v>0</v>
      </c>
    </row>
    <row r="35" spans="2:11" ht="30" customHeight="1" thickBot="1">
      <c r="B35" s="3217"/>
      <c r="C35" s="3219"/>
      <c r="D35" s="1268" t="s">
        <v>5743</v>
      </c>
      <c r="E35" s="3219"/>
      <c r="F35" s="3221"/>
      <c r="G35" s="3223"/>
    </row>
    <row r="36" spans="2:11" ht="30" customHeight="1">
      <c r="B36" s="3236"/>
      <c r="C36" s="3236"/>
      <c r="D36" s="1339"/>
      <c r="E36" s="3237"/>
      <c r="F36" s="3237"/>
      <c r="G36" s="3238"/>
    </row>
    <row r="37" spans="2:11" ht="30" customHeight="1">
      <c r="B37" s="3236"/>
      <c r="C37" s="3237"/>
      <c r="D37" s="1340"/>
      <c r="E37" s="3237"/>
      <c r="F37" s="3237"/>
      <c r="G37" s="3238"/>
    </row>
  </sheetData>
  <sheetProtection algorithmName="SHA-512" hashValue="R2dHwiOQ1E7YmWIxutppJsMVVe5oXsEwsGkWnfuvNZF6C35yhbtbpz/0i3f4YOQIFpo4LAxQXKnGNnenDZkniQ==" saltValue="Ny1SB+iw4cybD7NGFuGAwg==" spinCount="100000" sheet="1" objects="1" scenarios="1" selectLockedCells="1"/>
  <mergeCells count="81">
    <mergeCell ref="B36:B37"/>
    <mergeCell ref="C36:C37"/>
    <mergeCell ref="E36:E37"/>
    <mergeCell ref="F36:F37"/>
    <mergeCell ref="G36:G37"/>
    <mergeCell ref="B30:B31"/>
    <mergeCell ref="C30:C31"/>
    <mergeCell ref="E30:E31"/>
    <mergeCell ref="F30:F31"/>
    <mergeCell ref="G30:G31"/>
    <mergeCell ref="F14:F15"/>
    <mergeCell ref="G14:G15"/>
    <mergeCell ref="F12:F13"/>
    <mergeCell ref="F10:F11"/>
    <mergeCell ref="F8:F9"/>
    <mergeCell ref="F6:F7"/>
    <mergeCell ref="G12:G13"/>
    <mergeCell ref="G10:G11"/>
    <mergeCell ref="G8:G9"/>
    <mergeCell ref="G6:G7"/>
    <mergeCell ref="E14:E15"/>
    <mergeCell ref="E12:E13"/>
    <mergeCell ref="E10:E11"/>
    <mergeCell ref="E8:E9"/>
    <mergeCell ref="E6:E7"/>
    <mergeCell ref="C5:D5"/>
    <mergeCell ref="C14:C15"/>
    <mergeCell ref="B14:B15"/>
    <mergeCell ref="C12:C13"/>
    <mergeCell ref="B12:B13"/>
    <mergeCell ref="C10:C11"/>
    <mergeCell ref="B10:B11"/>
    <mergeCell ref="C8:C9"/>
    <mergeCell ref="B8:B9"/>
    <mergeCell ref="C6:C7"/>
    <mergeCell ref="B6:B7"/>
    <mergeCell ref="B16:B17"/>
    <mergeCell ref="C16:C17"/>
    <mergeCell ref="E16:E17"/>
    <mergeCell ref="F16:F17"/>
    <mergeCell ref="G16:G17"/>
    <mergeCell ref="B18:B19"/>
    <mergeCell ref="C18:C19"/>
    <mergeCell ref="E18:E19"/>
    <mergeCell ref="F18:F19"/>
    <mergeCell ref="G18:G19"/>
    <mergeCell ref="B20:B21"/>
    <mergeCell ref="C20:C21"/>
    <mergeCell ref="E20:E21"/>
    <mergeCell ref="F20:F21"/>
    <mergeCell ref="G20:G21"/>
    <mergeCell ref="B24:B25"/>
    <mergeCell ref="C24:C25"/>
    <mergeCell ref="E24:E25"/>
    <mergeCell ref="F24:F25"/>
    <mergeCell ref="G24:G25"/>
    <mergeCell ref="B22:B23"/>
    <mergeCell ref="C22:C23"/>
    <mergeCell ref="E22:E23"/>
    <mergeCell ref="F22:F23"/>
    <mergeCell ref="G22:G23"/>
    <mergeCell ref="B26:B27"/>
    <mergeCell ref="C26:C27"/>
    <mergeCell ref="E26:E27"/>
    <mergeCell ref="F26:F27"/>
    <mergeCell ref="G26:G27"/>
    <mergeCell ref="B28:B29"/>
    <mergeCell ref="C28:C29"/>
    <mergeCell ref="E28:E29"/>
    <mergeCell ref="F28:F29"/>
    <mergeCell ref="G28:G29"/>
    <mergeCell ref="B32:B33"/>
    <mergeCell ref="C32:C33"/>
    <mergeCell ref="E32:E33"/>
    <mergeCell ref="F32:F33"/>
    <mergeCell ref="G32:G33"/>
    <mergeCell ref="B34:B35"/>
    <mergeCell ref="C34:C35"/>
    <mergeCell ref="E34:E35"/>
    <mergeCell ref="F34:F35"/>
    <mergeCell ref="G34:G35"/>
  </mergeCells>
  <phoneticPr fontId="3"/>
  <pageMargins left="0.7" right="0.7" top="0.75" bottom="0.75" header="0.3" footer="0.3"/>
  <pageSetup paperSize="9" scale="4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5651" r:id="rId4" name="Check Box 3">
              <controlPr defaultSize="0" autoFill="0" autoLine="0" autoPict="0">
                <anchor moveWithCells="1">
                  <from>
                    <xdr:col>4</xdr:col>
                    <xdr:colOff>203200</xdr:colOff>
                    <xdr:row>9</xdr:row>
                    <xdr:rowOff>285750</xdr:rowOff>
                  </from>
                  <to>
                    <xdr:col>4</xdr:col>
                    <xdr:colOff>660400</xdr:colOff>
                    <xdr:row>10</xdr:row>
                    <xdr:rowOff>114300</xdr:rowOff>
                  </to>
                </anchor>
              </controlPr>
            </control>
          </mc:Choice>
        </mc:AlternateContent>
        <mc:AlternateContent xmlns:mc="http://schemas.openxmlformats.org/markup-compatibility/2006">
          <mc:Choice Requires="x14">
            <control shapeId="155652" r:id="rId5" name="Check Box 4">
              <controlPr defaultSize="0" autoFill="0" autoLine="0" autoPict="0">
                <anchor moveWithCells="1">
                  <from>
                    <xdr:col>4</xdr:col>
                    <xdr:colOff>203200</xdr:colOff>
                    <xdr:row>11</xdr:row>
                    <xdr:rowOff>285750</xdr:rowOff>
                  </from>
                  <to>
                    <xdr:col>4</xdr:col>
                    <xdr:colOff>660400</xdr:colOff>
                    <xdr:row>12</xdr:row>
                    <xdr:rowOff>114300</xdr:rowOff>
                  </to>
                </anchor>
              </controlPr>
            </control>
          </mc:Choice>
        </mc:AlternateContent>
        <mc:AlternateContent xmlns:mc="http://schemas.openxmlformats.org/markup-compatibility/2006">
          <mc:Choice Requires="x14">
            <control shapeId="155655" r:id="rId6" name="Check Box 7">
              <controlPr defaultSize="0" autoFill="0" autoLine="0" autoPict="0">
                <anchor moveWithCells="1">
                  <from>
                    <xdr:col>4</xdr:col>
                    <xdr:colOff>203200</xdr:colOff>
                    <xdr:row>13</xdr:row>
                    <xdr:rowOff>285750</xdr:rowOff>
                  </from>
                  <to>
                    <xdr:col>4</xdr:col>
                    <xdr:colOff>660400</xdr:colOff>
                    <xdr:row>14</xdr:row>
                    <xdr:rowOff>114300</xdr:rowOff>
                  </to>
                </anchor>
              </controlPr>
            </control>
          </mc:Choice>
        </mc:AlternateContent>
        <mc:AlternateContent xmlns:mc="http://schemas.openxmlformats.org/markup-compatibility/2006">
          <mc:Choice Requires="x14">
            <control shapeId="155657" r:id="rId7" name="Check Box 9">
              <controlPr defaultSize="0" autoFill="0" autoLine="0" autoPict="0">
                <anchor moveWithCells="1">
                  <from>
                    <xdr:col>4</xdr:col>
                    <xdr:colOff>203200</xdr:colOff>
                    <xdr:row>15</xdr:row>
                    <xdr:rowOff>285750</xdr:rowOff>
                  </from>
                  <to>
                    <xdr:col>4</xdr:col>
                    <xdr:colOff>660400</xdr:colOff>
                    <xdr:row>16</xdr:row>
                    <xdr:rowOff>114300</xdr:rowOff>
                  </to>
                </anchor>
              </controlPr>
            </control>
          </mc:Choice>
        </mc:AlternateContent>
        <mc:AlternateContent xmlns:mc="http://schemas.openxmlformats.org/markup-compatibility/2006">
          <mc:Choice Requires="x14">
            <control shapeId="155661" r:id="rId8" name="Check Box 13">
              <controlPr defaultSize="0" autoFill="0" autoLine="0" autoPict="0">
                <anchor moveWithCells="1">
                  <from>
                    <xdr:col>4</xdr:col>
                    <xdr:colOff>203200</xdr:colOff>
                    <xdr:row>17</xdr:row>
                    <xdr:rowOff>285750</xdr:rowOff>
                  </from>
                  <to>
                    <xdr:col>4</xdr:col>
                    <xdr:colOff>660400</xdr:colOff>
                    <xdr:row>18</xdr:row>
                    <xdr:rowOff>114300</xdr:rowOff>
                  </to>
                </anchor>
              </controlPr>
            </control>
          </mc:Choice>
        </mc:AlternateContent>
        <mc:AlternateContent xmlns:mc="http://schemas.openxmlformats.org/markup-compatibility/2006">
          <mc:Choice Requires="x14">
            <control shapeId="155662" r:id="rId9" name="Check Box 14">
              <controlPr defaultSize="0" autoFill="0" autoLine="0" autoPict="0">
                <anchor moveWithCells="1">
                  <from>
                    <xdr:col>4</xdr:col>
                    <xdr:colOff>203200</xdr:colOff>
                    <xdr:row>19</xdr:row>
                    <xdr:rowOff>285750</xdr:rowOff>
                  </from>
                  <to>
                    <xdr:col>4</xdr:col>
                    <xdr:colOff>660400</xdr:colOff>
                    <xdr:row>20</xdr:row>
                    <xdr:rowOff>114300</xdr:rowOff>
                  </to>
                </anchor>
              </controlPr>
            </control>
          </mc:Choice>
        </mc:AlternateContent>
        <mc:AlternateContent xmlns:mc="http://schemas.openxmlformats.org/markup-compatibility/2006">
          <mc:Choice Requires="x14">
            <control shapeId="155664" r:id="rId10" name="Check Box 16">
              <controlPr defaultSize="0" autoFill="0" autoLine="0" autoPict="0">
                <anchor moveWithCells="1">
                  <from>
                    <xdr:col>4</xdr:col>
                    <xdr:colOff>203200</xdr:colOff>
                    <xdr:row>21</xdr:row>
                    <xdr:rowOff>285750</xdr:rowOff>
                  </from>
                  <to>
                    <xdr:col>4</xdr:col>
                    <xdr:colOff>660400</xdr:colOff>
                    <xdr:row>22</xdr:row>
                    <xdr:rowOff>114300</xdr:rowOff>
                  </to>
                </anchor>
              </controlPr>
            </control>
          </mc:Choice>
        </mc:AlternateContent>
        <mc:AlternateContent xmlns:mc="http://schemas.openxmlformats.org/markup-compatibility/2006">
          <mc:Choice Requires="x14">
            <control shapeId="155668" r:id="rId11" name="Check Box 20">
              <controlPr defaultSize="0" autoFill="0" autoLine="0" autoPict="0">
                <anchor moveWithCells="1">
                  <from>
                    <xdr:col>4</xdr:col>
                    <xdr:colOff>203200</xdr:colOff>
                    <xdr:row>25</xdr:row>
                    <xdr:rowOff>285750</xdr:rowOff>
                  </from>
                  <to>
                    <xdr:col>4</xdr:col>
                    <xdr:colOff>660400</xdr:colOff>
                    <xdr:row>26</xdr:row>
                    <xdr:rowOff>114300</xdr:rowOff>
                  </to>
                </anchor>
              </controlPr>
            </control>
          </mc:Choice>
        </mc:AlternateContent>
        <mc:AlternateContent xmlns:mc="http://schemas.openxmlformats.org/markup-compatibility/2006">
          <mc:Choice Requires="x14">
            <control shapeId="155669" r:id="rId12" name="Check Box 21">
              <controlPr defaultSize="0" autoFill="0" autoLine="0" autoPict="0">
                <anchor moveWithCells="1">
                  <from>
                    <xdr:col>4</xdr:col>
                    <xdr:colOff>203200</xdr:colOff>
                    <xdr:row>27</xdr:row>
                    <xdr:rowOff>285750</xdr:rowOff>
                  </from>
                  <to>
                    <xdr:col>4</xdr:col>
                    <xdr:colOff>660400</xdr:colOff>
                    <xdr:row>28</xdr:row>
                    <xdr:rowOff>114300</xdr:rowOff>
                  </to>
                </anchor>
              </controlPr>
            </control>
          </mc:Choice>
        </mc:AlternateContent>
        <mc:AlternateContent xmlns:mc="http://schemas.openxmlformats.org/markup-compatibility/2006">
          <mc:Choice Requires="x14">
            <control shapeId="155670" r:id="rId13" name="Check Box 22">
              <controlPr defaultSize="0" autoFill="0" autoLine="0" autoPict="0">
                <anchor moveWithCells="1">
                  <from>
                    <xdr:col>4</xdr:col>
                    <xdr:colOff>203200</xdr:colOff>
                    <xdr:row>29</xdr:row>
                    <xdr:rowOff>285750</xdr:rowOff>
                  </from>
                  <to>
                    <xdr:col>4</xdr:col>
                    <xdr:colOff>660400</xdr:colOff>
                    <xdr:row>30</xdr:row>
                    <xdr:rowOff>114300</xdr:rowOff>
                  </to>
                </anchor>
              </controlPr>
            </control>
          </mc:Choice>
        </mc:AlternateContent>
        <mc:AlternateContent xmlns:mc="http://schemas.openxmlformats.org/markup-compatibility/2006">
          <mc:Choice Requires="x14">
            <control shapeId="155673" r:id="rId14" name="Check Box 25">
              <controlPr defaultSize="0" autoFill="0" autoLine="0" autoPict="0">
                <anchor moveWithCells="1">
                  <from>
                    <xdr:col>4</xdr:col>
                    <xdr:colOff>203200</xdr:colOff>
                    <xdr:row>31</xdr:row>
                    <xdr:rowOff>285750</xdr:rowOff>
                  </from>
                  <to>
                    <xdr:col>4</xdr:col>
                    <xdr:colOff>660400</xdr:colOff>
                    <xdr:row>32</xdr:row>
                    <xdr:rowOff>114300</xdr:rowOff>
                  </to>
                </anchor>
              </controlPr>
            </control>
          </mc:Choice>
        </mc:AlternateContent>
        <mc:AlternateContent xmlns:mc="http://schemas.openxmlformats.org/markup-compatibility/2006">
          <mc:Choice Requires="x14">
            <control shapeId="155674" r:id="rId15" name="Check Box 26">
              <controlPr defaultSize="0" autoFill="0" autoLine="0" autoPict="0">
                <anchor moveWithCells="1">
                  <from>
                    <xdr:col>4</xdr:col>
                    <xdr:colOff>203200</xdr:colOff>
                    <xdr:row>33</xdr:row>
                    <xdr:rowOff>285750</xdr:rowOff>
                  </from>
                  <to>
                    <xdr:col>4</xdr:col>
                    <xdr:colOff>660400</xdr:colOff>
                    <xdr:row>34</xdr:row>
                    <xdr:rowOff>114300</xdr:rowOff>
                  </to>
                </anchor>
              </controlPr>
            </control>
          </mc:Choice>
        </mc:AlternateContent>
        <mc:AlternateContent xmlns:mc="http://schemas.openxmlformats.org/markup-compatibility/2006">
          <mc:Choice Requires="x14">
            <control shapeId="155675" r:id="rId16" name="Check Box 27">
              <controlPr defaultSize="0" autoFill="0" autoLine="0" autoPict="0">
                <anchor moveWithCells="1">
                  <from>
                    <xdr:col>4</xdr:col>
                    <xdr:colOff>203200</xdr:colOff>
                    <xdr:row>7</xdr:row>
                    <xdr:rowOff>285750</xdr:rowOff>
                  </from>
                  <to>
                    <xdr:col>4</xdr:col>
                    <xdr:colOff>660400</xdr:colOff>
                    <xdr:row>8</xdr:row>
                    <xdr:rowOff>114300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DY312"/>
  <sheetViews>
    <sheetView showGridLines="0" zoomScale="85" zoomScaleNormal="85" zoomScaleSheetLayoutView="75" workbookViewId="0"/>
  </sheetViews>
  <sheetFormatPr defaultColWidth="3.08984375" defaultRowHeight="19.5" customHeight="1"/>
  <cols>
    <col min="1" max="1" width="3.36328125" style="239" customWidth="1"/>
    <col min="2" max="2" width="3.36328125" style="252" customWidth="1"/>
    <col min="3" max="3" width="3.36328125" style="240" customWidth="1"/>
    <col min="4" max="28" width="3.36328125" style="236" customWidth="1"/>
    <col min="29" max="37" width="3.36328125" style="237" customWidth="1"/>
    <col min="38" max="46" width="3.36328125" style="236" customWidth="1"/>
    <col min="47" max="47" width="3.36328125" style="179" customWidth="1"/>
    <col min="48" max="48" width="6.7265625" style="199" hidden="1" customWidth="1"/>
    <col min="49" max="52" width="5.90625" style="200" hidden="1" customWidth="1"/>
    <col min="53" max="63" width="5.90625" style="24" hidden="1" customWidth="1"/>
    <col min="64" max="65" width="6.6328125" style="24" hidden="1" customWidth="1"/>
    <col min="66" max="74" width="5.90625" style="24" hidden="1" customWidth="1"/>
    <col min="75" max="75" width="12.6328125" style="24" hidden="1" customWidth="1"/>
    <col min="76" max="76" width="11.6328125" style="24" hidden="1" customWidth="1"/>
    <col min="77" max="77" width="5.90625" style="24" hidden="1" customWidth="1"/>
    <col min="78" max="79" width="7.6328125" style="119" hidden="1" customWidth="1"/>
    <col min="80" max="80" width="5.90625" style="205" hidden="1" customWidth="1"/>
    <col min="81" max="81" width="5.90625" style="24" hidden="1" customWidth="1"/>
    <col min="82" max="82" width="5.90625" style="22" hidden="1" customWidth="1"/>
    <col min="83" max="83" width="27.08984375" style="22" hidden="1" customWidth="1"/>
    <col min="84" max="84" width="5.90625" style="22" hidden="1" customWidth="1"/>
    <col min="85" max="85" width="5.90625" style="32" hidden="1" customWidth="1"/>
    <col min="86" max="86" width="16.6328125" style="81" hidden="1" customWidth="1"/>
    <col min="87" max="87" width="10.6328125" style="81" hidden="1" customWidth="1"/>
    <col min="88" max="88" width="5.08984375" style="81" hidden="1" customWidth="1"/>
    <col min="89" max="89" width="3.6328125" style="81" hidden="1" customWidth="1"/>
    <col min="90" max="90" width="3.6328125" style="86" hidden="1" customWidth="1"/>
    <col min="91" max="92" width="5.90625" style="57" hidden="1" customWidth="1"/>
    <col min="93" max="93" width="16.6328125" style="57" hidden="1" customWidth="1"/>
    <col min="94" max="94" width="16.6328125" style="88" hidden="1" customWidth="1"/>
    <col min="95" max="95" width="5.90625" style="57" hidden="1" customWidth="1"/>
    <col min="96" max="96" width="20.453125" style="57" hidden="1" customWidth="1"/>
    <col min="97" max="97" width="5.08984375" style="81" hidden="1" customWidth="1"/>
    <col min="98" max="98" width="8.6328125" style="81" hidden="1" customWidth="1"/>
    <col min="99" max="99" width="5.90625" style="81" hidden="1" customWidth="1"/>
    <col min="100" max="100" width="5.90625" style="59" hidden="1" customWidth="1"/>
    <col min="101" max="101" width="10.453125" style="90" hidden="1" customWidth="1"/>
    <col min="102" max="102" width="6.6328125" style="90" hidden="1" customWidth="1"/>
    <col min="103" max="103" width="5.90625" style="90" hidden="1" customWidth="1"/>
    <col min="104" max="105" width="5.90625" style="55" hidden="1" customWidth="1"/>
    <col min="106" max="106" width="5.90625" style="43" hidden="1" customWidth="1"/>
    <col min="107" max="107" width="5.90625" style="42" hidden="1" customWidth="1"/>
    <col min="108" max="108" width="5.90625" style="44" hidden="1" customWidth="1"/>
    <col min="109" max="109" width="5.90625" style="42" hidden="1" customWidth="1"/>
    <col min="110" max="111" width="5.90625" style="43" hidden="1" customWidth="1"/>
    <col min="112" max="112" width="11.6328125" style="43" hidden="1" customWidth="1"/>
    <col min="113" max="113" width="29.08984375" style="43" hidden="1" customWidth="1"/>
    <col min="114" max="114" width="5.90625" style="55" hidden="1" customWidth="1"/>
    <col min="115" max="115" width="10.36328125" style="43" hidden="1" customWidth="1"/>
    <col min="116" max="116" width="8.7265625" style="106" hidden="1" customWidth="1"/>
    <col min="117" max="117" width="5.90625" style="106" hidden="1" customWidth="1"/>
    <col min="118" max="118" width="9.26953125" style="107" hidden="1" customWidth="1"/>
    <col min="119" max="119" width="5.90625" style="23" hidden="1" customWidth="1"/>
    <col min="120" max="120" width="11.26953125" style="23" hidden="1" customWidth="1"/>
    <col min="121" max="121" width="26.08984375" style="85" hidden="1" customWidth="1"/>
    <col min="122" max="122" width="4.6328125" style="85" hidden="1" customWidth="1"/>
    <col min="123" max="123" width="62.6328125" style="85" hidden="1" customWidth="1"/>
    <col min="124" max="124" width="5.6328125" style="85" hidden="1" customWidth="1"/>
    <col min="125" max="125" width="8.7265625" style="85" hidden="1" customWidth="1"/>
    <col min="126" max="126" width="5.90625" style="32" hidden="1" customWidth="1"/>
    <col min="127" max="127" width="3.36328125" style="22" customWidth="1"/>
    <col min="128" max="129" width="3.08984375" style="22" customWidth="1"/>
    <col min="130" max="137" width="3.08984375" style="4" customWidth="1"/>
    <col min="138" max="16384" width="3.08984375" style="4"/>
  </cols>
  <sheetData>
    <row r="1" spans="1:129" s="22" customFormat="1" ht="19.5" customHeight="1" thickBot="1">
      <c r="A1" s="186"/>
      <c r="B1" s="247"/>
      <c r="C1" s="222"/>
      <c r="D1" s="222"/>
      <c r="E1" s="222"/>
      <c r="F1" s="222"/>
      <c r="G1" s="222"/>
      <c r="H1" s="222"/>
      <c r="I1" s="222"/>
      <c r="J1" s="222"/>
      <c r="K1" s="222"/>
      <c r="L1" s="222"/>
      <c r="M1" s="222"/>
      <c r="N1" s="222"/>
      <c r="O1" s="222"/>
      <c r="P1" s="222"/>
      <c r="Q1" s="222"/>
      <c r="R1" s="222"/>
      <c r="S1" s="222"/>
      <c r="T1" s="222"/>
      <c r="U1" s="222"/>
      <c r="V1" s="222"/>
      <c r="W1" s="222"/>
      <c r="X1" s="222"/>
      <c r="Y1" s="222"/>
      <c r="Z1" s="222"/>
      <c r="AA1" s="222"/>
      <c r="AB1" s="222"/>
      <c r="AC1" s="222"/>
      <c r="AD1" s="222"/>
      <c r="AE1" s="222"/>
      <c r="AF1" s="222"/>
      <c r="AG1" s="222"/>
      <c r="AH1" s="222"/>
      <c r="AI1" s="222"/>
      <c r="AJ1" s="222"/>
      <c r="AK1" s="222"/>
      <c r="AL1" s="222"/>
      <c r="AM1" s="222"/>
      <c r="AN1" s="222"/>
      <c r="AO1" s="222"/>
      <c r="AP1" s="222"/>
      <c r="AQ1" s="222"/>
      <c r="AR1" s="222"/>
      <c r="AS1" s="222"/>
      <c r="AT1" s="222"/>
      <c r="AU1" s="223" t="str">
        <f>記入シート2!AU1</f>
        <v>Ver 3.10</v>
      </c>
      <c r="AV1" s="199" t="str">
        <f>T(I3)</f>
        <v/>
      </c>
      <c r="AW1" s="201"/>
      <c r="AX1" s="201"/>
      <c r="AY1" s="201"/>
      <c r="AZ1" s="201"/>
      <c r="BA1" s="21"/>
      <c r="BB1" s="21"/>
      <c r="BC1" s="21" t="s">
        <v>2081</v>
      </c>
      <c r="BD1" s="21"/>
      <c r="BE1" s="21"/>
      <c r="BF1" s="21"/>
      <c r="BG1" s="21"/>
      <c r="BH1" s="21"/>
      <c r="BI1" s="21"/>
      <c r="BJ1" s="21"/>
      <c r="BK1" s="21"/>
      <c r="BL1" s="21"/>
      <c r="BM1" s="21"/>
      <c r="BN1" s="21"/>
      <c r="BO1" s="21"/>
      <c r="BP1" s="21"/>
      <c r="BQ1" s="21"/>
      <c r="BR1" s="21"/>
      <c r="BS1" s="21"/>
      <c r="BT1" s="21"/>
      <c r="BU1" s="21"/>
      <c r="BV1" s="21"/>
      <c r="BW1" s="21" t="s">
        <v>2100</v>
      </c>
      <c r="BX1" s="21" t="s">
        <v>2016</v>
      </c>
      <c r="BY1" s="21"/>
      <c r="BZ1" s="21" t="s">
        <v>697</v>
      </c>
      <c r="CA1" s="720" t="s">
        <v>645</v>
      </c>
      <c r="CB1" s="721" t="s">
        <v>646</v>
      </c>
      <c r="CC1" s="3"/>
      <c r="CD1" s="133" t="s">
        <v>688</v>
      </c>
      <c r="CE1" s="132" t="s">
        <v>689</v>
      </c>
      <c r="CF1" s="132" t="s">
        <v>690</v>
      </c>
      <c r="CG1" s="31"/>
      <c r="CH1" s="77" t="s">
        <v>634</v>
      </c>
      <c r="CI1" s="77"/>
      <c r="CJ1" s="77"/>
      <c r="CK1" s="77"/>
      <c r="CL1" s="77"/>
      <c r="CM1" s="77"/>
      <c r="CN1" s="77"/>
      <c r="CO1" s="13"/>
      <c r="CP1" s="58"/>
      <c r="CQ1" s="129"/>
      <c r="CR1" s="59" t="s">
        <v>6</v>
      </c>
      <c r="CS1" s="59" t="s">
        <v>618</v>
      </c>
      <c r="CT1" s="59" t="s">
        <v>4</v>
      </c>
      <c r="CU1" s="59" t="s">
        <v>5</v>
      </c>
      <c r="CV1" s="60"/>
      <c r="CW1" s="5" t="s">
        <v>2</v>
      </c>
      <c r="CX1" s="5"/>
      <c r="CY1" s="48"/>
      <c r="CZ1" s="6"/>
      <c r="DA1" s="48"/>
      <c r="DB1" s="5" t="s">
        <v>618</v>
      </c>
      <c r="DC1" s="5" t="s">
        <v>623</v>
      </c>
      <c r="DD1" s="5" t="s">
        <v>8</v>
      </c>
      <c r="DE1" s="42"/>
      <c r="DF1" s="90"/>
      <c r="DG1" s="90"/>
      <c r="DH1" s="5" t="s">
        <v>3</v>
      </c>
      <c r="DI1" s="90"/>
      <c r="DJ1" s="91"/>
      <c r="DK1" s="91"/>
      <c r="DL1" s="92" t="s">
        <v>9</v>
      </c>
      <c r="DM1" s="92" t="s">
        <v>10</v>
      </c>
      <c r="DN1" s="93" t="s">
        <v>8</v>
      </c>
      <c r="DO1" s="21"/>
      <c r="DP1" s="451" t="s">
        <v>1113</v>
      </c>
      <c r="DQ1" s="451"/>
      <c r="DR1" s="451"/>
      <c r="DS1" s="451"/>
      <c r="DT1" s="451" t="s">
        <v>1246</v>
      </c>
      <c r="DU1" s="451" t="s">
        <v>8</v>
      </c>
      <c r="DV1" s="31"/>
      <c r="DX1" s="115"/>
      <c r="DY1" s="115"/>
    </row>
    <row r="2" spans="1:129" s="22" customFormat="1" ht="19.5" customHeight="1" thickTop="1" thickBot="1">
      <c r="A2" s="186"/>
      <c r="B2" s="248"/>
      <c r="C2" s="224" t="s">
        <v>344</v>
      </c>
      <c r="D2" s="224"/>
      <c r="E2" s="224"/>
      <c r="F2" s="224"/>
      <c r="G2" s="224"/>
      <c r="H2" s="224"/>
      <c r="I2" s="225" t="str">
        <f>IF(AND(記入シート1!AV12=2,I3=""),"↓サービスID追加のため、マーチャントIDを確認し正確に記入してください。",IF(AND(記入シート1!AV12=1,I3&lt;&gt;""),"↓新規の場合、マーチャントIDは指定出来ません。",""))</f>
        <v/>
      </c>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c r="AM2" s="224"/>
      <c r="AN2" s="224"/>
      <c r="AO2" s="224"/>
      <c r="AP2" s="224"/>
      <c r="AQ2" s="224"/>
      <c r="AR2" s="224"/>
      <c r="AS2" s="224"/>
      <c r="AT2" s="226"/>
      <c r="AU2" s="227"/>
      <c r="AV2" s="329" t="str">
        <f>T(R3)</f>
        <v/>
      </c>
      <c r="AW2" s="201"/>
      <c r="AX2" s="201"/>
      <c r="AY2" s="201"/>
      <c r="AZ2" s="200"/>
      <c r="BA2" s="21"/>
      <c r="BB2" s="21"/>
      <c r="BC2" s="21" t="s">
        <v>642</v>
      </c>
      <c r="BD2" s="21"/>
      <c r="BE2" s="21"/>
      <c r="BF2" s="21"/>
      <c r="BG2" s="21"/>
      <c r="BH2" s="21"/>
      <c r="BI2" s="21"/>
      <c r="BJ2" s="21"/>
      <c r="BK2" s="21"/>
      <c r="BL2" s="21"/>
      <c r="BM2" s="21"/>
      <c r="BN2" s="21"/>
      <c r="BO2" s="21"/>
      <c r="BP2" s="21"/>
      <c r="BQ2" s="21"/>
      <c r="BR2" s="21"/>
      <c r="BS2" s="21"/>
      <c r="BT2" s="21"/>
      <c r="BU2" s="21"/>
      <c r="BV2" s="21"/>
      <c r="BW2" s="21" t="s">
        <v>2101</v>
      </c>
      <c r="BX2" s="21" t="s">
        <v>1993</v>
      </c>
      <c r="BY2" s="21"/>
      <c r="BZ2" s="722" t="s">
        <v>1302</v>
      </c>
      <c r="CA2" s="723" t="str">
        <f>TEXT(BZ2,"0000000")</f>
        <v>0030302</v>
      </c>
      <c r="CB2" s="724" t="s">
        <v>1368</v>
      </c>
      <c r="CC2" s="21"/>
      <c r="CD2" s="145">
        <v>3033</v>
      </c>
      <c r="CE2" s="348" t="s">
        <v>3372</v>
      </c>
      <c r="CF2" s="145">
        <v>3033</v>
      </c>
      <c r="CG2" s="31"/>
      <c r="CH2" s="62" t="s">
        <v>323</v>
      </c>
      <c r="CI2" s="63" t="s">
        <v>586</v>
      </c>
      <c r="CJ2" s="63" t="s">
        <v>321</v>
      </c>
      <c r="CK2" s="62" t="s">
        <v>320</v>
      </c>
      <c r="CL2" s="62" t="s">
        <v>587</v>
      </c>
      <c r="CM2" s="62" t="s">
        <v>326</v>
      </c>
      <c r="CN2" s="62" t="s">
        <v>327</v>
      </c>
      <c r="CO2" s="62" t="s">
        <v>376</v>
      </c>
      <c r="CP2" s="62" t="s">
        <v>328</v>
      </c>
      <c r="CQ2" s="129"/>
      <c r="CR2" s="64" t="s">
        <v>11</v>
      </c>
      <c r="CS2" s="64" t="s">
        <v>12</v>
      </c>
      <c r="CT2" s="64" t="s">
        <v>13</v>
      </c>
      <c r="CU2" s="64" t="s">
        <v>619</v>
      </c>
      <c r="CV2" s="60"/>
      <c r="CW2" s="8" t="s">
        <v>323</v>
      </c>
      <c r="CX2" s="8" t="s">
        <v>705</v>
      </c>
      <c r="CY2" s="8" t="s">
        <v>326</v>
      </c>
      <c r="CZ2" s="8" t="s">
        <v>621</v>
      </c>
      <c r="DA2" s="8" t="s">
        <v>622</v>
      </c>
      <c r="DB2" s="8" t="s">
        <v>12</v>
      </c>
      <c r="DC2" s="8" t="s">
        <v>15</v>
      </c>
      <c r="DD2" s="8" t="s">
        <v>631</v>
      </c>
      <c r="DE2" s="42"/>
      <c r="DF2" s="90"/>
      <c r="DG2" s="90"/>
      <c r="DH2" s="94" t="s">
        <v>632</v>
      </c>
      <c r="DI2" s="94" t="s">
        <v>633</v>
      </c>
      <c r="DJ2" s="95" t="s">
        <v>326</v>
      </c>
      <c r="DK2" s="95" t="s">
        <v>582</v>
      </c>
      <c r="DL2" s="96" t="s">
        <v>14</v>
      </c>
      <c r="DM2" s="96" t="s">
        <v>17</v>
      </c>
      <c r="DN2" s="94" t="s">
        <v>16</v>
      </c>
      <c r="DO2" s="21"/>
      <c r="DP2" s="94" t="s">
        <v>1247</v>
      </c>
      <c r="DQ2" s="94" t="s">
        <v>633</v>
      </c>
      <c r="DR2" s="94" t="s">
        <v>1248</v>
      </c>
      <c r="DS2" s="94" t="s">
        <v>1249</v>
      </c>
      <c r="DT2" s="96" t="s">
        <v>17</v>
      </c>
      <c r="DU2" s="8" t="s">
        <v>631</v>
      </c>
      <c r="DV2" s="31"/>
      <c r="DX2" s="115"/>
      <c r="DY2" s="115"/>
    </row>
    <row r="3" spans="1:129" s="22" customFormat="1" ht="19.5" customHeight="1" thickTop="1">
      <c r="A3" s="186"/>
      <c r="B3" s="249">
        <f>記入シート1!B4+【見本】記入シート2!B4</f>
        <v>7</v>
      </c>
      <c r="C3" s="2042" t="s">
        <v>329</v>
      </c>
      <c r="D3" s="2043"/>
      <c r="E3" s="2043"/>
      <c r="F3" s="2043"/>
      <c r="G3" s="2043"/>
      <c r="H3" s="2044"/>
      <c r="I3" s="2045"/>
      <c r="J3" s="2046"/>
      <c r="K3" s="2047"/>
      <c r="L3" s="2048" t="s">
        <v>330</v>
      </c>
      <c r="M3" s="2043"/>
      <c r="N3" s="2043"/>
      <c r="O3" s="2043"/>
      <c r="P3" s="2043"/>
      <c r="Q3" s="2044"/>
      <c r="R3" s="2045"/>
      <c r="S3" s="2047"/>
      <c r="T3" s="2049" t="s">
        <v>782</v>
      </c>
      <c r="U3" s="2050"/>
      <c r="V3" s="2050"/>
      <c r="W3" s="2051"/>
      <c r="X3" s="2052"/>
      <c r="Y3" s="2052"/>
      <c r="Z3" s="2049" t="s">
        <v>644</v>
      </c>
      <c r="AA3" s="2050"/>
      <c r="AB3" s="2050"/>
      <c r="AC3" s="2076" t="str">
        <f>IF(W3="","",VLOOKUP(W3,CA:CB,2,0))</f>
        <v/>
      </c>
      <c r="AD3" s="2077"/>
      <c r="AE3" s="2077"/>
      <c r="AF3" s="2049" t="s">
        <v>783</v>
      </c>
      <c r="AG3" s="2050"/>
      <c r="AH3" s="2050"/>
      <c r="AI3" s="2051"/>
      <c r="AJ3" s="2052"/>
      <c r="AK3" s="2052"/>
      <c r="AL3" s="2078" t="s">
        <v>781</v>
      </c>
      <c r="AM3" s="2078"/>
      <c r="AN3" s="2078"/>
      <c r="AO3" s="2078"/>
      <c r="AP3" s="2090"/>
      <c r="AQ3" s="2090"/>
      <c r="AR3" s="2090"/>
      <c r="AS3" s="2090"/>
      <c r="AT3" s="2091"/>
      <c r="AU3" s="228"/>
      <c r="AV3" s="199"/>
      <c r="AW3" s="200"/>
      <c r="AX3" s="201"/>
      <c r="AY3" s="201"/>
      <c r="AZ3" s="200"/>
      <c r="BA3" s="21"/>
      <c r="BB3" s="21"/>
      <c r="BC3" s="21" t="s">
        <v>2082</v>
      </c>
      <c r="BD3" s="21"/>
      <c r="BE3" s="21"/>
      <c r="BF3" s="21"/>
      <c r="BG3" s="21"/>
      <c r="BH3" s="21"/>
      <c r="BI3" s="21"/>
      <c r="BJ3" s="21"/>
      <c r="BK3" s="21"/>
      <c r="BL3" s="21"/>
      <c r="BM3" s="21"/>
      <c r="BN3" s="21"/>
      <c r="BO3" s="21"/>
      <c r="BP3" s="21"/>
      <c r="BQ3" s="21"/>
      <c r="BR3" s="21"/>
      <c r="BS3" s="21"/>
      <c r="BT3" s="21"/>
      <c r="BU3" s="21"/>
      <c r="BV3" s="21"/>
      <c r="BW3" s="21" t="s">
        <v>2102</v>
      </c>
      <c r="BX3" s="21" t="s">
        <v>1994</v>
      </c>
      <c r="BY3" s="21"/>
      <c r="BZ3" s="722" t="s">
        <v>1303</v>
      </c>
      <c r="CA3" s="723" t="str">
        <f t="shared" ref="CA3:CA62" si="0">TEXT(BZ3,"0000000")</f>
        <v>0430106</v>
      </c>
      <c r="CB3" s="724" t="s">
        <v>647</v>
      </c>
      <c r="CC3" s="21"/>
      <c r="CD3" s="145">
        <v>6028</v>
      </c>
      <c r="CE3" s="145" t="s">
        <v>3383</v>
      </c>
      <c r="CF3" s="145">
        <v>6028</v>
      </c>
      <c r="CG3" s="31"/>
      <c r="CH3" s="65" t="s">
        <v>351</v>
      </c>
      <c r="CI3" s="65" t="s">
        <v>292</v>
      </c>
      <c r="CJ3" s="65">
        <v>5</v>
      </c>
      <c r="CK3" s="65" t="s">
        <v>216</v>
      </c>
      <c r="CL3" s="65" t="s">
        <v>83</v>
      </c>
      <c r="CM3" s="65"/>
      <c r="CN3" s="65" t="s">
        <v>591</v>
      </c>
      <c r="CO3" s="66" t="s">
        <v>311</v>
      </c>
      <c r="CP3" s="67" t="str">
        <f>ASC(I3)</f>
        <v/>
      </c>
      <c r="CQ3" s="129"/>
      <c r="CR3" s="68" t="s">
        <v>879</v>
      </c>
      <c r="CS3" s="68">
        <v>106</v>
      </c>
      <c r="CT3" s="69" t="str">
        <f>$CP$14</f>
        <v>20210601</v>
      </c>
      <c r="CU3" s="70">
        <f>IF(CV3&gt;0,1,0)</f>
        <v>1</v>
      </c>
      <c r="CV3" s="60">
        <f t="shared" ref="CV3:CV44" si="1">SUMIF(AY$11:AY$143,CS3,AZ$11:AZ$143)</f>
        <v>1</v>
      </c>
      <c r="CW3" s="9" t="s">
        <v>715</v>
      </c>
      <c r="CX3" s="9"/>
      <c r="CY3" s="49"/>
      <c r="CZ3" s="50"/>
      <c r="DA3" s="49"/>
      <c r="DB3" s="97" t="str">
        <f>LEFT(DC3,3)</f>
        <v>001</v>
      </c>
      <c r="DC3" s="136" t="s">
        <v>318</v>
      </c>
      <c r="DD3" s="98"/>
      <c r="DE3" s="42"/>
      <c r="DF3" s="90"/>
      <c r="DG3" s="90"/>
      <c r="DH3" s="99" t="s">
        <v>891</v>
      </c>
      <c r="DI3" s="103" t="s">
        <v>937</v>
      </c>
      <c r="DJ3" s="51" t="s">
        <v>624</v>
      </c>
      <c r="DK3" s="101" t="str">
        <f t="shared" ref="DK3:DK66" si="2">DL3&amp;DM3</f>
        <v>106022Y1</v>
      </c>
      <c r="DL3" s="105" t="s">
        <v>880</v>
      </c>
      <c r="DM3" s="102" t="s">
        <v>935</v>
      </c>
      <c r="DN3" s="298">
        <f>IF(AV18=TRUE,1,0)</f>
        <v>1</v>
      </c>
      <c r="DO3" s="21"/>
      <c r="DP3" s="452" t="s">
        <v>1250</v>
      </c>
      <c r="DQ3" s="452" t="s">
        <v>1114</v>
      </c>
      <c r="DR3" s="452" t="s">
        <v>1112</v>
      </c>
      <c r="DS3" s="452" t="s">
        <v>1251</v>
      </c>
      <c r="DT3" s="453" t="s">
        <v>1115</v>
      </c>
      <c r="DU3" s="454">
        <f>IF(記入シート1!AV97=0,"",記入シート1!AV97)</f>
        <v>2</v>
      </c>
      <c r="DV3" s="31"/>
      <c r="DX3" s="115"/>
      <c r="DY3" s="115"/>
    </row>
    <row r="4" spans="1:129" ht="19.5" customHeight="1">
      <c r="A4" s="186"/>
      <c r="B4" s="249">
        <f>SUM(B5:B188)</f>
        <v>1</v>
      </c>
      <c r="C4" s="2055" t="s">
        <v>691</v>
      </c>
      <c r="D4" s="2056"/>
      <c r="E4" s="2056"/>
      <c r="F4" s="2056"/>
      <c r="G4" s="2056"/>
      <c r="H4" s="2057"/>
      <c r="I4" s="2058"/>
      <c r="J4" s="1769"/>
      <c r="K4" s="2059"/>
      <c r="L4" s="1767" t="str">
        <f>IF(OR(I4="",I4="－",I4="‐",I4="-",I4="ー"),"",IF(ISERROR(VLOOKUP(I4,$CD$1:$CF$100,2,FALSE)),"登録中",VLOOKUP(I4,$CD$1:$CF$100,2,FALSE)))</f>
        <v/>
      </c>
      <c r="M4" s="1768"/>
      <c r="N4" s="1768"/>
      <c r="O4" s="1768"/>
      <c r="P4" s="1768"/>
      <c r="Q4" s="1768"/>
      <c r="R4" s="1768"/>
      <c r="S4" s="1768"/>
      <c r="T4" s="1768"/>
      <c r="U4" s="1768"/>
      <c r="V4" s="1768"/>
      <c r="W4" s="1768"/>
      <c r="X4" s="1768"/>
      <c r="Y4" s="1768"/>
      <c r="Z4" s="1768"/>
      <c r="AA4" s="1768"/>
      <c r="AB4" s="2060"/>
      <c r="AC4" s="2061" t="s">
        <v>336</v>
      </c>
      <c r="AD4" s="2061"/>
      <c r="AE4" s="2061"/>
      <c r="AF4" s="2061"/>
      <c r="AG4" s="2062" t="str">
        <f>IF(L4="登録中","",IF(LEN(I4)=4,I4,""))</f>
        <v/>
      </c>
      <c r="AH4" s="2062"/>
      <c r="AI4" s="2062"/>
      <c r="AJ4" s="2062"/>
      <c r="AK4" s="2062"/>
      <c r="AL4" s="2063" t="s">
        <v>3579</v>
      </c>
      <c r="AM4" s="2064"/>
      <c r="AN4" s="2064"/>
      <c r="AO4" s="2064"/>
      <c r="AP4" s="1447"/>
      <c r="AQ4" s="1447"/>
      <c r="AR4" s="1447"/>
      <c r="AS4" s="1447"/>
      <c r="AT4" s="2053"/>
      <c r="AU4" s="228"/>
      <c r="AX4" s="203"/>
      <c r="AY4" s="123"/>
      <c r="AZ4" s="116"/>
      <c r="BA4" s="129"/>
      <c r="BB4" s="129"/>
      <c r="BC4" s="129"/>
      <c r="BD4" s="129"/>
      <c r="BE4" s="129"/>
      <c r="BF4" s="129"/>
      <c r="BG4" s="129"/>
      <c r="BH4" s="129"/>
      <c r="BI4" s="129"/>
      <c r="BJ4" s="129"/>
      <c r="BK4" s="129"/>
      <c r="BL4" s="129"/>
      <c r="BM4" s="129"/>
      <c r="BN4" s="129"/>
      <c r="BO4" s="129"/>
      <c r="BP4" s="129"/>
      <c r="BQ4" s="129"/>
      <c r="BR4" s="129"/>
      <c r="BS4" s="129"/>
      <c r="BT4" s="23"/>
      <c r="BU4" s="23"/>
      <c r="BV4" s="23"/>
      <c r="BW4" s="23"/>
      <c r="BX4" s="23" t="s">
        <v>1995</v>
      </c>
      <c r="BY4" s="23"/>
      <c r="BZ4" s="722" t="s">
        <v>1304</v>
      </c>
      <c r="CA4" s="723" t="str">
        <f t="shared" si="0"/>
        <v>0430268</v>
      </c>
      <c r="CB4" s="724" t="s">
        <v>648</v>
      </c>
      <c r="CC4" s="23"/>
      <c r="CD4" s="145">
        <v>6032</v>
      </c>
      <c r="CE4" s="145" t="s">
        <v>3384</v>
      </c>
      <c r="CF4" s="145">
        <v>6032</v>
      </c>
      <c r="CH4" s="65" t="s">
        <v>353</v>
      </c>
      <c r="CI4" s="65" t="s">
        <v>63</v>
      </c>
      <c r="CJ4" s="65">
        <v>3</v>
      </c>
      <c r="CK4" s="65" t="s">
        <v>216</v>
      </c>
      <c r="CL4" s="65" t="s">
        <v>83</v>
      </c>
      <c r="CM4" s="65"/>
      <c r="CN4" s="65" t="s">
        <v>588</v>
      </c>
      <c r="CO4" s="66" t="s">
        <v>309</v>
      </c>
      <c r="CP4" s="67" t="str">
        <f>ASC(R3)</f>
        <v/>
      </c>
      <c r="CQ4" s="129"/>
      <c r="CR4" s="68" t="s">
        <v>1007</v>
      </c>
      <c r="CS4" s="68">
        <v>707</v>
      </c>
      <c r="CT4" s="68" t="str">
        <f>CT3</f>
        <v>20210601</v>
      </c>
      <c r="CU4" s="70">
        <f>IF(CV4&gt;0,1,0)</f>
        <v>0</v>
      </c>
      <c r="CV4" s="60">
        <f t="shared" si="1"/>
        <v>0</v>
      </c>
      <c r="CW4" s="128" t="s">
        <v>317</v>
      </c>
      <c r="CX4" s="128" t="s">
        <v>749</v>
      </c>
      <c r="CY4" s="134" t="s">
        <v>931</v>
      </c>
      <c r="CZ4" s="135" t="s">
        <v>343</v>
      </c>
      <c r="DA4" s="134"/>
      <c r="DB4" s="97" t="str">
        <f t="shared" ref="DB4:DB69" si="3">LEFT(DC4,3)</f>
        <v>001</v>
      </c>
      <c r="DC4" s="136" t="s">
        <v>748</v>
      </c>
      <c r="DD4" s="98">
        <v>2</v>
      </c>
      <c r="DF4" s="90"/>
      <c r="DG4" s="90"/>
      <c r="DH4" s="99" t="s">
        <v>891</v>
      </c>
      <c r="DI4" s="103" t="s">
        <v>938</v>
      </c>
      <c r="DJ4" s="51" t="s">
        <v>624</v>
      </c>
      <c r="DK4" s="101" t="str">
        <f t="shared" si="2"/>
        <v>106022Y2</v>
      </c>
      <c r="DL4" s="105" t="s">
        <v>880</v>
      </c>
      <c r="DM4" s="102" t="s">
        <v>936</v>
      </c>
      <c r="DN4" s="298">
        <f>IF(AV19=TRUE,1,0)</f>
        <v>1</v>
      </c>
      <c r="DP4" s="455" t="s">
        <v>1250</v>
      </c>
      <c r="DQ4" s="455" t="s">
        <v>1116</v>
      </c>
      <c r="DR4" s="455" t="s">
        <v>1252</v>
      </c>
      <c r="DS4" s="452" t="s">
        <v>1253</v>
      </c>
      <c r="DT4" s="456" t="s">
        <v>1254</v>
      </c>
      <c r="DU4" s="299" t="str">
        <f>IF(記入シート1!AV97=3,RIGHT("0000"&amp;記入シート1!AF97,4)&amp;RIGHT("00"&amp;記入シート1!AJ97,2),"")</f>
        <v/>
      </c>
      <c r="DX4" s="115"/>
      <c r="DY4" s="115"/>
    </row>
    <row r="5" spans="1:129" ht="19.5" customHeight="1" thickBot="1">
      <c r="A5" s="186"/>
      <c r="B5" s="249">
        <f>IF(OR(W3="",AP3="",I4=""),1,0)</f>
        <v>1</v>
      </c>
      <c r="C5" s="2055" t="s">
        <v>584</v>
      </c>
      <c r="D5" s="2056"/>
      <c r="E5" s="2056"/>
      <c r="F5" s="2056"/>
      <c r="G5" s="2056"/>
      <c r="H5" s="2057"/>
      <c r="I5" s="859" t="s">
        <v>585</v>
      </c>
      <c r="J5" s="2069" t="str">
        <f>IF(記入シート1!B13=0,"-","※")</f>
        <v>※</v>
      </c>
      <c r="K5" s="2070"/>
      <c r="L5" s="860">
        <v>1</v>
      </c>
      <c r="M5" s="2069" t="str">
        <f>IF(記入シート1!B27=0,"-","※")</f>
        <v>※</v>
      </c>
      <c r="N5" s="2070"/>
      <c r="O5" s="860">
        <v>2</v>
      </c>
      <c r="P5" s="2069" t="str">
        <f>IF(記入シート1!B48=0,"-","※")</f>
        <v>※</v>
      </c>
      <c r="Q5" s="2070"/>
      <c r="R5" s="860">
        <v>3</v>
      </c>
      <c r="S5" s="2069" t="str">
        <f>IF(記入シート1!B60=0,"-","※")</f>
        <v>※</v>
      </c>
      <c r="T5" s="2070"/>
      <c r="U5" s="860">
        <v>4</v>
      </c>
      <c r="V5" s="2069" t="str">
        <f>IF(記入シート1!B104=0,"-","※")</f>
        <v>※</v>
      </c>
      <c r="W5" s="2070"/>
      <c r="X5" s="860">
        <v>5</v>
      </c>
      <c r="Y5" s="2069" t="str">
        <f>IF(記入シート1!B117=0,"-","※")</f>
        <v>※</v>
      </c>
      <c r="Z5" s="2070"/>
      <c r="AA5" s="860">
        <v>6</v>
      </c>
      <c r="AB5" s="2069" t="str">
        <f ca="1">IF((OR(AND(AV18=FALSE,AV28=FALSE,AV43=FALSE,AV59=FALSE),AV25="NG",AW63="NG",AX66="NG",AY68="NG",AY72="NG",AW115="NG",AND(OR(AV96=TRUE,AV97=TRUE),AV99=FALSE))),"※","-")</f>
        <v>※</v>
      </c>
      <c r="AC5" s="2070"/>
      <c r="AD5" s="860">
        <v>7</v>
      </c>
      <c r="AE5" s="2065" t="str">
        <f>IF(AV126="NG","※","-")</f>
        <v>-</v>
      </c>
      <c r="AF5" s="2079"/>
      <c r="AG5" s="860">
        <v>8</v>
      </c>
      <c r="AH5" s="2065" t="str">
        <f>IF(AV155="NG","※","-")</f>
        <v>-</v>
      </c>
      <c r="AI5" s="2066"/>
      <c r="AJ5" s="681"/>
      <c r="AK5" s="682"/>
      <c r="AL5" s="2067" t="s">
        <v>779</v>
      </c>
      <c r="AM5" s="2056"/>
      <c r="AN5" s="2056"/>
      <c r="AO5" s="2056"/>
      <c r="AP5" s="2062">
        <f>記入シート2!AP5</f>
        <v>6691</v>
      </c>
      <c r="AQ5" s="2062"/>
      <c r="AR5" s="2062"/>
      <c r="AS5" s="2062"/>
      <c r="AT5" s="2068"/>
      <c r="AU5" s="228"/>
      <c r="AV5" s="329"/>
      <c r="AX5" s="203"/>
      <c r="AY5" s="123"/>
      <c r="AZ5" s="116"/>
      <c r="BA5" s="129"/>
      <c r="BB5" s="129"/>
      <c r="BC5" s="129"/>
      <c r="BD5" s="129"/>
      <c r="BE5" s="129"/>
      <c r="BF5" s="129"/>
      <c r="BG5" s="129"/>
      <c r="BH5" s="129"/>
      <c r="BI5" s="129"/>
      <c r="BJ5" s="129"/>
      <c r="BK5" s="129"/>
      <c r="BL5" s="129"/>
      <c r="BM5" s="129"/>
      <c r="BN5" s="129"/>
      <c r="BO5" s="129"/>
      <c r="BP5" s="129"/>
      <c r="BQ5" s="129"/>
      <c r="BR5" s="129"/>
      <c r="BS5" s="129"/>
      <c r="BT5" s="23"/>
      <c r="BU5" s="23"/>
      <c r="BV5" s="23"/>
      <c r="BW5" s="23"/>
      <c r="BX5" s="23" t="s">
        <v>1996</v>
      </c>
      <c r="BY5" s="23"/>
      <c r="BZ5" s="722" t="s">
        <v>1305</v>
      </c>
      <c r="CA5" s="723" t="str">
        <f t="shared" si="0"/>
        <v>0435209</v>
      </c>
      <c r="CB5" s="724" t="s">
        <v>649</v>
      </c>
      <c r="CC5" s="23"/>
      <c r="CD5" s="145">
        <v>6034</v>
      </c>
      <c r="CE5" s="349" t="s">
        <v>3373</v>
      </c>
      <c r="CF5" s="145">
        <v>6034</v>
      </c>
      <c r="CH5" s="65" t="s">
        <v>356</v>
      </c>
      <c r="CI5" s="65" t="s">
        <v>21</v>
      </c>
      <c r="CJ5" s="65">
        <v>10</v>
      </c>
      <c r="CK5" s="65" t="s">
        <v>216</v>
      </c>
      <c r="CL5" s="65" t="s">
        <v>83</v>
      </c>
      <c r="CM5" s="65"/>
      <c r="CN5" s="65" t="s">
        <v>358</v>
      </c>
      <c r="CO5" s="71" t="s">
        <v>306</v>
      </c>
      <c r="CP5" s="67" t="str">
        <f>ASC(W3)</f>
        <v/>
      </c>
      <c r="CQ5" s="129"/>
      <c r="CR5" s="68" t="s">
        <v>1912</v>
      </c>
      <c r="CS5" s="68">
        <v>107</v>
      </c>
      <c r="CT5" s="69" t="str">
        <f t="shared" ref="CT5:CT19" si="4">$CP$14</f>
        <v>20210601</v>
      </c>
      <c r="CU5" s="70">
        <f t="shared" ref="CU5:CU19" si="5">IF(CV5&gt;0,1,0)</f>
        <v>1</v>
      </c>
      <c r="CV5" s="60">
        <f t="shared" si="1"/>
        <v>1</v>
      </c>
      <c r="CW5" s="9" t="s">
        <v>304</v>
      </c>
      <c r="CX5" s="9" t="s">
        <v>749</v>
      </c>
      <c r="CY5" s="51" t="s">
        <v>733</v>
      </c>
      <c r="CZ5" s="52" t="s">
        <v>349</v>
      </c>
      <c r="DA5" s="51"/>
      <c r="DB5" s="97" t="str">
        <f t="shared" si="3"/>
        <v>001</v>
      </c>
      <c r="DC5" s="136" t="s">
        <v>305</v>
      </c>
      <c r="DD5" s="98">
        <v>0</v>
      </c>
      <c r="DF5" s="90"/>
      <c r="DG5" s="90"/>
      <c r="DH5" s="99" t="s">
        <v>891</v>
      </c>
      <c r="DI5" s="103" t="s">
        <v>335</v>
      </c>
      <c r="DJ5" s="51"/>
      <c r="DK5" s="101" t="str">
        <f t="shared" si="2"/>
        <v>106022Y5</v>
      </c>
      <c r="DL5" s="105" t="s">
        <v>880</v>
      </c>
      <c r="DM5" s="102" t="s">
        <v>912</v>
      </c>
      <c r="DN5" s="298" t="str">
        <f>ASC(SUBSTITUTE(SUBSTITUTE(SUBSTITUTE(T(記入シート1!I60),"―","ー"),"－","‐"),"～","ー"))</f>
        <v/>
      </c>
      <c r="DP5" s="455" t="s">
        <v>1250</v>
      </c>
      <c r="DQ5" s="455" t="s">
        <v>1117</v>
      </c>
      <c r="DR5" s="455" t="s">
        <v>1112</v>
      </c>
      <c r="DS5" s="452" t="s">
        <v>1255</v>
      </c>
      <c r="DT5" s="456" t="s">
        <v>1118</v>
      </c>
      <c r="DU5" s="299">
        <f>IF(記入シート1!AV99=0,"",記入シート1!AV99)</f>
        <v>3</v>
      </c>
      <c r="DX5" s="115"/>
      <c r="DY5" s="115"/>
    </row>
    <row r="6" spans="1:129" ht="19.5" customHeight="1" thickTop="1" thickBot="1">
      <c r="A6" s="186"/>
      <c r="B6" s="249"/>
      <c r="C6" s="305"/>
      <c r="D6" s="305"/>
      <c r="E6" s="305"/>
      <c r="F6" s="305"/>
      <c r="G6" s="305"/>
      <c r="H6" s="305"/>
      <c r="I6" s="303"/>
      <c r="J6" s="303"/>
      <c r="K6" s="303"/>
      <c r="L6" s="303"/>
      <c r="M6" s="303"/>
      <c r="N6" s="303"/>
      <c r="O6" s="303"/>
      <c r="P6" s="303"/>
      <c r="Q6" s="303"/>
      <c r="R6" s="303"/>
      <c r="S6" s="303"/>
      <c r="T6" s="303"/>
      <c r="U6" s="303"/>
      <c r="V6" s="303"/>
      <c r="W6" s="303"/>
      <c r="X6" s="303"/>
      <c r="Y6" s="303"/>
      <c r="Z6" s="303"/>
      <c r="AA6" s="303"/>
      <c r="AB6" s="303"/>
      <c r="AC6" s="303"/>
      <c r="AD6" s="303"/>
      <c r="AE6" s="303"/>
      <c r="AF6" s="303"/>
      <c r="AG6" s="303"/>
      <c r="AH6" s="304"/>
      <c r="AI6" s="304"/>
      <c r="AJ6" s="304"/>
      <c r="AK6" s="304"/>
      <c r="AL6" s="305"/>
      <c r="AM6" s="305"/>
      <c r="AN6" s="305"/>
      <c r="AO6" s="305"/>
      <c r="AP6" s="602"/>
      <c r="AQ6" s="306"/>
      <c r="AR6" s="306"/>
      <c r="AS6" s="306"/>
      <c r="AT6" s="307"/>
      <c r="AU6" s="228"/>
      <c r="AV6" s="329"/>
      <c r="AX6" s="203"/>
      <c r="AY6" s="123"/>
      <c r="AZ6" s="116"/>
      <c r="BA6" s="129"/>
      <c r="BB6" s="129"/>
      <c r="BC6" s="129"/>
      <c r="BD6" s="129"/>
      <c r="BE6" s="129"/>
      <c r="BF6" s="129"/>
      <c r="BG6" s="129"/>
      <c r="BH6" s="129"/>
      <c r="BI6" s="129"/>
      <c r="BJ6" s="129"/>
      <c r="BK6" s="129"/>
      <c r="BL6" s="129"/>
      <c r="BM6" s="129"/>
      <c r="BN6" s="129"/>
      <c r="BO6" s="129"/>
      <c r="BP6" s="129"/>
      <c r="BQ6" s="129"/>
      <c r="BR6" s="129"/>
      <c r="BS6" s="129"/>
      <c r="BT6" s="23"/>
      <c r="BU6" s="23"/>
      <c r="BV6" s="23"/>
      <c r="BW6" s="23"/>
      <c r="BX6" s="23" t="s">
        <v>1997</v>
      </c>
      <c r="BY6" s="23"/>
      <c r="BZ6" s="722" t="s">
        <v>1306</v>
      </c>
      <c r="CA6" s="723" t="str">
        <f t="shared" si="0"/>
        <v>0441261</v>
      </c>
      <c r="CB6" s="724" t="s">
        <v>650</v>
      </c>
      <c r="CC6" s="12"/>
      <c r="CD6" s="145">
        <v>6036</v>
      </c>
      <c r="CE6" s="349" t="s">
        <v>3374</v>
      </c>
      <c r="CF6" s="145">
        <v>6036</v>
      </c>
      <c r="CG6" s="33"/>
      <c r="CH6" s="65" t="s">
        <v>346</v>
      </c>
      <c r="CI6" s="65" t="s">
        <v>292</v>
      </c>
      <c r="CJ6" s="65">
        <v>4</v>
      </c>
      <c r="CK6" s="65" t="s">
        <v>216</v>
      </c>
      <c r="CL6" s="65" t="s">
        <v>90</v>
      </c>
      <c r="CM6" s="65"/>
      <c r="CN6" s="65" t="s">
        <v>347</v>
      </c>
      <c r="CO6" s="142" t="s">
        <v>348</v>
      </c>
      <c r="CP6" s="143">
        <f>AP5</f>
        <v>6691</v>
      </c>
      <c r="CQ6" s="129"/>
      <c r="CR6" s="68" t="s">
        <v>1403</v>
      </c>
      <c r="CS6" s="68">
        <v>108</v>
      </c>
      <c r="CT6" s="69" t="str">
        <f t="shared" si="4"/>
        <v>20210601</v>
      </c>
      <c r="CU6" s="70">
        <f t="shared" si="5"/>
        <v>1</v>
      </c>
      <c r="CV6" s="60">
        <f t="shared" si="1"/>
        <v>1</v>
      </c>
      <c r="CW6" s="45" t="s">
        <v>314</v>
      </c>
      <c r="CX6" s="45" t="s">
        <v>629</v>
      </c>
      <c r="CY6" s="53" t="s">
        <v>734</v>
      </c>
      <c r="CZ6" s="54" t="s">
        <v>354</v>
      </c>
      <c r="DA6" s="53"/>
      <c r="DB6" s="45" t="str">
        <f t="shared" si="3"/>
        <v>001</v>
      </c>
      <c r="DC6" s="108" t="s">
        <v>315</v>
      </c>
      <c r="DD6" s="131"/>
      <c r="DF6" s="90"/>
      <c r="DG6" s="90"/>
      <c r="DH6" s="99" t="s">
        <v>891</v>
      </c>
      <c r="DI6" s="103" t="s">
        <v>892</v>
      </c>
      <c r="DJ6" s="100"/>
      <c r="DK6" s="101" t="str">
        <f t="shared" si="2"/>
        <v>106022Y6</v>
      </c>
      <c r="DL6" s="105" t="s">
        <v>880</v>
      </c>
      <c r="DM6" s="102" t="s">
        <v>913</v>
      </c>
      <c r="DN6" s="298" t="str">
        <f>ASC(記入シート1!I43)</f>
        <v/>
      </c>
      <c r="DO6" s="24"/>
      <c r="DP6" s="452" t="s">
        <v>1250</v>
      </c>
      <c r="DQ6" s="452" t="s">
        <v>1119</v>
      </c>
      <c r="DR6" s="452" t="s">
        <v>1252</v>
      </c>
      <c r="DS6" s="452" t="s">
        <v>1256</v>
      </c>
      <c r="DT6" s="453" t="s">
        <v>1257</v>
      </c>
      <c r="DU6" s="454" t="str">
        <f>IF(記入シート1!AV99=2,RIGHT("0000"&amp;記入シート1!AF99,4)&amp;RIGHT("00"&amp;記入シート1!AJ99,2),"")</f>
        <v/>
      </c>
      <c r="DV6" s="33"/>
      <c r="DX6" s="115"/>
      <c r="DY6" s="115"/>
    </row>
    <row r="7" spans="1:129" ht="19.5" customHeight="1" thickTop="1" thickBot="1">
      <c r="A7" s="186"/>
      <c r="B7" s="248"/>
      <c r="C7" s="309"/>
      <c r="D7" s="309"/>
      <c r="E7" s="309"/>
      <c r="F7" s="309"/>
      <c r="G7" s="309"/>
      <c r="H7" s="309"/>
      <c r="I7" s="310"/>
      <c r="J7" s="310"/>
      <c r="K7" s="310"/>
      <c r="L7" s="310"/>
      <c r="M7" s="310"/>
      <c r="N7" s="310"/>
      <c r="O7" s="310"/>
      <c r="P7" s="310"/>
      <c r="Q7" s="310"/>
      <c r="R7" s="310"/>
      <c r="S7" s="310"/>
      <c r="T7" s="310"/>
      <c r="U7" s="310"/>
      <c r="V7" s="310"/>
      <c r="W7" s="310"/>
      <c r="X7" s="310"/>
      <c r="Y7" s="310"/>
      <c r="Z7" s="310"/>
      <c r="AA7" s="310"/>
      <c r="AB7" s="310"/>
      <c r="AC7" s="310"/>
      <c r="AD7" s="310"/>
      <c r="AE7" s="310"/>
      <c r="AF7" s="310"/>
      <c r="AG7" s="310"/>
      <c r="AH7" s="311"/>
      <c r="AI7" s="311"/>
      <c r="AJ7" s="311"/>
      <c r="AK7" s="311"/>
      <c r="AL7" s="309"/>
      <c r="AM7" s="309"/>
      <c r="AN7" s="309"/>
      <c r="AO7" s="309"/>
      <c r="AP7" s="603"/>
      <c r="AQ7" s="603"/>
      <c r="AR7" s="603"/>
      <c r="AS7" s="603"/>
      <c r="AT7" s="603"/>
      <c r="AU7" s="227"/>
      <c r="AV7" s="329"/>
      <c r="AX7" s="203"/>
      <c r="AY7" s="123"/>
      <c r="AZ7" s="116"/>
      <c r="BA7" s="129"/>
      <c r="BB7" s="129"/>
      <c r="BC7" s="129"/>
      <c r="BD7" s="129"/>
      <c r="BE7" s="129"/>
      <c r="BF7" s="129"/>
      <c r="BG7" s="129"/>
      <c r="BH7" s="129"/>
      <c r="BI7" s="129"/>
      <c r="BJ7" s="129"/>
      <c r="BK7" s="129"/>
      <c r="BL7" s="129"/>
      <c r="BM7" s="129"/>
      <c r="BN7" s="129"/>
      <c r="BO7" s="129"/>
      <c r="BP7" s="129"/>
      <c r="BQ7" s="129"/>
      <c r="BR7" s="129"/>
      <c r="BS7" s="129"/>
      <c r="BT7" s="23"/>
      <c r="BU7" s="23"/>
      <c r="BV7" s="23"/>
      <c r="BW7" s="23"/>
      <c r="BX7" s="23" t="s">
        <v>1998</v>
      </c>
      <c r="BY7" s="23"/>
      <c r="BZ7" s="722" t="s">
        <v>1307</v>
      </c>
      <c r="CA7" s="723" t="str">
        <f t="shared" si="0"/>
        <v>0441467</v>
      </c>
      <c r="CB7" s="724" t="s">
        <v>651</v>
      </c>
      <c r="CD7" s="145">
        <v>6037</v>
      </c>
      <c r="CE7" s="348" t="s">
        <v>3375</v>
      </c>
      <c r="CF7" s="145">
        <v>6037</v>
      </c>
      <c r="CG7" s="33"/>
      <c r="CH7" s="65" t="s">
        <v>361</v>
      </c>
      <c r="CI7" s="65" t="s">
        <v>22</v>
      </c>
      <c r="CJ7" s="65">
        <v>20</v>
      </c>
      <c r="CK7" s="65" t="s">
        <v>216</v>
      </c>
      <c r="CL7" s="65" t="s">
        <v>83</v>
      </c>
      <c r="CM7" s="65"/>
      <c r="CN7" s="65" t="s">
        <v>692</v>
      </c>
      <c r="CO7" s="71" t="s">
        <v>316</v>
      </c>
      <c r="CP7" s="67" t="str">
        <f>ASC(AP3)</f>
        <v/>
      </c>
      <c r="CQ7" s="129"/>
      <c r="CR7" s="68" t="s">
        <v>1976</v>
      </c>
      <c r="CS7" s="68">
        <v>109</v>
      </c>
      <c r="CT7" s="69" t="str">
        <f t="shared" si="4"/>
        <v>20210601</v>
      </c>
      <c r="CU7" s="70">
        <f t="shared" si="5"/>
        <v>1</v>
      </c>
      <c r="CV7" s="60">
        <f t="shared" si="1"/>
        <v>1</v>
      </c>
      <c r="CW7" s="45" t="s">
        <v>716</v>
      </c>
      <c r="CX7" s="45"/>
      <c r="CY7" s="53"/>
      <c r="CZ7" s="54"/>
      <c r="DA7" s="53"/>
      <c r="DB7" s="45" t="str">
        <f t="shared" si="3"/>
        <v>001</v>
      </c>
      <c r="DC7" s="108" t="s">
        <v>312</v>
      </c>
      <c r="DD7" s="131"/>
      <c r="DF7" s="90"/>
      <c r="DG7" s="90"/>
      <c r="DH7" s="99" t="s">
        <v>891</v>
      </c>
      <c r="DI7" s="103" t="s">
        <v>893</v>
      </c>
      <c r="DJ7" s="100"/>
      <c r="DK7" s="101" t="str">
        <f t="shared" si="2"/>
        <v>106022Y7</v>
      </c>
      <c r="DL7" s="105" t="s">
        <v>880</v>
      </c>
      <c r="DM7" s="102" t="s">
        <v>914</v>
      </c>
      <c r="DN7" s="298" t="str">
        <f>IF(OR(記入シート1!AE55="",記入シート1!AK55="",記入シート1!AP55=""),"",CONCATENATE(ASC(記入シート1!AE55),"-",ASC(記入シート1!AK55),"-",ASC(記入シート1!AP55)))</f>
        <v/>
      </c>
      <c r="DO7" s="24"/>
      <c r="DP7" s="457" t="s">
        <v>1250</v>
      </c>
      <c r="DQ7" s="457" t="s">
        <v>1120</v>
      </c>
      <c r="DR7" s="457" t="s">
        <v>1258</v>
      </c>
      <c r="DS7" s="457"/>
      <c r="DT7" s="457" t="s">
        <v>1259</v>
      </c>
      <c r="DU7" s="458"/>
      <c r="DV7" s="33"/>
      <c r="DX7" s="115"/>
      <c r="DY7" s="115"/>
    </row>
    <row r="8" spans="1:129" ht="19.5" customHeight="1" thickTop="1" thickBot="1">
      <c r="A8" s="186"/>
      <c r="B8" s="249">
        <f>IF(OR(L8="",P8="",T8="",AH8="",AL8="",AP8=""),1,0)</f>
        <v>0</v>
      </c>
      <c r="C8" s="2096" t="s">
        <v>300</v>
      </c>
      <c r="D8" s="2080"/>
      <c r="E8" s="2080"/>
      <c r="F8" s="2080"/>
      <c r="G8" s="2080"/>
      <c r="H8" s="2080"/>
      <c r="I8" s="2081"/>
      <c r="J8" s="2082" t="s">
        <v>380</v>
      </c>
      <c r="K8" s="2083"/>
      <c r="L8" s="2054">
        <v>2021</v>
      </c>
      <c r="M8" s="2054"/>
      <c r="N8" s="2054"/>
      <c r="O8" s="244" t="s">
        <v>381</v>
      </c>
      <c r="P8" s="2054">
        <v>4</v>
      </c>
      <c r="Q8" s="2054"/>
      <c r="R8" s="2054"/>
      <c r="S8" s="244" t="s">
        <v>382</v>
      </c>
      <c r="T8" s="2054">
        <v>1</v>
      </c>
      <c r="U8" s="2054"/>
      <c r="V8" s="2054"/>
      <c r="W8" s="244" t="s">
        <v>383</v>
      </c>
      <c r="X8" s="302"/>
      <c r="Y8" s="2080" t="s">
        <v>693</v>
      </c>
      <c r="Z8" s="2080"/>
      <c r="AA8" s="2080"/>
      <c r="AB8" s="2080"/>
      <c r="AC8" s="2080"/>
      <c r="AD8" s="2080"/>
      <c r="AE8" s="2081"/>
      <c r="AF8" s="2082" t="s">
        <v>380</v>
      </c>
      <c r="AG8" s="2083"/>
      <c r="AH8" s="2054">
        <v>2021</v>
      </c>
      <c r="AI8" s="2054"/>
      <c r="AJ8" s="2054"/>
      <c r="AK8" s="244" t="s">
        <v>381</v>
      </c>
      <c r="AL8" s="2054">
        <v>6</v>
      </c>
      <c r="AM8" s="2054"/>
      <c r="AN8" s="2054"/>
      <c r="AO8" s="244" t="s">
        <v>1089</v>
      </c>
      <c r="AP8" s="2054">
        <v>1</v>
      </c>
      <c r="AQ8" s="2054"/>
      <c r="AR8" s="2054"/>
      <c r="AS8" s="244" t="s">
        <v>383</v>
      </c>
      <c r="AT8" s="245"/>
      <c r="AU8" s="228"/>
      <c r="AV8" s="330" t="str">
        <f>IF(OR(L8="",P8="",T8="",AH8="",AL8="",AP8=""),"NG","OK")</f>
        <v>OK</v>
      </c>
      <c r="AW8" s="201"/>
      <c r="AX8" s="444">
        <f>IF(AV8="OK",DATE(L8,P8,T8),"")</f>
        <v>44287</v>
      </c>
      <c r="AY8" s="444">
        <f>IF(AV8="OK",DATE(AH8,AL8,AP8),"")</f>
        <v>44348</v>
      </c>
      <c r="AZ8" s="445" t="str">
        <f>IF(AX8&gt;AY8,"NG","OK")</f>
        <v>OK</v>
      </c>
      <c r="BA8" s="129"/>
      <c r="BB8" s="129"/>
      <c r="BC8" s="129"/>
      <c r="BD8" s="129"/>
      <c r="BE8" s="129"/>
      <c r="BF8" s="129"/>
      <c r="BG8" s="129"/>
      <c r="BH8" s="129"/>
      <c r="BI8" s="129"/>
      <c r="BJ8" s="129"/>
      <c r="BK8" s="129"/>
      <c r="BL8" s="129"/>
      <c r="BM8" s="129"/>
      <c r="BN8" s="129"/>
      <c r="BO8" s="129"/>
      <c r="BP8" s="129"/>
      <c r="BQ8" s="129"/>
      <c r="BR8" s="129"/>
      <c r="BS8" s="129"/>
      <c r="BT8" s="23"/>
      <c r="BU8" s="23"/>
      <c r="BV8" s="23"/>
      <c r="BW8" s="23"/>
      <c r="BX8" s="23" t="s">
        <v>1999</v>
      </c>
      <c r="BY8" s="23"/>
      <c r="BZ8" s="722" t="s">
        <v>1308</v>
      </c>
      <c r="CA8" s="723" t="str">
        <f t="shared" si="0"/>
        <v>0446579</v>
      </c>
      <c r="CB8" s="724" t="s">
        <v>1369</v>
      </c>
      <c r="CD8" s="145">
        <v>6038</v>
      </c>
      <c r="CE8" s="348" t="s">
        <v>3376</v>
      </c>
      <c r="CF8" s="145">
        <v>6038</v>
      </c>
      <c r="CG8" s="33"/>
      <c r="CH8" s="65" t="s">
        <v>336</v>
      </c>
      <c r="CI8" s="65" t="s">
        <v>292</v>
      </c>
      <c r="CJ8" s="65">
        <v>4</v>
      </c>
      <c r="CK8" s="65" t="s">
        <v>83</v>
      </c>
      <c r="CL8" s="65" t="s">
        <v>83</v>
      </c>
      <c r="CM8" s="74"/>
      <c r="CN8" s="75" t="s">
        <v>367</v>
      </c>
      <c r="CO8" s="71" t="s">
        <v>368</v>
      </c>
      <c r="CP8" s="67" t="str">
        <f>IF(LEN(AG4)&gt;0,AG4,"")</f>
        <v/>
      </c>
      <c r="CQ8" s="129"/>
      <c r="CR8" s="68" t="s">
        <v>1972</v>
      </c>
      <c r="CS8" s="68">
        <v>110</v>
      </c>
      <c r="CT8" s="69" t="str">
        <f t="shared" si="4"/>
        <v>20210601</v>
      </c>
      <c r="CU8" s="70">
        <f t="shared" si="5"/>
        <v>1</v>
      </c>
      <c r="CV8" s="60">
        <f t="shared" si="1"/>
        <v>1</v>
      </c>
      <c r="CW8" s="45" t="s">
        <v>5</v>
      </c>
      <c r="CX8" s="45" t="s">
        <v>629</v>
      </c>
      <c r="CY8" s="53" t="s">
        <v>735</v>
      </c>
      <c r="CZ8" s="54" t="s">
        <v>625</v>
      </c>
      <c r="DA8" s="53"/>
      <c r="DB8" s="45" t="str">
        <f t="shared" si="3"/>
        <v>001</v>
      </c>
      <c r="DC8" s="108" t="s">
        <v>310</v>
      </c>
      <c r="DD8" s="131"/>
      <c r="DF8" s="90"/>
      <c r="DG8" s="90"/>
      <c r="DH8" s="99" t="s">
        <v>891</v>
      </c>
      <c r="DI8" s="103" t="s">
        <v>894</v>
      </c>
      <c r="DJ8" s="100" t="s">
        <v>929</v>
      </c>
      <c r="DK8" s="101" t="str">
        <f t="shared" si="2"/>
        <v>106022Y8</v>
      </c>
      <c r="DL8" s="105" t="s">
        <v>880</v>
      </c>
      <c r="DM8" s="102" t="s">
        <v>915</v>
      </c>
      <c r="DN8" s="298" t="str">
        <f>ASC(記入シート1!AV13)</f>
        <v>0</v>
      </c>
      <c r="DO8" s="24"/>
      <c r="DP8" s="457" t="s">
        <v>1250</v>
      </c>
      <c r="DQ8" s="457" t="s">
        <v>1121</v>
      </c>
      <c r="DR8" s="457" t="s">
        <v>1258</v>
      </c>
      <c r="DS8" s="457"/>
      <c r="DT8" s="457" t="s">
        <v>1260</v>
      </c>
      <c r="DU8" s="458"/>
      <c r="DV8" s="33"/>
      <c r="DX8" s="115"/>
      <c r="DY8" s="115"/>
    </row>
    <row r="9" spans="1:129" ht="19.5" customHeight="1" thickTop="1">
      <c r="A9" s="186"/>
      <c r="B9" s="249" t="str">
        <f>IF(OR(AV8="NG",AV126="NG",AV150=0),"NG","OK")</f>
        <v>OK</v>
      </c>
      <c r="C9" s="229"/>
      <c r="D9" s="229"/>
      <c r="E9" s="229"/>
      <c r="F9" s="229"/>
      <c r="G9" s="229"/>
      <c r="H9" s="229"/>
      <c r="I9" s="229"/>
      <c r="J9" s="229"/>
      <c r="K9" s="229"/>
      <c r="L9" s="229"/>
      <c r="M9" s="229"/>
      <c r="N9" s="229"/>
      <c r="O9" s="229"/>
      <c r="P9" s="229"/>
      <c r="Q9" s="229"/>
      <c r="R9" s="229"/>
      <c r="S9" s="229"/>
      <c r="T9" s="229"/>
      <c r="U9" s="229"/>
      <c r="V9" s="229"/>
      <c r="W9" s="229"/>
      <c r="X9" s="229"/>
      <c r="Y9" s="229" t="s">
        <v>1968</v>
      </c>
      <c r="Z9" s="446"/>
      <c r="AA9" s="229"/>
      <c r="AB9" s="229"/>
      <c r="AC9" s="229"/>
      <c r="AD9" s="229"/>
      <c r="AE9" s="229"/>
      <c r="AF9" s="229"/>
      <c r="AG9" s="229"/>
      <c r="AH9" s="229"/>
      <c r="AI9" s="229"/>
      <c r="AJ9" s="229"/>
      <c r="AK9" s="229"/>
      <c r="AL9" s="229"/>
      <c r="AM9" s="229"/>
      <c r="AN9" s="229"/>
      <c r="AO9" s="229"/>
      <c r="AP9" s="229"/>
      <c r="AQ9" s="230"/>
      <c r="AR9" s="230"/>
      <c r="AS9" s="230"/>
      <c r="AT9" s="255"/>
      <c r="AU9" s="228"/>
      <c r="AW9" s="201"/>
      <c r="AX9" s="122"/>
      <c r="AY9" s="123"/>
      <c r="AZ9" s="116"/>
      <c r="BA9" s="129"/>
      <c r="BB9" s="129"/>
      <c r="BC9" s="129"/>
      <c r="BD9" s="129"/>
      <c r="BE9" s="129"/>
      <c r="BF9" s="129"/>
      <c r="BG9" s="129"/>
      <c r="BH9" s="129"/>
      <c r="BI9" s="129"/>
      <c r="BJ9" s="129"/>
      <c r="BK9" s="129"/>
      <c r="BL9" s="129"/>
      <c r="BM9" s="129"/>
      <c r="BN9" s="129"/>
      <c r="BO9" s="129"/>
      <c r="BP9" s="129"/>
      <c r="BQ9" s="129"/>
      <c r="BR9" s="129"/>
      <c r="BS9" s="129"/>
      <c r="BT9" s="23"/>
      <c r="BU9" s="23"/>
      <c r="BV9" s="23"/>
      <c r="BW9" s="23"/>
      <c r="BX9" s="23" t="s">
        <v>2000</v>
      </c>
      <c r="BY9" s="23"/>
      <c r="BZ9" s="722" t="s">
        <v>1309</v>
      </c>
      <c r="CA9" s="723" t="str">
        <f t="shared" si="0"/>
        <v>0510538</v>
      </c>
      <c r="CB9" s="724" t="s">
        <v>652</v>
      </c>
      <c r="CD9" s="145">
        <v>6039</v>
      </c>
      <c r="CE9" s="348" t="s">
        <v>3377</v>
      </c>
      <c r="CF9" s="145">
        <v>6039</v>
      </c>
      <c r="CG9" s="33"/>
      <c r="CH9" s="65" t="s">
        <v>785</v>
      </c>
      <c r="CI9" s="65" t="s">
        <v>21</v>
      </c>
      <c r="CJ9" s="65">
        <v>60</v>
      </c>
      <c r="CK9" s="65" t="s">
        <v>83</v>
      </c>
      <c r="CL9" s="65" t="s">
        <v>83</v>
      </c>
      <c r="CM9" s="74"/>
      <c r="CN9" s="75" t="s">
        <v>784</v>
      </c>
      <c r="CO9" s="66" t="s">
        <v>364</v>
      </c>
      <c r="CP9" s="67" t="str">
        <f>T(AI3)</f>
        <v/>
      </c>
      <c r="CQ9" s="129"/>
      <c r="CR9" s="68" t="s">
        <v>1974</v>
      </c>
      <c r="CS9" s="68">
        <v>111</v>
      </c>
      <c r="CT9" s="69" t="str">
        <f t="shared" si="4"/>
        <v>20210601</v>
      </c>
      <c r="CU9" s="70">
        <f t="shared" si="5"/>
        <v>1</v>
      </c>
      <c r="CV9" s="60">
        <f t="shared" si="1"/>
        <v>1</v>
      </c>
      <c r="CW9" s="45" t="s">
        <v>307</v>
      </c>
      <c r="CX9" s="45" t="s">
        <v>629</v>
      </c>
      <c r="CY9" s="53"/>
      <c r="CZ9" s="54"/>
      <c r="DA9" s="53" t="s">
        <v>707</v>
      </c>
      <c r="DB9" s="45" t="str">
        <f t="shared" si="3"/>
        <v>001</v>
      </c>
      <c r="DC9" s="108" t="s">
        <v>308</v>
      </c>
      <c r="DD9" s="131"/>
      <c r="DE9" s="90"/>
      <c r="DF9" s="90"/>
      <c r="DG9" s="90"/>
      <c r="DH9" s="99" t="s">
        <v>891</v>
      </c>
      <c r="DI9" s="103" t="s">
        <v>940</v>
      </c>
      <c r="DJ9" s="100"/>
      <c r="DK9" s="101" t="str">
        <f t="shared" si="2"/>
        <v>106022Y9</v>
      </c>
      <c r="DL9" s="105" t="s">
        <v>880</v>
      </c>
      <c r="DM9" s="102" t="s">
        <v>916</v>
      </c>
      <c r="DN9" s="298" t="str">
        <f>CONCATENATE(ASC(記入シート1!I76),"-",ASC(記入シート1!O76),"-",ASC(記入シート1!T76))</f>
        <v>--</v>
      </c>
      <c r="DO9" s="24"/>
      <c r="DP9" s="457" t="s">
        <v>1250</v>
      </c>
      <c r="DQ9" s="457" t="s">
        <v>1122</v>
      </c>
      <c r="DR9" s="457" t="s">
        <v>1258</v>
      </c>
      <c r="DS9" s="457"/>
      <c r="DT9" s="457" t="s">
        <v>1261</v>
      </c>
      <c r="DU9" s="458"/>
      <c r="DV9" s="33"/>
      <c r="DX9" s="115"/>
      <c r="DY9" s="115"/>
    </row>
    <row r="10" spans="1:129" ht="19.5" customHeight="1">
      <c r="A10" s="186"/>
      <c r="B10" s="249"/>
      <c r="C10" s="229"/>
      <c r="D10" s="229"/>
      <c r="E10" s="229"/>
      <c r="F10" s="229"/>
      <c r="G10" s="229"/>
      <c r="H10" s="229"/>
      <c r="I10" s="229"/>
      <c r="J10" s="229"/>
      <c r="K10" s="229"/>
      <c r="L10" s="229"/>
      <c r="M10" s="229"/>
      <c r="N10" s="229"/>
      <c r="O10" s="229"/>
      <c r="P10" s="229"/>
      <c r="Q10" s="229"/>
      <c r="R10" s="229"/>
      <c r="S10" s="229"/>
      <c r="T10" s="229"/>
      <c r="U10" s="229"/>
      <c r="V10" s="229"/>
      <c r="W10" s="229"/>
      <c r="X10" s="229"/>
      <c r="Y10" s="229"/>
      <c r="Z10" s="229"/>
      <c r="AA10" s="229"/>
      <c r="AB10" s="229"/>
      <c r="AC10" s="229"/>
      <c r="AD10" s="229"/>
      <c r="AE10" s="229"/>
      <c r="AF10" s="229"/>
      <c r="AG10" s="229"/>
      <c r="AH10" s="229"/>
      <c r="AI10" s="229"/>
      <c r="AJ10" s="229"/>
      <c r="AK10" s="229"/>
      <c r="AL10" s="229"/>
      <c r="AM10" s="229"/>
      <c r="AN10" s="229"/>
      <c r="AO10" s="229"/>
      <c r="AP10" s="229"/>
      <c r="AQ10" s="230"/>
      <c r="AR10" s="230"/>
      <c r="AS10" s="230"/>
      <c r="AT10" s="231"/>
      <c r="AU10" s="228"/>
      <c r="AV10" s="330"/>
      <c r="AY10" s="123"/>
      <c r="AZ10" s="116"/>
      <c r="BA10" s="129"/>
      <c r="BB10" s="129"/>
      <c r="BC10" s="129"/>
      <c r="BD10" s="129"/>
      <c r="BE10" s="129"/>
      <c r="BF10" s="129"/>
      <c r="BG10" s="129"/>
      <c r="BH10" s="129"/>
      <c r="BI10" s="129"/>
      <c r="BJ10" s="129"/>
      <c r="BK10" s="129"/>
      <c r="BL10" s="129"/>
      <c r="BM10" s="129"/>
      <c r="BN10" s="129"/>
      <c r="BO10" s="129"/>
      <c r="BP10" s="129"/>
      <c r="BQ10" s="129"/>
      <c r="BR10" s="129"/>
      <c r="BS10" s="129"/>
      <c r="BT10" s="23"/>
      <c r="BU10" s="23"/>
      <c r="BV10" s="23"/>
      <c r="BW10" s="23"/>
      <c r="BX10" s="23" t="s">
        <v>2001</v>
      </c>
      <c r="BY10" s="23"/>
      <c r="BZ10" s="722" t="s">
        <v>1346</v>
      </c>
      <c r="CA10" s="723" t="str">
        <f t="shared" si="0"/>
        <v>0518614</v>
      </c>
      <c r="CB10" s="724" t="s">
        <v>653</v>
      </c>
      <c r="CD10" s="145">
        <v>6040</v>
      </c>
      <c r="CE10" s="348" t="s">
        <v>3378</v>
      </c>
      <c r="CF10" s="145">
        <v>6040</v>
      </c>
      <c r="CG10" s="33"/>
      <c r="CH10" s="65" t="s">
        <v>370</v>
      </c>
      <c r="CI10" s="65" t="s">
        <v>63</v>
      </c>
      <c r="CJ10" s="65">
        <v>1</v>
      </c>
      <c r="CK10" s="65" t="s">
        <v>216</v>
      </c>
      <c r="CL10" s="65" t="s">
        <v>90</v>
      </c>
      <c r="CM10" s="65" t="s">
        <v>433</v>
      </c>
      <c r="CN10" s="65"/>
      <c r="CO10" s="66" t="s">
        <v>303</v>
      </c>
      <c r="CP10" s="67">
        <f>IF(記入シート1!AV18=TRUE,1,0)</f>
        <v>0</v>
      </c>
      <c r="CQ10" s="129"/>
      <c r="CR10" s="68" t="s">
        <v>2150</v>
      </c>
      <c r="CS10" s="68">
        <v>932</v>
      </c>
      <c r="CT10" s="69" t="str">
        <f t="shared" si="4"/>
        <v>20210601</v>
      </c>
      <c r="CU10" s="70">
        <f t="shared" si="5"/>
        <v>1</v>
      </c>
      <c r="CV10" s="60">
        <f t="shared" si="1"/>
        <v>1</v>
      </c>
      <c r="CW10" s="45" t="s">
        <v>301</v>
      </c>
      <c r="CX10" s="45" t="s">
        <v>698</v>
      </c>
      <c r="CY10" s="53" t="s">
        <v>736</v>
      </c>
      <c r="CZ10" s="54" t="s">
        <v>343</v>
      </c>
      <c r="DA10" s="53"/>
      <c r="DB10" s="45" t="str">
        <f t="shared" si="3"/>
        <v>001</v>
      </c>
      <c r="DC10" s="108" t="s">
        <v>302</v>
      </c>
      <c r="DD10" s="131"/>
      <c r="DE10" s="90"/>
      <c r="DF10" s="90"/>
      <c r="DG10" s="90"/>
      <c r="DH10" s="99" t="s">
        <v>891</v>
      </c>
      <c r="DI10" s="103" t="s">
        <v>895</v>
      </c>
      <c r="DJ10" s="51" t="s">
        <v>928</v>
      </c>
      <c r="DK10" s="101" t="str">
        <f t="shared" si="2"/>
        <v>106022YA</v>
      </c>
      <c r="DL10" s="105" t="s">
        <v>880</v>
      </c>
      <c r="DM10" s="102" t="s">
        <v>917</v>
      </c>
      <c r="DN10" s="769" t="str">
        <f>ASC(記入シート1!AX88)</f>
        <v/>
      </c>
      <c r="DO10" s="24"/>
      <c r="DP10" s="457" t="s">
        <v>1250</v>
      </c>
      <c r="DQ10" s="457" t="s">
        <v>1123</v>
      </c>
      <c r="DR10" s="457" t="s">
        <v>1258</v>
      </c>
      <c r="DS10" s="457"/>
      <c r="DT10" s="457" t="s">
        <v>1262</v>
      </c>
      <c r="DU10" s="458"/>
      <c r="DV10" s="33"/>
      <c r="DX10" s="115"/>
      <c r="DY10" s="115"/>
    </row>
    <row r="11" spans="1:129" ht="19.5" customHeight="1">
      <c r="A11" s="210"/>
      <c r="B11" s="249"/>
      <c r="C11" s="869"/>
      <c r="D11" s="869"/>
      <c r="E11" s="869"/>
      <c r="F11" s="869"/>
      <c r="G11" s="869"/>
      <c r="H11" s="869"/>
      <c r="I11" s="869"/>
      <c r="J11" s="869"/>
      <c r="K11" s="869"/>
      <c r="L11" s="212"/>
      <c r="M11" s="1395" t="s">
        <v>844</v>
      </c>
      <c r="N11" s="1395"/>
      <c r="O11" s="1395"/>
      <c r="P11" s="1395"/>
      <c r="Q11" s="1395"/>
      <c r="R11" s="1395"/>
      <c r="S11" s="1395"/>
      <c r="T11" s="1395"/>
      <c r="U11" s="1395"/>
      <c r="V11" s="1395"/>
      <c r="W11" s="1395"/>
      <c r="X11" s="1395"/>
      <c r="Y11" s="1395"/>
      <c r="Z11" s="1395"/>
      <c r="AA11" s="1395"/>
      <c r="AB11" s="1395"/>
      <c r="AC11" s="1395"/>
      <c r="AD11" s="1395"/>
      <c r="AE11" s="1395"/>
      <c r="AF11" s="1395"/>
      <c r="AG11" s="1395"/>
      <c r="AH11" s="1395"/>
      <c r="AI11" s="1395"/>
      <c r="AJ11" s="1395"/>
      <c r="AK11" s="1395"/>
      <c r="AL11" s="1395"/>
      <c r="AM11" s="1395"/>
      <c r="AN11" s="1395"/>
      <c r="AO11" s="1395"/>
      <c r="AP11" s="1395"/>
      <c r="AQ11" s="1395"/>
      <c r="AR11" s="1395"/>
      <c r="AS11" s="1395"/>
      <c r="AT11" s="1395"/>
      <c r="AU11" s="234"/>
      <c r="BX11" s="23" t="s">
        <v>2002</v>
      </c>
      <c r="BY11" s="23"/>
      <c r="BZ11" s="722" t="s">
        <v>1347</v>
      </c>
      <c r="CA11" s="723" t="str">
        <f t="shared" si="0"/>
        <v>0518623</v>
      </c>
      <c r="CB11" s="724" t="s">
        <v>654</v>
      </c>
      <c r="CD11" s="145">
        <v>6042</v>
      </c>
      <c r="CE11" s="348" t="s">
        <v>3379</v>
      </c>
      <c r="CF11" s="145">
        <v>6042</v>
      </c>
      <c r="CG11" s="33"/>
      <c r="CH11" s="72" t="s">
        <v>338</v>
      </c>
      <c r="CI11" s="72" t="s">
        <v>63</v>
      </c>
      <c r="CJ11" s="72">
        <v>2</v>
      </c>
      <c r="CK11" s="72" t="s">
        <v>216</v>
      </c>
      <c r="CL11" s="72" t="s">
        <v>90</v>
      </c>
      <c r="CM11" s="72" t="s">
        <v>590</v>
      </c>
      <c r="CN11" s="72" t="s">
        <v>340</v>
      </c>
      <c r="CO11" s="73" t="s">
        <v>341</v>
      </c>
      <c r="CP11" s="76" t="s">
        <v>334</v>
      </c>
      <c r="CQ11" s="129"/>
      <c r="CR11" s="68" t="s">
        <v>2151</v>
      </c>
      <c r="CS11" s="68">
        <v>931</v>
      </c>
      <c r="CT11" s="69" t="str">
        <f t="shared" si="4"/>
        <v>20210601</v>
      </c>
      <c r="CU11" s="70">
        <f t="shared" si="5"/>
        <v>1</v>
      </c>
      <c r="CV11" s="60">
        <f t="shared" si="1"/>
        <v>1</v>
      </c>
      <c r="CW11" s="45" t="s">
        <v>717</v>
      </c>
      <c r="CX11" s="45"/>
      <c r="CY11" s="53"/>
      <c r="CZ11" s="54"/>
      <c r="DA11" s="53"/>
      <c r="DB11" s="45" t="str">
        <f t="shared" si="3"/>
        <v>001</v>
      </c>
      <c r="DC11" s="108" t="s">
        <v>299</v>
      </c>
      <c r="DD11" s="131"/>
      <c r="DE11" s="90"/>
      <c r="DF11" s="90"/>
      <c r="DG11" s="90"/>
      <c r="DH11" s="99" t="s">
        <v>891</v>
      </c>
      <c r="DI11" s="103" t="s">
        <v>896</v>
      </c>
      <c r="DJ11" s="51"/>
      <c r="DK11" s="101" t="str">
        <f t="shared" si="2"/>
        <v>106022YB</v>
      </c>
      <c r="DL11" s="105" t="s">
        <v>880</v>
      </c>
      <c r="DM11" s="102" t="s">
        <v>918</v>
      </c>
      <c r="DN11" s="769" t="str">
        <f>LEFT(記入シート1!AY88,30)</f>
        <v/>
      </c>
      <c r="DO11" s="24"/>
      <c r="DP11" s="452" t="s">
        <v>1263</v>
      </c>
      <c r="DQ11" s="452" t="s">
        <v>1124</v>
      </c>
      <c r="DR11" s="452" t="s">
        <v>1112</v>
      </c>
      <c r="DS11" s="452" t="s">
        <v>1264</v>
      </c>
      <c r="DT11" s="453" t="s">
        <v>1125</v>
      </c>
      <c r="DU11" s="454">
        <f>IF(記入シート1!AV94=1,0,IF(記入シート1!AV94=2,1,""))</f>
        <v>0</v>
      </c>
      <c r="DV11" s="33"/>
      <c r="DX11" s="115"/>
      <c r="DY11" s="115"/>
    </row>
    <row r="12" spans="1:129" ht="19.5" customHeight="1" thickBot="1">
      <c r="A12" s="210"/>
      <c r="B12" s="249"/>
      <c r="C12" s="869"/>
      <c r="D12" s="869"/>
      <c r="E12" s="869"/>
      <c r="F12" s="869"/>
      <c r="G12" s="869"/>
      <c r="H12" s="869"/>
      <c r="I12" s="869"/>
      <c r="J12" s="869"/>
      <c r="K12" s="869"/>
      <c r="L12" s="212"/>
      <c r="M12" s="1395"/>
      <c r="N12" s="1395"/>
      <c r="O12" s="1395"/>
      <c r="P12" s="1395"/>
      <c r="Q12" s="1395"/>
      <c r="R12" s="1395"/>
      <c r="S12" s="1395"/>
      <c r="T12" s="1395"/>
      <c r="U12" s="1395"/>
      <c r="V12" s="1395"/>
      <c r="W12" s="1395"/>
      <c r="X12" s="1395"/>
      <c r="Y12" s="1395"/>
      <c r="Z12" s="1395"/>
      <c r="AA12" s="1395"/>
      <c r="AB12" s="1395"/>
      <c r="AC12" s="1395"/>
      <c r="AD12" s="1395"/>
      <c r="AE12" s="1395"/>
      <c r="AF12" s="1395"/>
      <c r="AG12" s="1395"/>
      <c r="AH12" s="1395"/>
      <c r="AI12" s="1395"/>
      <c r="AJ12" s="1395"/>
      <c r="AK12" s="1395"/>
      <c r="AL12" s="1395"/>
      <c r="AM12" s="1395"/>
      <c r="AN12" s="1395"/>
      <c r="AO12" s="1395"/>
      <c r="AP12" s="1395"/>
      <c r="AQ12" s="1395"/>
      <c r="AR12" s="1395"/>
      <c r="AS12" s="1395"/>
      <c r="AT12" s="1395"/>
      <c r="AU12" s="234"/>
      <c r="BX12" s="23" t="s">
        <v>2003</v>
      </c>
      <c r="BY12" s="23"/>
      <c r="BZ12" s="722" t="s">
        <v>1310</v>
      </c>
      <c r="CA12" s="723" t="str">
        <f t="shared" si="0"/>
        <v>0518669</v>
      </c>
      <c r="CB12" s="724" t="s">
        <v>1370</v>
      </c>
      <c r="CD12" s="145">
        <v>6044</v>
      </c>
      <c r="CE12" s="348" t="s">
        <v>3380</v>
      </c>
      <c r="CF12" s="145">
        <v>6044</v>
      </c>
      <c r="CG12" s="33"/>
      <c r="CH12" s="72" t="s">
        <v>332</v>
      </c>
      <c r="CI12" s="72" t="s">
        <v>63</v>
      </c>
      <c r="CJ12" s="72">
        <v>2</v>
      </c>
      <c r="CK12" s="72" t="s">
        <v>216</v>
      </c>
      <c r="CL12" s="72" t="s">
        <v>90</v>
      </c>
      <c r="CM12" s="72" t="s">
        <v>778</v>
      </c>
      <c r="CN12" s="72" t="s">
        <v>592</v>
      </c>
      <c r="CO12" s="73" t="s">
        <v>333</v>
      </c>
      <c r="CP12" s="76" t="s">
        <v>334</v>
      </c>
      <c r="CQ12" s="129"/>
      <c r="CR12" s="68" t="s">
        <v>938</v>
      </c>
      <c r="CS12" s="68">
        <v>935</v>
      </c>
      <c r="CT12" s="69" t="str">
        <f t="shared" si="4"/>
        <v>20210601</v>
      </c>
      <c r="CU12" s="70">
        <f t="shared" si="5"/>
        <v>1</v>
      </c>
      <c r="CV12" s="60">
        <f t="shared" si="1"/>
        <v>3</v>
      </c>
      <c r="CW12" s="45" t="s">
        <v>297</v>
      </c>
      <c r="CX12" s="45" t="s">
        <v>90</v>
      </c>
      <c r="CY12" s="53" t="s">
        <v>736</v>
      </c>
      <c r="CZ12" s="54" t="s">
        <v>349</v>
      </c>
      <c r="DA12" s="53" t="s">
        <v>626</v>
      </c>
      <c r="DB12" s="45" t="str">
        <f t="shared" si="3"/>
        <v>001</v>
      </c>
      <c r="DC12" s="108" t="s">
        <v>298</v>
      </c>
      <c r="DD12" s="131"/>
      <c r="DE12" s="90"/>
      <c r="DF12" s="90"/>
      <c r="DG12" s="90"/>
      <c r="DH12" s="99" t="s">
        <v>891</v>
      </c>
      <c r="DI12" s="103" t="s">
        <v>897</v>
      </c>
      <c r="DJ12" s="51" t="s">
        <v>624</v>
      </c>
      <c r="DK12" s="101" t="str">
        <f t="shared" si="2"/>
        <v>106022YC</v>
      </c>
      <c r="DL12" s="105" t="s">
        <v>880</v>
      </c>
      <c r="DM12" s="105" t="s">
        <v>919</v>
      </c>
      <c r="DN12" s="139">
        <f>IF(AV20=TRUE,1,0)</f>
        <v>0</v>
      </c>
      <c r="DO12" s="24"/>
      <c r="DP12" s="452" t="s">
        <v>1263</v>
      </c>
      <c r="DQ12" s="452" t="s">
        <v>1126</v>
      </c>
      <c r="DR12" s="452" t="s">
        <v>1112</v>
      </c>
      <c r="DS12" s="452" t="s">
        <v>1264</v>
      </c>
      <c r="DT12" s="453" t="s">
        <v>1127</v>
      </c>
      <c r="DU12" s="454">
        <f>IF(記入シート1!AW94=1,0,IF(記入シート1!AW94=2,1,""))</f>
        <v>0</v>
      </c>
      <c r="DV12" s="33"/>
      <c r="DX12" s="115"/>
      <c r="DY12" s="115"/>
    </row>
    <row r="13" spans="1:129" ht="19.5" customHeight="1" thickTop="1">
      <c r="A13" s="210"/>
      <c r="B13" s="249"/>
      <c r="C13" s="1998" t="s">
        <v>449</v>
      </c>
      <c r="D13" s="1999"/>
      <c r="E13" s="1999"/>
      <c r="F13" s="1999"/>
      <c r="G13" s="1999"/>
      <c r="H13" s="1999"/>
      <c r="I13" s="2000"/>
      <c r="J13" s="2004" t="s">
        <v>845</v>
      </c>
      <c r="K13" s="1999"/>
      <c r="L13" s="2100" t="s">
        <v>846</v>
      </c>
      <c r="M13" s="2101"/>
      <c r="N13" s="2102"/>
      <c r="O13" s="2106" t="s">
        <v>1059</v>
      </c>
      <c r="P13" s="2107"/>
      <c r="Q13" s="2106" t="s">
        <v>2047</v>
      </c>
      <c r="R13" s="2110"/>
      <c r="S13" s="2110"/>
      <c r="T13" s="2107"/>
      <c r="U13" s="2106" t="s">
        <v>2048</v>
      </c>
      <c r="V13" s="2110"/>
      <c r="W13" s="2110"/>
      <c r="X13" s="2107"/>
      <c r="Y13" s="2106" t="s">
        <v>2049</v>
      </c>
      <c r="Z13" s="2110"/>
      <c r="AA13" s="2110"/>
      <c r="AB13" s="2107"/>
      <c r="AC13" s="2106" t="s">
        <v>2050</v>
      </c>
      <c r="AD13" s="2110"/>
      <c r="AE13" s="2110"/>
      <c r="AF13" s="2107"/>
      <c r="AG13" s="2106" t="s">
        <v>2051</v>
      </c>
      <c r="AH13" s="2110"/>
      <c r="AI13" s="2110"/>
      <c r="AJ13" s="2107"/>
      <c r="AK13" s="2112" t="s">
        <v>2052</v>
      </c>
      <c r="AL13" s="2113"/>
      <c r="AM13" s="2113"/>
      <c r="AN13" s="2113"/>
      <c r="AO13" s="2113"/>
      <c r="AP13" s="2113"/>
      <c r="AQ13" s="2113"/>
      <c r="AR13" s="2113"/>
      <c r="AS13" s="2113"/>
      <c r="AT13" s="2114"/>
      <c r="AU13" s="234"/>
      <c r="BX13" s="23" t="s">
        <v>2004</v>
      </c>
      <c r="BY13" s="23"/>
      <c r="BZ13" s="722" t="s">
        <v>1348</v>
      </c>
      <c r="CA13" s="723" t="str">
        <f t="shared" si="0"/>
        <v>0522770</v>
      </c>
      <c r="CB13" s="724" t="s">
        <v>655</v>
      </c>
      <c r="CD13" s="145">
        <v>6045</v>
      </c>
      <c r="CE13" s="145" t="s">
        <v>3381</v>
      </c>
      <c r="CF13" s="145">
        <v>6045</v>
      </c>
      <c r="CG13" s="33"/>
      <c r="CH13" s="65" t="s">
        <v>300</v>
      </c>
      <c r="CI13" s="65" t="s">
        <v>63</v>
      </c>
      <c r="CJ13" s="65">
        <v>8</v>
      </c>
      <c r="CK13" s="65" t="s">
        <v>216</v>
      </c>
      <c r="CL13" s="65" t="s">
        <v>90</v>
      </c>
      <c r="CM13" s="65"/>
      <c r="CN13" s="65"/>
      <c r="CO13" s="66" t="s">
        <v>372</v>
      </c>
      <c r="CP13" s="67" t="str">
        <f>RIGHT("0000"&amp;L8,4)&amp;RIGHT("00"&amp;P8,2)&amp;RIGHT("00"&amp;T8,2)</f>
        <v>20210401</v>
      </c>
      <c r="CQ13" s="129"/>
      <c r="CR13" s="68" t="s">
        <v>2152</v>
      </c>
      <c r="CS13" s="68">
        <v>936</v>
      </c>
      <c r="CT13" s="69" t="str">
        <f t="shared" si="4"/>
        <v>20210601</v>
      </c>
      <c r="CU13" s="70">
        <f t="shared" si="5"/>
        <v>1</v>
      </c>
      <c r="CV13" s="60">
        <f t="shared" si="1"/>
        <v>1</v>
      </c>
      <c r="CW13" s="45" t="s">
        <v>294</v>
      </c>
      <c r="CX13" s="45" t="s">
        <v>90</v>
      </c>
      <c r="CY13" s="53" t="s">
        <v>736</v>
      </c>
      <c r="CZ13" s="54" t="s">
        <v>343</v>
      </c>
      <c r="DA13" s="53" t="s">
        <v>626</v>
      </c>
      <c r="DB13" s="45" t="str">
        <f t="shared" si="3"/>
        <v>001</v>
      </c>
      <c r="DC13" s="108" t="s">
        <v>295</v>
      </c>
      <c r="DD13" s="131"/>
      <c r="DE13" s="90"/>
      <c r="DF13" s="90"/>
      <c r="DG13" s="90"/>
      <c r="DH13" s="99" t="s">
        <v>891</v>
      </c>
      <c r="DI13" s="103" t="s">
        <v>898</v>
      </c>
      <c r="DJ13" s="51" t="s">
        <v>624</v>
      </c>
      <c r="DK13" s="101" t="str">
        <f t="shared" si="2"/>
        <v>106022YD</v>
      </c>
      <c r="DL13" s="105" t="s">
        <v>880</v>
      </c>
      <c r="DM13" s="105" t="s">
        <v>920</v>
      </c>
      <c r="DN13" s="139">
        <f>IF(AV21=TRUE,1,0)</f>
        <v>0</v>
      </c>
      <c r="DO13" s="27"/>
      <c r="DP13" s="452" t="s">
        <v>1263</v>
      </c>
      <c r="DQ13" s="452" t="s">
        <v>1128</v>
      </c>
      <c r="DR13" s="452" t="s">
        <v>1112</v>
      </c>
      <c r="DS13" s="452" t="s">
        <v>1264</v>
      </c>
      <c r="DT13" s="453" t="s">
        <v>1129</v>
      </c>
      <c r="DU13" s="454">
        <f>IF(記入シート1!AX94=1,0,IF(記入シート1!AX94=2,1,""))</f>
        <v>0</v>
      </c>
      <c r="DV13" s="33"/>
      <c r="DX13" s="115"/>
      <c r="DY13" s="115"/>
    </row>
    <row r="14" spans="1:129" ht="19.5" customHeight="1">
      <c r="A14" s="210"/>
      <c r="B14" s="249"/>
      <c r="C14" s="2125"/>
      <c r="D14" s="2126"/>
      <c r="E14" s="2126"/>
      <c r="F14" s="2126"/>
      <c r="G14" s="2126"/>
      <c r="H14" s="2126"/>
      <c r="I14" s="2127"/>
      <c r="J14" s="2128"/>
      <c r="K14" s="2126"/>
      <c r="L14" s="2103"/>
      <c r="M14" s="2104"/>
      <c r="N14" s="2105"/>
      <c r="O14" s="2108"/>
      <c r="P14" s="2109"/>
      <c r="Q14" s="2108"/>
      <c r="R14" s="2111"/>
      <c r="S14" s="2111"/>
      <c r="T14" s="2109"/>
      <c r="U14" s="2108"/>
      <c r="V14" s="2111"/>
      <c r="W14" s="2111"/>
      <c r="X14" s="2109"/>
      <c r="Y14" s="2108"/>
      <c r="Z14" s="2111"/>
      <c r="AA14" s="2111"/>
      <c r="AB14" s="2109"/>
      <c r="AC14" s="2108"/>
      <c r="AD14" s="2111"/>
      <c r="AE14" s="2111"/>
      <c r="AF14" s="2109"/>
      <c r="AG14" s="2108"/>
      <c r="AH14" s="2111"/>
      <c r="AI14" s="2111"/>
      <c r="AJ14" s="2109"/>
      <c r="AK14" s="2115"/>
      <c r="AL14" s="2116"/>
      <c r="AM14" s="2116"/>
      <c r="AN14" s="2116"/>
      <c r="AO14" s="2116"/>
      <c r="AP14" s="2116"/>
      <c r="AQ14" s="2116"/>
      <c r="AR14" s="2116"/>
      <c r="AS14" s="2116"/>
      <c r="AT14" s="2117"/>
      <c r="AU14" s="234"/>
      <c r="AY14" s="495" t="s">
        <v>450</v>
      </c>
      <c r="AZ14" s="278" t="s">
        <v>909</v>
      </c>
      <c r="BX14" s="23" t="s">
        <v>2005</v>
      </c>
      <c r="BY14" s="23"/>
      <c r="BZ14" s="722" t="s">
        <v>1349</v>
      </c>
      <c r="CA14" s="723" t="str">
        <f t="shared" si="0"/>
        <v>0524381</v>
      </c>
      <c r="CB14" s="724" t="s">
        <v>656</v>
      </c>
      <c r="CD14" s="145">
        <v>6048</v>
      </c>
      <c r="CE14" s="145" t="s">
        <v>3382</v>
      </c>
      <c r="CF14" s="145">
        <v>6048</v>
      </c>
      <c r="CG14" s="33"/>
      <c r="CH14" s="65" t="s">
        <v>941</v>
      </c>
      <c r="CI14" s="65" t="s">
        <v>63</v>
      </c>
      <c r="CJ14" s="65">
        <v>8</v>
      </c>
      <c r="CK14" s="65" t="s">
        <v>216</v>
      </c>
      <c r="CL14" s="65" t="s">
        <v>90</v>
      </c>
      <c r="CM14" s="65"/>
      <c r="CN14" s="65"/>
      <c r="CO14" s="66" t="s">
        <v>581</v>
      </c>
      <c r="CP14" s="67" t="str">
        <f>RIGHT("0000"&amp;AH8,4)&amp;RIGHT("00"&amp;AL8,2)&amp;RIGHT("00"&amp;AP8,2)</f>
        <v>20210601</v>
      </c>
      <c r="CQ14" s="129"/>
      <c r="CR14" s="68" t="s">
        <v>2244</v>
      </c>
      <c r="CS14" s="68">
        <v>937</v>
      </c>
      <c r="CT14" s="69" t="str">
        <f t="shared" si="4"/>
        <v>20210601</v>
      </c>
      <c r="CU14" s="70">
        <f t="shared" si="5"/>
        <v>1</v>
      </c>
      <c r="CV14" s="60">
        <f t="shared" si="1"/>
        <v>1</v>
      </c>
      <c r="CW14" s="45" t="s">
        <v>293</v>
      </c>
      <c r="CX14" s="45" t="s">
        <v>90</v>
      </c>
      <c r="CY14" s="53" t="s">
        <v>736</v>
      </c>
      <c r="CZ14" s="54" t="s">
        <v>343</v>
      </c>
      <c r="DA14" s="53" t="s">
        <v>627</v>
      </c>
      <c r="DB14" s="45" t="str">
        <f t="shared" si="3"/>
        <v>001</v>
      </c>
      <c r="DC14" s="108" t="s">
        <v>751</v>
      </c>
      <c r="DD14" s="131"/>
      <c r="DE14" s="90"/>
      <c r="DF14" s="90"/>
      <c r="DG14" s="90"/>
      <c r="DH14" s="99" t="s">
        <v>891</v>
      </c>
      <c r="DI14" s="141" t="s">
        <v>899</v>
      </c>
      <c r="DJ14" s="51" t="s">
        <v>624</v>
      </c>
      <c r="DK14" s="101" t="str">
        <f t="shared" si="2"/>
        <v>106022YE</v>
      </c>
      <c r="DL14" s="105" t="s">
        <v>880</v>
      </c>
      <c r="DM14" s="102" t="s">
        <v>921</v>
      </c>
      <c r="DN14" s="139">
        <f>IF(AV22=TRUE,1,0)</f>
        <v>0</v>
      </c>
      <c r="DO14" s="27"/>
      <c r="DP14" s="452" t="s">
        <v>1263</v>
      </c>
      <c r="DQ14" s="452" t="s">
        <v>1130</v>
      </c>
      <c r="DR14" s="452" t="s">
        <v>1112</v>
      </c>
      <c r="DS14" s="452" t="s">
        <v>1264</v>
      </c>
      <c r="DT14" s="453" t="s">
        <v>1131</v>
      </c>
      <c r="DU14" s="454">
        <f>IF(記入シート1!AV96=1,0,IF(記入シート1!AV96=2,1,""))</f>
        <v>0</v>
      </c>
      <c r="DV14" s="33"/>
      <c r="DX14" s="115"/>
      <c r="DY14" s="115"/>
    </row>
    <row r="15" spans="1:129" ht="19.5" customHeight="1">
      <c r="A15" s="210"/>
      <c r="B15" s="249"/>
      <c r="C15" s="2166" t="s">
        <v>453</v>
      </c>
      <c r="D15" s="2167"/>
      <c r="E15" s="2167"/>
      <c r="F15" s="2167"/>
      <c r="G15" s="2167"/>
      <c r="H15" s="2167"/>
      <c r="I15" s="2167"/>
      <c r="J15" s="478"/>
      <c r="K15" s="913"/>
      <c r="L15" s="917"/>
      <c r="M15" s="918"/>
      <c r="N15" s="915"/>
      <c r="O15" s="915"/>
      <c r="P15" s="915"/>
      <c r="Q15" s="915"/>
      <c r="R15" s="915"/>
      <c r="S15" s="915"/>
      <c r="T15" s="915"/>
      <c r="U15" s="919"/>
      <c r="V15" s="956"/>
      <c r="W15" s="956"/>
      <c r="X15" s="956"/>
      <c r="Y15" s="956"/>
      <c r="Z15" s="956"/>
      <c r="AA15" s="957"/>
      <c r="AB15" s="957"/>
      <c r="AC15" s="957"/>
      <c r="AD15" s="957"/>
      <c r="AE15" s="957"/>
      <c r="AF15" s="958"/>
      <c r="AG15" s="958"/>
      <c r="AH15" s="958"/>
      <c r="AI15" s="958"/>
      <c r="AJ15" s="958"/>
      <c r="AK15" s="2084" t="s">
        <v>5507</v>
      </c>
      <c r="AL15" s="2085"/>
      <c r="AM15" s="2085"/>
      <c r="AN15" s="2085"/>
      <c r="AO15" s="2086"/>
      <c r="AP15" s="2086"/>
      <c r="AQ15" s="2086"/>
      <c r="AR15" s="2086"/>
      <c r="AS15" s="2086"/>
      <c r="AT15" s="2087"/>
      <c r="AU15" s="234"/>
      <c r="AY15" s="308"/>
      <c r="AZ15" s="120"/>
      <c r="BN15" s="209"/>
      <c r="BO15" s="209"/>
      <c r="BX15" s="23" t="s">
        <v>2006</v>
      </c>
      <c r="BY15" s="23"/>
      <c r="BZ15" s="722" t="s">
        <v>1311</v>
      </c>
      <c r="CA15" s="723" t="str">
        <f t="shared" si="0"/>
        <v>0524934</v>
      </c>
      <c r="CB15" s="724" t="s">
        <v>657</v>
      </c>
      <c r="CD15" s="145"/>
      <c r="CE15" s="145"/>
      <c r="CF15" s="145"/>
      <c r="CG15" s="33"/>
      <c r="CH15" s="77" t="s">
        <v>597</v>
      </c>
      <c r="CI15" s="77"/>
      <c r="CJ15" s="77"/>
      <c r="CK15" s="77"/>
      <c r="CL15" s="77"/>
      <c r="CM15" s="77"/>
      <c r="CN15" s="77"/>
      <c r="CO15" s="13"/>
      <c r="CP15" s="58"/>
      <c r="CQ15" s="60"/>
      <c r="CR15" s="68" t="s">
        <v>2153</v>
      </c>
      <c r="CS15" s="68">
        <v>938</v>
      </c>
      <c r="CT15" s="69" t="str">
        <f t="shared" si="4"/>
        <v>20210601</v>
      </c>
      <c r="CU15" s="70">
        <f t="shared" si="5"/>
        <v>1</v>
      </c>
      <c r="CV15" s="60">
        <f t="shared" si="1"/>
        <v>1</v>
      </c>
      <c r="CW15" s="45" t="s">
        <v>290</v>
      </c>
      <c r="CX15" s="45" t="s">
        <v>629</v>
      </c>
      <c r="CY15" s="130"/>
      <c r="CZ15" s="53" t="s">
        <v>359</v>
      </c>
      <c r="DA15" s="53"/>
      <c r="DB15" s="45" t="str">
        <f t="shared" si="3"/>
        <v>001</v>
      </c>
      <c r="DC15" s="108" t="s">
        <v>291</v>
      </c>
      <c r="DD15" s="131"/>
      <c r="DE15" s="90"/>
      <c r="DF15" s="90"/>
      <c r="DG15" s="90"/>
      <c r="DH15" s="99" t="s">
        <v>891</v>
      </c>
      <c r="DI15" s="103" t="s">
        <v>174</v>
      </c>
      <c r="DJ15" s="51" t="s">
        <v>624</v>
      </c>
      <c r="DK15" s="101" t="str">
        <f t="shared" si="2"/>
        <v>106022YF</v>
      </c>
      <c r="DL15" s="105" t="s">
        <v>880</v>
      </c>
      <c r="DM15" s="102" t="s">
        <v>922</v>
      </c>
      <c r="DN15" s="139">
        <f>IF(AV23=TRUE,1,0)</f>
        <v>0</v>
      </c>
      <c r="DO15" s="27"/>
      <c r="DP15" s="452" t="s">
        <v>1263</v>
      </c>
      <c r="DQ15" s="452" t="s">
        <v>1132</v>
      </c>
      <c r="DR15" s="452" t="s">
        <v>1112</v>
      </c>
      <c r="DS15" s="452" t="s">
        <v>1264</v>
      </c>
      <c r="DT15" s="453" t="s">
        <v>1133</v>
      </c>
      <c r="DU15" s="454">
        <f>IF(記入シート1!AW96=1,0,IF(記入シート1!AW96=2,1,""))</f>
        <v>0</v>
      </c>
      <c r="DV15" s="33"/>
      <c r="DX15" s="115"/>
      <c r="DY15" s="115"/>
    </row>
    <row r="16" spans="1:129" ht="19.5" customHeight="1">
      <c r="A16" s="210"/>
      <c r="B16" s="249"/>
      <c r="C16" s="2097" t="s">
        <v>4881</v>
      </c>
      <c r="D16" s="2098"/>
      <c r="E16" s="2098"/>
      <c r="F16" s="2098"/>
      <c r="G16" s="2098"/>
      <c r="H16" s="2098"/>
      <c r="I16" s="2099"/>
      <c r="J16" s="946"/>
      <c r="K16" s="947"/>
      <c r="L16" s="2073" t="s">
        <v>642</v>
      </c>
      <c r="M16" s="2074"/>
      <c r="N16" s="2075"/>
      <c r="O16" s="2071" t="s">
        <v>1071</v>
      </c>
      <c r="P16" s="2072"/>
      <c r="Q16" s="2119">
        <v>0</v>
      </c>
      <c r="R16" s="2120"/>
      <c r="S16" s="2120"/>
      <c r="T16" s="2121"/>
      <c r="U16" s="2122">
        <v>0</v>
      </c>
      <c r="V16" s="2123"/>
      <c r="W16" s="2123"/>
      <c r="X16" s="2124"/>
      <c r="Y16" s="2118">
        <v>3.2399999999999998E-2</v>
      </c>
      <c r="Z16" s="2118"/>
      <c r="AA16" s="2118"/>
      <c r="AB16" s="2118"/>
      <c r="AC16" s="2118">
        <v>0</v>
      </c>
      <c r="AD16" s="2118"/>
      <c r="AE16" s="2118"/>
      <c r="AF16" s="2118"/>
      <c r="AG16" s="2168">
        <v>0</v>
      </c>
      <c r="AH16" s="2168"/>
      <c r="AI16" s="2168"/>
      <c r="AJ16" s="2168"/>
      <c r="AK16" s="912" t="s">
        <v>5500</v>
      </c>
      <c r="AL16" s="913"/>
      <c r="AM16" s="913"/>
      <c r="AN16" s="913"/>
      <c r="AO16" s="913"/>
      <c r="AP16" s="913"/>
      <c r="AQ16" s="913"/>
      <c r="AR16" s="913"/>
      <c r="AS16" s="913"/>
      <c r="AT16" s="914"/>
      <c r="AU16" s="234"/>
      <c r="BL16" s="16">
        <f>COLUMN(Q14)</f>
        <v>17</v>
      </c>
      <c r="BM16" s="16">
        <f>COLUMN(U146)</f>
        <v>21</v>
      </c>
      <c r="BN16" s="16">
        <f>COLUMN(Y14)</f>
        <v>25</v>
      </c>
      <c r="BO16" s="16">
        <f>COLUMN(AC14)</f>
        <v>29</v>
      </c>
      <c r="BP16" s="16">
        <f>COLUMN(AG14)</f>
        <v>33</v>
      </c>
      <c r="BX16" s="23" t="s">
        <v>2007</v>
      </c>
      <c r="BY16" s="23"/>
      <c r="BZ16" s="722" t="s">
        <v>1312</v>
      </c>
      <c r="CA16" s="723" t="str">
        <f t="shared" si="0"/>
        <v>0525735</v>
      </c>
      <c r="CB16" s="724" t="s">
        <v>658</v>
      </c>
      <c r="CD16" s="145"/>
      <c r="CE16" s="145"/>
      <c r="CF16" s="145"/>
      <c r="CG16" s="33"/>
      <c r="CH16" s="62" t="s">
        <v>323</v>
      </c>
      <c r="CI16" s="63" t="s">
        <v>586</v>
      </c>
      <c r="CJ16" s="63" t="s">
        <v>321</v>
      </c>
      <c r="CK16" s="62" t="s">
        <v>320</v>
      </c>
      <c r="CL16" s="62" t="s">
        <v>587</v>
      </c>
      <c r="CM16" s="62" t="s">
        <v>326</v>
      </c>
      <c r="CN16" s="62" t="s">
        <v>327</v>
      </c>
      <c r="CO16" s="62" t="s">
        <v>376</v>
      </c>
      <c r="CP16" s="62" t="s">
        <v>328</v>
      </c>
      <c r="CQ16" s="129"/>
      <c r="CR16" s="68" t="s">
        <v>2154</v>
      </c>
      <c r="CS16" s="68">
        <v>939</v>
      </c>
      <c r="CT16" s="69" t="str">
        <f t="shared" si="4"/>
        <v>20210601</v>
      </c>
      <c r="CU16" s="70">
        <f t="shared" si="5"/>
        <v>1</v>
      </c>
      <c r="CV16" s="60">
        <f t="shared" si="1"/>
        <v>1</v>
      </c>
      <c r="CW16" s="45" t="s">
        <v>288</v>
      </c>
      <c r="CX16" s="45" t="s">
        <v>90</v>
      </c>
      <c r="CY16" s="53" t="s">
        <v>736</v>
      </c>
      <c r="CZ16" s="54" t="s">
        <v>343</v>
      </c>
      <c r="DA16" s="53" t="s">
        <v>627</v>
      </c>
      <c r="DB16" s="45" t="str">
        <f t="shared" si="3"/>
        <v>001</v>
      </c>
      <c r="DC16" s="108" t="s">
        <v>289</v>
      </c>
      <c r="DD16" s="131"/>
      <c r="DE16" s="90"/>
      <c r="DF16" s="90"/>
      <c r="DG16" s="90"/>
      <c r="DH16" s="99" t="s">
        <v>891</v>
      </c>
      <c r="DI16" s="103" t="s">
        <v>900</v>
      </c>
      <c r="DJ16" s="51" t="s">
        <v>904</v>
      </c>
      <c r="DK16" s="101" t="str">
        <f t="shared" si="2"/>
        <v>106022YG</v>
      </c>
      <c r="DL16" s="105" t="s">
        <v>880</v>
      </c>
      <c r="DM16" s="102" t="s">
        <v>923</v>
      </c>
      <c r="DN16" s="299">
        <f>IF(AV89=TRUE,1,0)</f>
        <v>0</v>
      </c>
      <c r="DO16" s="27"/>
      <c r="DP16" s="452" t="s">
        <v>1263</v>
      </c>
      <c r="DQ16" s="452" t="s">
        <v>1134</v>
      </c>
      <c r="DR16" s="452" t="s">
        <v>1112</v>
      </c>
      <c r="DS16" s="452" t="s">
        <v>1264</v>
      </c>
      <c r="DT16" s="453" t="s">
        <v>1135</v>
      </c>
      <c r="DU16" s="454">
        <f>IF(記入シート1!AX96=1,0,IF(記入シート1!AX96=2,1,""))</f>
        <v>0</v>
      </c>
      <c r="DV16" s="33"/>
      <c r="DX16" s="115"/>
      <c r="DY16" s="115"/>
    </row>
    <row r="17" spans="1:129" ht="19.5" customHeight="1">
      <c r="A17" s="210"/>
      <c r="B17" s="249"/>
      <c r="C17" s="2097" t="s">
        <v>911</v>
      </c>
      <c r="D17" s="2098"/>
      <c r="E17" s="2098"/>
      <c r="F17" s="2098"/>
      <c r="G17" s="2098"/>
      <c r="H17" s="2098"/>
      <c r="I17" s="2099"/>
      <c r="J17" s="945"/>
      <c r="K17" s="945"/>
      <c r="L17" s="2073" t="s">
        <v>642</v>
      </c>
      <c r="M17" s="2074"/>
      <c r="N17" s="2075"/>
      <c r="O17" s="2071" t="s">
        <v>1071</v>
      </c>
      <c r="P17" s="2072"/>
      <c r="Q17" s="2119">
        <v>0</v>
      </c>
      <c r="R17" s="2120"/>
      <c r="S17" s="2120"/>
      <c r="T17" s="2121"/>
      <c r="U17" s="2122">
        <v>0</v>
      </c>
      <c r="V17" s="2123"/>
      <c r="W17" s="2123"/>
      <c r="X17" s="2124"/>
      <c r="Y17" s="2118">
        <v>3.2399999999999998E-2</v>
      </c>
      <c r="Z17" s="2118"/>
      <c r="AA17" s="2118"/>
      <c r="AB17" s="2118"/>
      <c r="AC17" s="2118">
        <v>0</v>
      </c>
      <c r="AD17" s="2118"/>
      <c r="AE17" s="2118"/>
      <c r="AF17" s="2118"/>
      <c r="AG17" s="2168">
        <v>0</v>
      </c>
      <c r="AH17" s="2168"/>
      <c r="AI17" s="2168"/>
      <c r="AJ17" s="2168"/>
      <c r="AK17" s="2088" t="s">
        <v>5501</v>
      </c>
      <c r="AL17" s="2089"/>
      <c r="AM17" s="2089"/>
      <c r="AN17" s="2089"/>
      <c r="AO17" s="2089"/>
      <c r="AP17" s="210"/>
      <c r="AQ17" s="915"/>
      <c r="AR17" s="915"/>
      <c r="AS17" s="210"/>
      <c r="AT17" s="211"/>
      <c r="AU17" s="234"/>
      <c r="AV17" s="199" t="b">
        <v>1</v>
      </c>
      <c r="AX17" s="117"/>
      <c r="AY17" s="124" t="s">
        <v>7</v>
      </c>
      <c r="AZ17" s="124" t="s">
        <v>454</v>
      </c>
      <c r="BA17" s="25" t="s">
        <v>908</v>
      </c>
      <c r="BB17" s="25" t="s">
        <v>0</v>
      </c>
      <c r="BC17" s="25" t="s">
        <v>455</v>
      </c>
      <c r="BD17" s="25" t="s">
        <v>975</v>
      </c>
      <c r="BE17" s="25"/>
      <c r="BF17" s="25"/>
      <c r="BG17" s="25"/>
      <c r="BH17" s="25"/>
      <c r="BI17" s="202" t="s">
        <v>456</v>
      </c>
      <c r="BJ17" s="202" t="s">
        <v>457</v>
      </c>
      <c r="BK17" s="202" t="s">
        <v>458</v>
      </c>
      <c r="BL17" s="17" t="s">
        <v>973</v>
      </c>
      <c r="BM17" s="25" t="s">
        <v>974</v>
      </c>
      <c r="BN17" s="17" t="s">
        <v>459</v>
      </c>
      <c r="BO17" s="17" t="s">
        <v>460</v>
      </c>
      <c r="BP17" s="17" t="s">
        <v>461</v>
      </c>
      <c r="BR17" s="25" t="s">
        <v>7</v>
      </c>
      <c r="BX17" s="12" t="s">
        <v>2008</v>
      </c>
      <c r="BY17" s="12"/>
      <c r="BZ17" s="722" t="s">
        <v>1313</v>
      </c>
      <c r="CA17" s="723" t="str">
        <f t="shared" si="0"/>
        <v>1202892</v>
      </c>
      <c r="CB17" s="724" t="s">
        <v>1371</v>
      </c>
      <c r="CD17" s="145"/>
      <c r="CE17" s="145"/>
      <c r="CF17" s="145"/>
      <c r="CG17" s="33"/>
      <c r="CH17" s="65" t="s">
        <v>284</v>
      </c>
      <c r="CI17" s="65" t="s">
        <v>22</v>
      </c>
      <c r="CJ17" s="65">
        <v>60</v>
      </c>
      <c r="CK17" s="65" t="s">
        <v>216</v>
      </c>
      <c r="CL17" s="65" t="s">
        <v>90</v>
      </c>
      <c r="CM17" s="65"/>
      <c r="CN17" s="65"/>
      <c r="CO17" s="66" t="s">
        <v>283</v>
      </c>
      <c r="CP17" s="78" t="str">
        <f>ASC(SUBSTITUTE(SUBSTITUTE(記入シート1!I27,"ヴ","ウﾞ"),"・",""))</f>
        <v/>
      </c>
      <c r="CQ17" s="129"/>
      <c r="CR17" s="68" t="s">
        <v>2155</v>
      </c>
      <c r="CS17" s="68">
        <v>940</v>
      </c>
      <c r="CT17" s="69" t="str">
        <f t="shared" si="4"/>
        <v>20210601</v>
      </c>
      <c r="CU17" s="70">
        <f t="shared" si="5"/>
        <v>0</v>
      </c>
      <c r="CV17" s="60">
        <f t="shared" si="1"/>
        <v>0</v>
      </c>
      <c r="CW17" s="45" t="s">
        <v>285</v>
      </c>
      <c r="CX17" s="45" t="s">
        <v>629</v>
      </c>
      <c r="CY17" s="53" t="s">
        <v>736</v>
      </c>
      <c r="CZ17" s="54" t="s">
        <v>343</v>
      </c>
      <c r="DA17" s="53"/>
      <c r="DB17" s="45" t="str">
        <f t="shared" si="3"/>
        <v>001</v>
      </c>
      <c r="DC17" s="108" t="s">
        <v>286</v>
      </c>
      <c r="DD17" s="131"/>
      <c r="DE17" s="90"/>
      <c r="DF17" s="90"/>
      <c r="DG17" s="90"/>
      <c r="DH17" s="543" t="s">
        <v>891</v>
      </c>
      <c r="DI17" s="141" t="s">
        <v>1899</v>
      </c>
      <c r="DJ17" s="51"/>
      <c r="DK17" s="101" t="str">
        <f t="shared" si="2"/>
        <v>106022YH</v>
      </c>
      <c r="DL17" s="105" t="s">
        <v>880</v>
      </c>
      <c r="DM17" s="102" t="s">
        <v>924</v>
      </c>
      <c r="DN17" s="299" t="str">
        <f>ASC(AA126)</f>
        <v>1</v>
      </c>
      <c r="DO17" s="27"/>
      <c r="DP17" s="452" t="s">
        <v>1263</v>
      </c>
      <c r="DQ17" s="452" t="s">
        <v>1136</v>
      </c>
      <c r="DR17" s="452" t="s">
        <v>1112</v>
      </c>
      <c r="DS17" s="452" t="s">
        <v>1265</v>
      </c>
      <c r="DT17" s="457" t="s">
        <v>1266</v>
      </c>
      <c r="DU17" s="459"/>
      <c r="DV17" s="33"/>
      <c r="DX17" s="115"/>
      <c r="DY17" s="115"/>
    </row>
    <row r="18" spans="1:129" ht="19.5" customHeight="1" thickBot="1">
      <c r="A18" s="210"/>
      <c r="B18" s="249"/>
      <c r="C18" s="2169" t="s">
        <v>5021</v>
      </c>
      <c r="D18" s="2170"/>
      <c r="E18" s="2170"/>
      <c r="F18" s="2170"/>
      <c r="G18" s="2170"/>
      <c r="H18" s="2170"/>
      <c r="I18" s="2171"/>
      <c r="J18" s="890"/>
      <c r="K18" s="915"/>
      <c r="L18" s="2172" t="s">
        <v>642</v>
      </c>
      <c r="M18" s="2173"/>
      <c r="N18" s="2174"/>
      <c r="O18" s="2092" t="s">
        <v>1071</v>
      </c>
      <c r="P18" s="2093"/>
      <c r="Q18" s="2181">
        <v>0</v>
      </c>
      <c r="R18" s="2182"/>
      <c r="S18" s="2182"/>
      <c r="T18" s="2183"/>
      <c r="U18" s="2184">
        <v>0</v>
      </c>
      <c r="V18" s="2185"/>
      <c r="W18" s="2185"/>
      <c r="X18" s="2186"/>
      <c r="Y18" s="2195">
        <v>0</v>
      </c>
      <c r="Z18" s="2195"/>
      <c r="AA18" s="2195"/>
      <c r="AB18" s="2195"/>
      <c r="AC18" s="2195">
        <v>0</v>
      </c>
      <c r="AD18" s="2195"/>
      <c r="AE18" s="2195"/>
      <c r="AF18" s="2195"/>
      <c r="AG18" s="2196">
        <v>0</v>
      </c>
      <c r="AH18" s="2196"/>
      <c r="AI18" s="2196"/>
      <c r="AJ18" s="2196"/>
      <c r="AK18" s="2162" t="s">
        <v>3656</v>
      </c>
      <c r="AL18" s="2163"/>
      <c r="AM18" s="2163"/>
      <c r="AN18" s="2163"/>
      <c r="AO18" s="2163"/>
      <c r="AP18" s="2094" t="s">
        <v>3651</v>
      </c>
      <c r="AQ18" s="2094"/>
      <c r="AR18" s="2094"/>
      <c r="AS18" s="2152" t="s">
        <v>3652</v>
      </c>
      <c r="AT18" s="2153"/>
      <c r="AU18" s="234"/>
      <c r="AV18" s="479" t="b">
        <v>1</v>
      </c>
      <c r="AW18" s="144">
        <f>IF(AV18=TRUE,AV18*1,0)</f>
        <v>1</v>
      </c>
      <c r="AX18" s="144" t="str">
        <f>IF(AV18=TRUE,"VM","")</f>
        <v>VM</v>
      </c>
      <c r="AY18" s="125" t="str">
        <f>TEXT(BR18,"000")</f>
        <v>106</v>
      </c>
      <c r="AZ18" s="125">
        <f>IF(SUM(AW18:AW22)&gt;0,1,0)</f>
        <v>1</v>
      </c>
      <c r="BA18" s="26" t="str">
        <f>IF(O18="2回入金","92",IF(O18="早期2回","R2",IF(O18="早期3回","R3",IF(O18="早期4回","R4",IF(O18="早期6回","R6","")))))</f>
        <v>92</v>
      </c>
      <c r="BB18" s="279" t="str">
        <f>AZ14</f>
        <v>14</v>
      </c>
      <c r="BC18" s="279" t="s">
        <v>877</v>
      </c>
      <c r="BD18" s="26">
        <f>ROW(C18)</f>
        <v>18</v>
      </c>
      <c r="BE18" s="26"/>
      <c r="BF18" s="20" t="str">
        <f>"106"&amp;BC18&amp;1</f>
        <v>106106011</v>
      </c>
      <c r="BG18" s="18"/>
      <c r="BH18" s="127" t="str">
        <f>AX18&amp;"→"</f>
        <v>VM→</v>
      </c>
      <c r="BI18" s="18">
        <v>10602</v>
      </c>
      <c r="BJ18" s="18">
        <f>AW18</f>
        <v>1</v>
      </c>
      <c r="BK18" s="26">
        <f>$AZ$18</f>
        <v>1</v>
      </c>
      <c r="BL18" s="2150">
        <f ca="1">IF($AW18=0,"",INDIRECT(ADDRESS($BD18,BL$16)))</f>
        <v>0</v>
      </c>
      <c r="BM18" s="2150">
        <f ca="1">IF($AW18=0,"",INDIRECT(ADDRESS($BD18,BM$16)))</f>
        <v>0</v>
      </c>
      <c r="BN18" s="343">
        <f ca="1">IF($AW18=0,"",INDIRECT(ADDRESS($BD18,BN$16)))</f>
        <v>0</v>
      </c>
      <c r="BO18" s="343">
        <f ca="1">IF($AW18=0,"",INDIRECT(ADDRESS($BD18,BO$16)))</f>
        <v>0</v>
      </c>
      <c r="BP18" s="492">
        <f ca="1">IF($AW18=0,"",INDIRECT(ADDRESS($BD18,BP$16)))</f>
        <v>0</v>
      </c>
      <c r="BQ18" s="471"/>
      <c r="BR18" s="26">
        <v>106</v>
      </c>
      <c r="BX18" s="24" t="s">
        <v>2009</v>
      </c>
      <c r="BZ18" s="722" t="s">
        <v>1350</v>
      </c>
      <c r="CA18" s="723" t="str">
        <f t="shared" si="0"/>
        <v>1202895</v>
      </c>
      <c r="CB18" s="724" t="s">
        <v>659</v>
      </c>
      <c r="CC18" s="19"/>
      <c r="CD18" s="145"/>
      <c r="CE18" s="145"/>
      <c r="CF18" s="145"/>
      <c r="CG18" s="34"/>
      <c r="CH18" s="65" t="s">
        <v>378</v>
      </c>
      <c r="CI18" s="65" t="s">
        <v>21</v>
      </c>
      <c r="CJ18" s="65">
        <v>60</v>
      </c>
      <c r="CK18" s="65" t="s">
        <v>216</v>
      </c>
      <c r="CL18" s="65" t="s">
        <v>90</v>
      </c>
      <c r="CM18" s="65"/>
      <c r="CN18" s="65"/>
      <c r="CO18" s="66" t="s">
        <v>287</v>
      </c>
      <c r="CP18" s="78" t="str">
        <f>T(記入シート1!I28)</f>
        <v/>
      </c>
      <c r="CQ18" s="129"/>
      <c r="CR18" s="68" t="s">
        <v>2156</v>
      </c>
      <c r="CS18" s="68">
        <v>941</v>
      </c>
      <c r="CT18" s="69" t="str">
        <f t="shared" si="4"/>
        <v>20210601</v>
      </c>
      <c r="CU18" s="70">
        <f t="shared" si="5"/>
        <v>0</v>
      </c>
      <c r="CV18" s="60">
        <f t="shared" si="1"/>
        <v>0</v>
      </c>
      <c r="CW18" s="45" t="s">
        <v>281</v>
      </c>
      <c r="CX18" s="45" t="s">
        <v>629</v>
      </c>
      <c r="CY18" s="53" t="s">
        <v>736</v>
      </c>
      <c r="CZ18" s="54" t="s">
        <v>343</v>
      </c>
      <c r="DA18" s="53"/>
      <c r="DB18" s="45" t="str">
        <f t="shared" si="3"/>
        <v>001</v>
      </c>
      <c r="DC18" s="108" t="s">
        <v>282</v>
      </c>
      <c r="DD18" s="131"/>
      <c r="DE18" s="90"/>
      <c r="DF18" s="90"/>
      <c r="DG18" s="90"/>
      <c r="DH18" s="543" t="s">
        <v>891</v>
      </c>
      <c r="DI18" s="620" t="s">
        <v>1900</v>
      </c>
      <c r="DJ18" s="100"/>
      <c r="DK18" s="101" t="str">
        <f t="shared" si="2"/>
        <v>106022YI</v>
      </c>
      <c r="DL18" s="105" t="s">
        <v>880</v>
      </c>
      <c r="DM18" s="102" t="s">
        <v>925</v>
      </c>
      <c r="DN18" s="299" t="str">
        <f>ASC(AA127)</f>
        <v>1</v>
      </c>
      <c r="DO18" s="27"/>
      <c r="DP18" s="457" t="s">
        <v>1263</v>
      </c>
      <c r="DQ18" s="457" t="s">
        <v>1137</v>
      </c>
      <c r="DR18" s="457" t="s">
        <v>1258</v>
      </c>
      <c r="DS18" s="457"/>
      <c r="DT18" s="457" t="s">
        <v>1267</v>
      </c>
      <c r="DU18" s="458"/>
      <c r="DV18" s="33"/>
      <c r="DX18" s="115"/>
      <c r="DY18" s="115"/>
    </row>
    <row r="19" spans="1:129" ht="19.5" hidden="1" customHeight="1" thickBot="1">
      <c r="A19" s="210"/>
      <c r="B19" s="249"/>
      <c r="C19" s="2175" t="s">
        <v>911</v>
      </c>
      <c r="D19" s="2176"/>
      <c r="E19" s="2176"/>
      <c r="F19" s="2176"/>
      <c r="G19" s="2176"/>
      <c r="H19" s="2176"/>
      <c r="I19" s="2177"/>
      <c r="J19" s="889"/>
      <c r="K19" s="916"/>
      <c r="L19" s="2178" t="s">
        <v>968</v>
      </c>
      <c r="M19" s="2179"/>
      <c r="N19" s="2180"/>
      <c r="O19" s="2154" t="s">
        <v>1071</v>
      </c>
      <c r="P19" s="2155"/>
      <c r="Q19" s="2156">
        <v>0</v>
      </c>
      <c r="R19" s="2157"/>
      <c r="S19" s="2157"/>
      <c r="T19" s="2158"/>
      <c r="U19" s="2159">
        <v>0</v>
      </c>
      <c r="V19" s="2160"/>
      <c r="W19" s="2160"/>
      <c r="X19" s="2161"/>
      <c r="Y19" s="2151">
        <v>3.2399999999999998E-2</v>
      </c>
      <c r="Z19" s="2151"/>
      <c r="AA19" s="2151"/>
      <c r="AB19" s="2151"/>
      <c r="AC19" s="2151">
        <v>0</v>
      </c>
      <c r="AD19" s="2151"/>
      <c r="AE19" s="2151"/>
      <c r="AF19" s="2151"/>
      <c r="AG19" s="2095">
        <v>0</v>
      </c>
      <c r="AH19" s="2095"/>
      <c r="AI19" s="2095"/>
      <c r="AJ19" s="2095"/>
      <c r="AK19" s="2164" t="s">
        <v>875</v>
      </c>
      <c r="AL19" s="2165"/>
      <c r="AM19" s="2165"/>
      <c r="AN19" s="2165"/>
      <c r="AO19" s="2165"/>
      <c r="AP19" s="1274" t="s">
        <v>997</v>
      </c>
      <c r="AQ19" s="2187" t="s">
        <v>991</v>
      </c>
      <c r="AR19" s="2187"/>
      <c r="AS19" s="2187"/>
      <c r="AT19" s="2188"/>
      <c r="AU19" s="234"/>
      <c r="AV19" s="199" t="b">
        <f>IF(AND(AV18=TRUE,OR(AQ19="-",AQ19="")),TRUE,FALSE)</f>
        <v>1</v>
      </c>
      <c r="AW19" s="273">
        <f>$AW$18</f>
        <v>1</v>
      </c>
      <c r="AX19" s="273" t="str">
        <f>IF(OR(AV20=TRUE,AV21=TRUE,AV22=TRUE),"分割・リボ","")</f>
        <v/>
      </c>
      <c r="AY19" s="273"/>
      <c r="AZ19" s="273"/>
      <c r="BA19" s="274"/>
      <c r="BB19" s="280" t="str">
        <f>BB18</f>
        <v>14</v>
      </c>
      <c r="BC19" s="279" t="s">
        <v>880</v>
      </c>
      <c r="BD19" s="274">
        <f>ROW(C18)</f>
        <v>18</v>
      </c>
      <c r="BE19" s="274"/>
      <c r="BF19" s="275" t="str">
        <f>"106"&amp;BC19&amp;2</f>
        <v>106106022</v>
      </c>
      <c r="BG19" s="276"/>
      <c r="BH19" s="127" t="str">
        <f>AX19&amp;"→"</f>
        <v>→</v>
      </c>
      <c r="BI19" s="277">
        <v>10602</v>
      </c>
      <c r="BJ19" s="18">
        <f>AW19</f>
        <v>1</v>
      </c>
      <c r="BK19" s="26">
        <f>$AZ$18</f>
        <v>1</v>
      </c>
      <c r="BL19" s="2150"/>
      <c r="BM19" s="2150"/>
      <c r="BN19" s="343">
        <f ca="1">IF($AW19=0,"",INDIRECT(ADDRESS($BD19,BN$16)))</f>
        <v>0</v>
      </c>
      <c r="BO19" s="343">
        <f ca="1">IF($AW19=0,"",INDIRECT(ADDRESS($BD19,BO$16)))</f>
        <v>0</v>
      </c>
      <c r="BP19" s="492">
        <f t="shared" ref="BN19:BP22" ca="1" si="6">IF($AW19=0,"",INDIRECT(ADDRESS($BD19,BP$16)))</f>
        <v>0</v>
      </c>
      <c r="BQ19" s="21"/>
      <c r="BR19" s="26">
        <v>106</v>
      </c>
      <c r="BX19" s="24" t="s">
        <v>2010</v>
      </c>
      <c r="BZ19" s="722" t="s">
        <v>1351</v>
      </c>
      <c r="CA19" s="723" t="str">
        <f t="shared" si="0"/>
        <v>1203376</v>
      </c>
      <c r="CB19" s="724" t="s">
        <v>660</v>
      </c>
      <c r="CC19" s="19"/>
      <c r="CD19" s="145"/>
      <c r="CE19" s="145"/>
      <c r="CF19" s="145"/>
      <c r="CG19" s="34"/>
      <c r="CH19" s="65" t="s">
        <v>379</v>
      </c>
      <c r="CI19" s="65" t="s">
        <v>22</v>
      </c>
      <c r="CJ19" s="65">
        <v>255</v>
      </c>
      <c r="CK19" s="65" t="s">
        <v>216</v>
      </c>
      <c r="CL19" s="65" t="s">
        <v>90</v>
      </c>
      <c r="CM19" s="65"/>
      <c r="CN19" s="65"/>
      <c r="CO19" s="66" t="s">
        <v>273</v>
      </c>
      <c r="CP19" s="78" t="str">
        <f>ASC(記入シート1!J34)&amp;" "&amp;ASC(SUBSTITUTE(SUBSTITUTE(SUBSTITUTE(SUBSTITUTE(SUBSTITUTE(記入シート1!O34,"　","")," ",""),"ヴ","ウﾞ"),"・",""),"－","‐"))&amp;" "&amp;ASC(SUBSTITUTE(SUBSTITUTE(SUBSTITUTE(SUBSTITUTE(SUBSTITUTE(記入シート1!Z34,"　","")," ",""),"ヴ","ウﾞ"),"・",""),"－","‐"))&amp;IF(記入シート1!AK34="",""," "&amp;ASC(SUBSTITUTE(SUBSTITUTE(SUBSTITUTE(SUBSTITUTE(SUBSTITUTE(記入シート1!AK34,"　","")," ",""),"ヴ","ウﾞ"),"・",""),"－","‐")))</f>
        <v xml:space="preserve">(自動表示)  </v>
      </c>
      <c r="CQ19" s="129"/>
      <c r="CR19" s="68" t="s">
        <v>2157</v>
      </c>
      <c r="CS19" s="68">
        <v>942</v>
      </c>
      <c r="CT19" s="69" t="str">
        <f t="shared" si="4"/>
        <v>20210601</v>
      </c>
      <c r="CU19" s="70">
        <f t="shared" si="5"/>
        <v>1</v>
      </c>
      <c r="CV19" s="60">
        <f t="shared" si="1"/>
        <v>1</v>
      </c>
      <c r="CW19" s="45" t="s">
        <v>277</v>
      </c>
      <c r="CX19" s="45" t="s">
        <v>629</v>
      </c>
      <c r="CY19" s="53" t="s">
        <v>736</v>
      </c>
      <c r="CZ19" s="54" t="s">
        <v>343</v>
      </c>
      <c r="DA19" s="53"/>
      <c r="DB19" s="45" t="str">
        <f t="shared" si="3"/>
        <v>001</v>
      </c>
      <c r="DC19" s="108" t="s">
        <v>278</v>
      </c>
      <c r="DD19" s="131"/>
      <c r="DE19" s="90"/>
      <c r="DF19" s="90"/>
      <c r="DG19" s="90"/>
      <c r="DH19" s="543" t="s">
        <v>891</v>
      </c>
      <c r="DI19" s="620" t="s">
        <v>1901</v>
      </c>
      <c r="DJ19" s="100"/>
      <c r="DK19" s="101" t="str">
        <f t="shared" si="2"/>
        <v>106022YJ</v>
      </c>
      <c r="DL19" s="105" t="s">
        <v>880</v>
      </c>
      <c r="DM19" s="102" t="s">
        <v>926</v>
      </c>
      <c r="DN19" s="299" t="str">
        <f>ASC(AA128)</f>
        <v>1</v>
      </c>
      <c r="DO19" s="27"/>
      <c r="DP19" s="457" t="s">
        <v>1263</v>
      </c>
      <c r="DQ19" s="457" t="s">
        <v>1138</v>
      </c>
      <c r="DR19" s="457" t="s">
        <v>1258</v>
      </c>
      <c r="DS19" s="457"/>
      <c r="DT19" s="457" t="s">
        <v>1268</v>
      </c>
      <c r="DU19" s="458"/>
      <c r="DV19" s="33"/>
      <c r="DX19" s="115"/>
      <c r="DY19" s="115"/>
    </row>
    <row r="20" spans="1:129" ht="19.5" customHeight="1" thickTop="1">
      <c r="A20" s="210"/>
      <c r="B20" s="249"/>
      <c r="C20" s="2137" t="s">
        <v>5020</v>
      </c>
      <c r="D20" s="2138"/>
      <c r="E20" s="2138"/>
      <c r="F20" s="2138"/>
      <c r="G20" s="2138"/>
      <c r="H20" s="2138"/>
      <c r="I20" s="2138"/>
      <c r="J20" s="2138"/>
      <c r="K20" s="2139"/>
      <c r="L20" s="2146"/>
      <c r="M20" s="2147"/>
      <c r="N20" s="2032" t="s">
        <v>853</v>
      </c>
      <c r="O20" s="2032"/>
      <c r="P20" s="2032"/>
      <c r="Q20" s="2032"/>
      <c r="R20" s="2032"/>
      <c r="S20" s="2032"/>
      <c r="T20" s="2032"/>
      <c r="U20" s="2148"/>
      <c r="V20" s="2148"/>
      <c r="W20" s="2148"/>
      <c r="X20" s="2148"/>
      <c r="Y20" s="2148"/>
      <c r="Z20" s="2148"/>
      <c r="AA20" s="2148"/>
      <c r="AB20" s="2148"/>
      <c r="AC20" s="2148"/>
      <c r="AD20" s="2148"/>
      <c r="AE20" s="2148"/>
      <c r="AF20" s="2148"/>
      <c r="AG20" s="2148"/>
      <c r="AH20" s="2148"/>
      <c r="AI20" s="2148"/>
      <c r="AJ20" s="2148"/>
      <c r="AK20" s="2148"/>
      <c r="AL20" s="2148"/>
      <c r="AM20" s="2148"/>
      <c r="AN20" s="2148"/>
      <c r="AO20" s="2148"/>
      <c r="AP20" s="2148"/>
      <c r="AQ20" s="2148"/>
      <c r="AR20" s="2148"/>
      <c r="AS20" s="2148"/>
      <c r="AT20" s="2149"/>
      <c r="AU20" s="234"/>
      <c r="AV20" s="199" t="b">
        <v>0</v>
      </c>
      <c r="AW20" s="273">
        <f>$AW$18</f>
        <v>1</v>
      </c>
      <c r="AX20" s="273" t="str">
        <f>IF(AV23=TRUE,"ボーナス","")</f>
        <v/>
      </c>
      <c r="AY20" s="273"/>
      <c r="AZ20" s="273"/>
      <c r="BA20" s="274"/>
      <c r="BB20" s="280" t="str">
        <f>BB19</f>
        <v>14</v>
      </c>
      <c r="BC20" s="279" t="s">
        <v>906</v>
      </c>
      <c r="BD20" s="274">
        <f>ROW(C18)</f>
        <v>18</v>
      </c>
      <c r="BE20" s="274"/>
      <c r="BF20" s="275" t="str">
        <f>"106"&amp;BC20&amp;3</f>
        <v>106106033</v>
      </c>
      <c r="BG20" s="276"/>
      <c r="BH20" s="127" t="str">
        <f>AX20&amp;"→"</f>
        <v>→</v>
      </c>
      <c r="BI20" s="277">
        <v>10602</v>
      </c>
      <c r="BJ20" s="18">
        <f>AW20</f>
        <v>1</v>
      </c>
      <c r="BK20" s="26">
        <f>$AZ$18</f>
        <v>1</v>
      </c>
      <c r="BL20" s="2150"/>
      <c r="BM20" s="2150"/>
      <c r="BN20" s="343">
        <f ca="1">IF($AW20=0,"",INDIRECT(ADDRESS($BD20,BN$16)))</f>
        <v>0</v>
      </c>
      <c r="BO20" s="343">
        <f ca="1">IF($AW20=0,"",INDIRECT(ADDRESS($BD20,BO$16)))</f>
        <v>0</v>
      </c>
      <c r="BP20" s="492">
        <f t="shared" ca="1" si="6"/>
        <v>0</v>
      </c>
      <c r="BQ20" s="21"/>
      <c r="BR20" s="26">
        <v>106</v>
      </c>
      <c r="BX20" s="24" t="s">
        <v>2011</v>
      </c>
      <c r="BZ20" s="722" t="s">
        <v>1314</v>
      </c>
      <c r="CA20" s="723" t="str">
        <f t="shared" si="0"/>
        <v>1203405</v>
      </c>
      <c r="CB20" s="724" t="s">
        <v>1372</v>
      </c>
      <c r="CD20" s="145"/>
      <c r="CE20" s="145"/>
      <c r="CF20" s="145"/>
      <c r="CG20" s="34"/>
      <c r="CH20" s="65" t="s">
        <v>280</v>
      </c>
      <c r="CI20" s="65" t="s">
        <v>22</v>
      </c>
      <c r="CJ20" s="65">
        <v>8</v>
      </c>
      <c r="CK20" s="65" t="s">
        <v>216</v>
      </c>
      <c r="CL20" s="65" t="s">
        <v>90</v>
      </c>
      <c r="CM20" s="65"/>
      <c r="CN20" s="65"/>
      <c r="CO20" s="66" t="s">
        <v>279</v>
      </c>
      <c r="CP20" s="78" t="str">
        <f>ASC(記入シート1!J35&amp;"-"&amp;記入シート1!M35)</f>
        <v>-</v>
      </c>
      <c r="CQ20" s="129"/>
      <c r="CR20" s="68" t="s">
        <v>2158</v>
      </c>
      <c r="CS20" s="68"/>
      <c r="CT20" s="68"/>
      <c r="CU20" s="281"/>
      <c r="CV20" s="60">
        <f t="shared" si="1"/>
        <v>0</v>
      </c>
      <c r="CW20" s="45" t="s">
        <v>274</v>
      </c>
      <c r="CX20" s="45" t="s">
        <v>629</v>
      </c>
      <c r="CY20" s="53" t="s">
        <v>736</v>
      </c>
      <c r="CZ20" s="54" t="s">
        <v>343</v>
      </c>
      <c r="DA20" s="53"/>
      <c r="DB20" s="45" t="str">
        <f t="shared" si="3"/>
        <v>001</v>
      </c>
      <c r="DC20" s="108" t="s">
        <v>275</v>
      </c>
      <c r="DD20" s="131"/>
      <c r="DE20" s="90"/>
      <c r="DF20" s="90"/>
      <c r="DG20" s="90"/>
      <c r="DH20" s="543" t="s">
        <v>891</v>
      </c>
      <c r="DI20" s="141" t="s">
        <v>1902</v>
      </c>
      <c r="DJ20" s="51"/>
      <c r="DK20" s="101" t="str">
        <f t="shared" si="2"/>
        <v>106022YK</v>
      </c>
      <c r="DL20" s="105" t="s">
        <v>880</v>
      </c>
      <c r="DM20" s="102" t="s">
        <v>927</v>
      </c>
      <c r="DN20" s="299" t="str">
        <f>ASC(AA129)</f>
        <v>1</v>
      </c>
      <c r="DO20" s="27"/>
      <c r="DP20" s="452" t="s">
        <v>1269</v>
      </c>
      <c r="DQ20" s="452" t="s">
        <v>1139</v>
      </c>
      <c r="DR20" s="452" t="s">
        <v>1112</v>
      </c>
      <c r="DS20" s="452" t="s">
        <v>1270</v>
      </c>
      <c r="DT20" s="457" t="s">
        <v>1271</v>
      </c>
      <c r="DU20" s="459"/>
      <c r="DV20" s="33"/>
      <c r="DX20" s="115"/>
      <c r="DY20" s="115"/>
    </row>
    <row r="21" spans="1:129" ht="19.5" customHeight="1">
      <c r="A21" s="210"/>
      <c r="B21" s="249"/>
      <c r="C21" s="2140"/>
      <c r="D21" s="2141"/>
      <c r="E21" s="2141"/>
      <c r="F21" s="2141"/>
      <c r="G21" s="2141"/>
      <c r="H21" s="2141"/>
      <c r="I21" s="2141"/>
      <c r="J21" s="2141"/>
      <c r="K21" s="2142"/>
      <c r="L21" s="2146"/>
      <c r="M21" s="2147"/>
      <c r="N21" s="2032" t="s">
        <v>854</v>
      </c>
      <c r="O21" s="2032"/>
      <c r="P21" s="2032"/>
      <c r="Q21" s="2032"/>
      <c r="R21" s="2032"/>
      <c r="S21" s="2032"/>
      <c r="T21" s="2032"/>
      <c r="U21" s="2148" t="s">
        <v>857</v>
      </c>
      <c r="V21" s="2148"/>
      <c r="W21" s="2148"/>
      <c r="X21" s="2148"/>
      <c r="Y21" s="2148"/>
      <c r="Z21" s="2148"/>
      <c r="AA21" s="2148"/>
      <c r="AB21" s="2148"/>
      <c r="AC21" s="2148"/>
      <c r="AD21" s="2148"/>
      <c r="AE21" s="2148"/>
      <c r="AF21" s="2148"/>
      <c r="AG21" s="2148"/>
      <c r="AH21" s="2148"/>
      <c r="AI21" s="2148"/>
      <c r="AJ21" s="2148"/>
      <c r="AK21" s="2148"/>
      <c r="AL21" s="2148"/>
      <c r="AM21" s="2148"/>
      <c r="AN21" s="2148"/>
      <c r="AO21" s="2148"/>
      <c r="AP21" s="2148"/>
      <c r="AQ21" s="2148"/>
      <c r="AR21" s="2148"/>
      <c r="AS21" s="2148"/>
      <c r="AT21" s="2149"/>
      <c r="AU21" s="234"/>
      <c r="AV21" s="199" t="b">
        <v>0</v>
      </c>
      <c r="AW21" s="273">
        <f>$AW$18</f>
        <v>1</v>
      </c>
      <c r="AX21" s="273" t="str">
        <f>IF(AV23=TRUE,"ボーナス留保分","")</f>
        <v/>
      </c>
      <c r="AY21" s="273"/>
      <c r="AZ21" s="273"/>
      <c r="BA21" s="274"/>
      <c r="BB21" s="280" t="str">
        <f>BB20</f>
        <v>14</v>
      </c>
      <c r="BC21" s="279" t="s">
        <v>907</v>
      </c>
      <c r="BD21" s="274">
        <f>ROW(C18)</f>
        <v>18</v>
      </c>
      <c r="BE21" s="274"/>
      <c r="BF21" s="275" t="str">
        <f>"106"&amp;BC21&amp;4</f>
        <v>106106044</v>
      </c>
      <c r="BG21" s="276"/>
      <c r="BH21" s="127" t="str">
        <f>AX21&amp;"→"</f>
        <v>→</v>
      </c>
      <c r="BI21" s="277">
        <v>10602</v>
      </c>
      <c r="BJ21" s="18">
        <f>AW21</f>
        <v>1</v>
      </c>
      <c r="BK21" s="26">
        <f>$AZ$18</f>
        <v>1</v>
      </c>
      <c r="BL21" s="2150"/>
      <c r="BM21" s="2150"/>
      <c r="BN21" s="343">
        <f t="shared" ca="1" si="6"/>
        <v>0</v>
      </c>
      <c r="BO21" s="343">
        <f t="shared" ca="1" si="6"/>
        <v>0</v>
      </c>
      <c r="BP21" s="492">
        <f t="shared" ca="1" si="6"/>
        <v>0</v>
      </c>
      <c r="BQ21" s="21"/>
      <c r="BR21" s="26">
        <v>106</v>
      </c>
      <c r="BS21" s="21"/>
      <c r="BX21" s="24" t="s">
        <v>2012</v>
      </c>
      <c r="BZ21" s="722" t="s">
        <v>1352</v>
      </c>
      <c r="CA21" s="723" t="str">
        <f t="shared" si="0"/>
        <v>1203713</v>
      </c>
      <c r="CB21" s="724" t="s">
        <v>661</v>
      </c>
      <c r="CD21" s="145"/>
      <c r="CE21" s="145"/>
      <c r="CF21" s="145"/>
      <c r="CG21" s="34"/>
      <c r="CH21" s="65" t="s">
        <v>384</v>
      </c>
      <c r="CI21" s="65" t="s">
        <v>21</v>
      </c>
      <c r="CJ21" s="65">
        <v>255</v>
      </c>
      <c r="CK21" s="65" t="s">
        <v>216</v>
      </c>
      <c r="CL21" s="65" t="s">
        <v>90</v>
      </c>
      <c r="CM21" s="65"/>
      <c r="CN21" s="65"/>
      <c r="CO21" s="66" t="s">
        <v>276</v>
      </c>
      <c r="CP21" s="78" t="str">
        <f>T(記入シート1!AW36)&amp;"　"&amp;SUBSTITUTE(SUBSTITUTE(SUBSTITUTE(SUBSTITUTE(T(記入シート1!N36),"　","")," ",""),"―","ー"),"－","‐")&amp;"　"&amp;SUBSTITUTE(SUBSTITUTE(SUBSTITUTE(SUBSTITUTE(T(記入シート1!V36),"　","")," ",""),"―","ー"),"－","‐")&amp;"　"&amp;SUBSTITUTE(SUBSTITUTE(SUBSTITUTE(SUBSTITUTE(T(記入シート1!AD36),"　","")," ",""),"―","ー"),"－","‐")&amp;IF(記入シート1!AL36="","","　"&amp;SUBSTITUTE(SUBSTITUTE(SUBSTITUTE(SUBSTITUTE(T(記入シート1!AL36),"　","")," ",""),"―","ー"),"－","‐"))</f>
        <v>選択して下さい　　　</v>
      </c>
      <c r="CQ21" s="129"/>
      <c r="CR21" s="68"/>
      <c r="CS21" s="68"/>
      <c r="CT21" s="68"/>
      <c r="CU21" s="281"/>
      <c r="CV21" s="60">
        <f t="shared" si="1"/>
        <v>0</v>
      </c>
      <c r="CW21" s="45" t="s">
        <v>271</v>
      </c>
      <c r="CX21" s="45" t="s">
        <v>698</v>
      </c>
      <c r="CY21" s="53" t="s">
        <v>736</v>
      </c>
      <c r="CZ21" s="54" t="s">
        <v>343</v>
      </c>
      <c r="DA21" s="53"/>
      <c r="DB21" s="45" t="str">
        <f t="shared" si="3"/>
        <v>001</v>
      </c>
      <c r="DC21" s="108" t="s">
        <v>272</v>
      </c>
      <c r="DD21" s="131"/>
      <c r="DE21" s="90"/>
      <c r="DF21" s="90"/>
      <c r="DG21" s="90"/>
      <c r="DH21" s="543" t="s">
        <v>891</v>
      </c>
      <c r="DI21" s="141" t="s">
        <v>901</v>
      </c>
      <c r="DJ21" s="51"/>
      <c r="DK21" s="101" t="str">
        <f t="shared" si="2"/>
        <v>106022YL</v>
      </c>
      <c r="DL21" s="105" t="s">
        <v>880</v>
      </c>
      <c r="DM21" s="102" t="s">
        <v>933</v>
      </c>
      <c r="DN21" s="299" t="str">
        <f>ASC(AA133)</f>
        <v>0</v>
      </c>
      <c r="DO21" s="27"/>
      <c r="DP21" s="452" t="s">
        <v>1269</v>
      </c>
      <c r="DQ21" s="452" t="s">
        <v>1140</v>
      </c>
      <c r="DR21" s="452" t="s">
        <v>1112</v>
      </c>
      <c r="DS21" s="452" t="s">
        <v>1272</v>
      </c>
      <c r="DT21" s="453" t="s">
        <v>1141</v>
      </c>
      <c r="DU21" s="454">
        <v>1</v>
      </c>
      <c r="DV21" s="34"/>
      <c r="DX21" s="115"/>
      <c r="DY21" s="115"/>
    </row>
    <row r="22" spans="1:129" ht="19.5" customHeight="1">
      <c r="A22" s="210"/>
      <c r="B22" s="249"/>
      <c r="C22" s="2140"/>
      <c r="D22" s="2141"/>
      <c r="E22" s="2141"/>
      <c r="F22" s="2141"/>
      <c r="G22" s="2141"/>
      <c r="H22" s="2141"/>
      <c r="I22" s="2141"/>
      <c r="J22" s="2141"/>
      <c r="K22" s="2142"/>
      <c r="L22" s="2146"/>
      <c r="M22" s="2147"/>
      <c r="N22" s="2032" t="s">
        <v>855</v>
      </c>
      <c r="O22" s="2032"/>
      <c r="P22" s="2032"/>
      <c r="Q22" s="2032"/>
      <c r="R22" s="2032"/>
      <c r="S22" s="2032"/>
      <c r="T22" s="2032"/>
      <c r="U22" s="2148"/>
      <c r="V22" s="2148"/>
      <c r="W22" s="2148"/>
      <c r="X22" s="2148"/>
      <c r="Y22" s="2148"/>
      <c r="Z22" s="2148"/>
      <c r="AA22" s="2148"/>
      <c r="AB22" s="2148"/>
      <c r="AC22" s="2148"/>
      <c r="AD22" s="2148"/>
      <c r="AE22" s="2148"/>
      <c r="AF22" s="2148"/>
      <c r="AG22" s="2148"/>
      <c r="AH22" s="2148"/>
      <c r="AI22" s="2148"/>
      <c r="AJ22" s="2148"/>
      <c r="AK22" s="2148"/>
      <c r="AL22" s="2148"/>
      <c r="AM22" s="2148"/>
      <c r="AN22" s="2148"/>
      <c r="AO22" s="2148"/>
      <c r="AP22" s="2148"/>
      <c r="AQ22" s="2148"/>
      <c r="AR22" s="2148"/>
      <c r="AS22" s="2148"/>
      <c r="AT22" s="2149"/>
      <c r="AU22" s="234"/>
      <c r="AV22" s="199" t="b">
        <v>0</v>
      </c>
      <c r="AW22" s="125">
        <f>IF(AV19=TRUE,AV19*1,0)</f>
        <v>1</v>
      </c>
      <c r="AX22" s="125" t="str">
        <f>IF(AV19=TRUE,"銀聯","")</f>
        <v>銀聯</v>
      </c>
      <c r="AY22" s="125"/>
      <c r="AZ22" s="125"/>
      <c r="BA22" s="26"/>
      <c r="BB22" s="279" t="str">
        <f>BB21</f>
        <v>14</v>
      </c>
      <c r="BC22" s="279" t="s">
        <v>910</v>
      </c>
      <c r="BD22" s="26">
        <f>ROW(C19)</f>
        <v>19</v>
      </c>
      <c r="BE22" s="26"/>
      <c r="BF22" s="20" t="str">
        <f>"106"&amp;BC22&amp;5</f>
        <v>106106055</v>
      </c>
      <c r="BG22" s="18"/>
      <c r="BH22" s="127" t="str">
        <f>AX22&amp;"→"</f>
        <v>銀聯→</v>
      </c>
      <c r="BI22" s="473">
        <v>10602</v>
      </c>
      <c r="BJ22" s="18">
        <f>AW22</f>
        <v>1</v>
      </c>
      <c r="BK22" s="18">
        <f>AW22</f>
        <v>1</v>
      </c>
      <c r="BL22" s="2150"/>
      <c r="BM22" s="2150"/>
      <c r="BN22" s="343">
        <f t="shared" ca="1" si="6"/>
        <v>3.2399999999999998E-2</v>
      </c>
      <c r="BO22" s="343">
        <f ca="1">IF($AW22=0,"",INDIRECT(ADDRESS($BD22,BO$16)))</f>
        <v>0</v>
      </c>
      <c r="BP22" s="492">
        <f t="shared" ca="1" si="6"/>
        <v>0</v>
      </c>
      <c r="BQ22" s="472"/>
      <c r="BR22" s="26">
        <v>106</v>
      </c>
      <c r="BX22" s="24" t="s">
        <v>2013</v>
      </c>
      <c r="BZ22" s="722" t="s">
        <v>1353</v>
      </c>
      <c r="CA22" s="723" t="str">
        <f t="shared" si="0"/>
        <v>1203747</v>
      </c>
      <c r="CB22" s="724" t="s">
        <v>662</v>
      </c>
      <c r="CD22" s="145"/>
      <c r="CE22" s="145"/>
      <c r="CF22" s="145"/>
      <c r="CG22" s="34"/>
      <c r="CH22" s="65" t="s">
        <v>386</v>
      </c>
      <c r="CI22" s="65" t="s">
        <v>22</v>
      </c>
      <c r="CJ22" s="65">
        <v>15</v>
      </c>
      <c r="CK22" s="65" t="s">
        <v>216</v>
      </c>
      <c r="CL22" s="65" t="s">
        <v>90</v>
      </c>
      <c r="CM22" s="65"/>
      <c r="CN22" s="65"/>
      <c r="CO22" s="66" t="s">
        <v>270</v>
      </c>
      <c r="CP22" s="78" t="str">
        <f>ASC(記入シート1!I38)&amp;"-"&amp;ASC(記入シート1!O38)&amp;"-"&amp;ASC(記入シート1!T38)</f>
        <v>--</v>
      </c>
      <c r="CQ22" s="129"/>
      <c r="CR22" s="68"/>
      <c r="CS22" s="68"/>
      <c r="CT22" s="68"/>
      <c r="CU22" s="281"/>
      <c r="CV22" s="60">
        <f t="shared" si="1"/>
        <v>0</v>
      </c>
      <c r="CW22" s="45" t="s">
        <v>268</v>
      </c>
      <c r="CX22" s="45" t="s">
        <v>698</v>
      </c>
      <c r="CY22" s="138"/>
      <c r="CZ22" s="53" t="s">
        <v>359</v>
      </c>
      <c r="DA22" s="138" t="s">
        <v>752</v>
      </c>
      <c r="DB22" s="45" t="str">
        <f t="shared" si="3"/>
        <v>001</v>
      </c>
      <c r="DC22" s="108" t="s">
        <v>269</v>
      </c>
      <c r="DD22" s="131"/>
      <c r="DE22" s="90"/>
      <c r="DF22" s="90"/>
      <c r="DG22" s="90"/>
      <c r="DH22" s="543" t="s">
        <v>891</v>
      </c>
      <c r="DI22" s="141" t="s">
        <v>902</v>
      </c>
      <c r="DJ22" s="51"/>
      <c r="DK22" s="101" t="str">
        <f t="shared" si="2"/>
        <v>106022YM</v>
      </c>
      <c r="DL22" s="105" t="s">
        <v>880</v>
      </c>
      <c r="DM22" s="102" t="s">
        <v>934</v>
      </c>
      <c r="DN22" s="299" t="str">
        <f>ASC(AE147)</f>
        <v>102800</v>
      </c>
      <c r="DO22" s="27"/>
      <c r="DP22" s="452" t="s">
        <v>1269</v>
      </c>
      <c r="DQ22" s="452" t="s">
        <v>1142</v>
      </c>
      <c r="DR22" s="452" t="s">
        <v>1273</v>
      </c>
      <c r="DS22" s="452" t="s">
        <v>1274</v>
      </c>
      <c r="DT22" s="457" t="s">
        <v>1275</v>
      </c>
      <c r="DU22" s="458"/>
      <c r="DV22" s="34"/>
      <c r="DX22" s="115"/>
      <c r="DY22" s="115"/>
    </row>
    <row r="23" spans="1:129" ht="19.5" customHeight="1" thickBot="1">
      <c r="A23" s="210"/>
      <c r="B23" s="249"/>
      <c r="C23" s="2143"/>
      <c r="D23" s="2144"/>
      <c r="E23" s="2144"/>
      <c r="F23" s="2144"/>
      <c r="G23" s="2144"/>
      <c r="H23" s="2144"/>
      <c r="I23" s="2144"/>
      <c r="J23" s="2144"/>
      <c r="K23" s="2145"/>
      <c r="L23" s="2132"/>
      <c r="M23" s="2133"/>
      <c r="N23" s="2134" t="s">
        <v>856</v>
      </c>
      <c r="O23" s="2134"/>
      <c r="P23" s="2134"/>
      <c r="Q23" s="2134"/>
      <c r="R23" s="2134"/>
      <c r="S23" s="2134"/>
      <c r="T23" s="2134"/>
      <c r="U23" s="2135" t="s">
        <v>944</v>
      </c>
      <c r="V23" s="2135"/>
      <c r="W23" s="2135"/>
      <c r="X23" s="2135"/>
      <c r="Y23" s="2135"/>
      <c r="Z23" s="2135"/>
      <c r="AA23" s="2135"/>
      <c r="AB23" s="2135"/>
      <c r="AC23" s="2135"/>
      <c r="AD23" s="2135"/>
      <c r="AE23" s="2135"/>
      <c r="AF23" s="2135"/>
      <c r="AG23" s="2135"/>
      <c r="AH23" s="2135"/>
      <c r="AI23" s="2135"/>
      <c r="AJ23" s="2135"/>
      <c r="AK23" s="2135"/>
      <c r="AL23" s="2135"/>
      <c r="AM23" s="2135"/>
      <c r="AN23" s="2135"/>
      <c r="AO23" s="2135"/>
      <c r="AP23" s="2135"/>
      <c r="AQ23" s="2135"/>
      <c r="AR23" s="2135"/>
      <c r="AS23" s="2135"/>
      <c r="AT23" s="2136"/>
      <c r="AU23" s="234"/>
      <c r="AV23" s="199" t="b">
        <v>0</v>
      </c>
      <c r="BX23" s="24" t="s">
        <v>2014</v>
      </c>
      <c r="BZ23" s="722" t="s">
        <v>1315</v>
      </c>
      <c r="CA23" s="723" t="str">
        <f t="shared" si="0"/>
        <v>1203748</v>
      </c>
      <c r="CB23" s="724" t="s">
        <v>663</v>
      </c>
      <c r="CD23" s="145"/>
      <c r="CE23" s="145"/>
      <c r="CF23" s="145"/>
      <c r="CG23" s="34"/>
      <c r="CH23" s="65" t="s">
        <v>388</v>
      </c>
      <c r="CI23" s="65" t="s">
        <v>22</v>
      </c>
      <c r="CJ23" s="65">
        <v>15</v>
      </c>
      <c r="CK23" s="65" t="s">
        <v>216</v>
      </c>
      <c r="CL23" s="65" t="s">
        <v>83</v>
      </c>
      <c r="CM23" s="65"/>
      <c r="CN23" s="65" t="s">
        <v>600</v>
      </c>
      <c r="CO23" s="66" t="s">
        <v>267</v>
      </c>
      <c r="CP23" s="78" t="str">
        <f>IF(OR(記入シート1!AE38="",記入シート1!AK38="",記入シート1!AP38=""),"00-0000-0000",ASC(記入シート1!AE38)&amp;"-"&amp;ASC(記入シート1!AK38)&amp;"-"&amp;ASC(記入シート1!AP38))</f>
        <v>00-0000-0000</v>
      </c>
      <c r="CQ23" s="129"/>
      <c r="CR23" s="68"/>
      <c r="CS23" s="68"/>
      <c r="CT23" s="68"/>
      <c r="CU23" s="281"/>
      <c r="CV23" s="60">
        <f t="shared" si="1"/>
        <v>0</v>
      </c>
      <c r="CW23" s="45" t="s">
        <v>718</v>
      </c>
      <c r="CX23" s="45"/>
      <c r="CY23" s="130"/>
      <c r="CZ23" s="291"/>
      <c r="DA23" s="130"/>
      <c r="DB23" s="45" t="str">
        <f t="shared" si="3"/>
        <v>001</v>
      </c>
      <c r="DC23" s="108" t="s">
        <v>266</v>
      </c>
      <c r="DD23" s="131"/>
      <c r="DE23" s="90"/>
      <c r="DF23" s="90"/>
      <c r="DG23" s="90"/>
      <c r="DH23" s="543" t="s">
        <v>891</v>
      </c>
      <c r="DI23" s="141" t="s">
        <v>903</v>
      </c>
      <c r="DJ23" s="140" t="s">
        <v>905</v>
      </c>
      <c r="DK23" s="101" t="str">
        <f t="shared" si="2"/>
        <v>106022YN</v>
      </c>
      <c r="DL23" s="105" t="s">
        <v>880</v>
      </c>
      <c r="DM23" s="102" t="s">
        <v>939</v>
      </c>
      <c r="DN23" s="299" t="str">
        <f>ASC(AV150)</f>
        <v>1</v>
      </c>
      <c r="DO23" s="27"/>
      <c r="DP23" s="452" t="s">
        <v>1269</v>
      </c>
      <c r="DQ23" s="452" t="s">
        <v>1143</v>
      </c>
      <c r="DR23" s="452" t="s">
        <v>1112</v>
      </c>
      <c r="DS23" s="452" t="s">
        <v>1276</v>
      </c>
      <c r="DT23" s="457" t="s">
        <v>1277</v>
      </c>
      <c r="DU23" s="459"/>
      <c r="DV23" s="34"/>
      <c r="DX23" s="115"/>
      <c r="DY23" s="115"/>
    </row>
    <row r="24" spans="1:129" ht="19.5" hidden="1" customHeight="1">
      <c r="A24" s="210"/>
      <c r="B24" s="249"/>
      <c r="C24" s="951"/>
      <c r="D24" s="951"/>
      <c r="E24" s="951"/>
      <c r="F24" s="951"/>
      <c r="G24" s="951"/>
      <c r="H24" s="951"/>
      <c r="I24" s="951"/>
      <c r="J24" s="951"/>
      <c r="K24" s="951"/>
      <c r="L24" s="871"/>
      <c r="M24" s="484"/>
      <c r="N24" s="485"/>
      <c r="O24" s="485"/>
      <c r="P24" s="485"/>
      <c r="Q24" s="485"/>
      <c r="R24" s="485"/>
      <c r="S24" s="485"/>
      <c r="T24" s="485"/>
      <c r="U24" s="486"/>
      <c r="V24" s="486"/>
      <c r="W24" s="486"/>
      <c r="X24" s="486"/>
      <c r="Y24" s="486"/>
      <c r="Z24" s="486"/>
      <c r="AA24" s="486"/>
      <c r="AB24" s="486"/>
      <c r="AC24" s="486"/>
      <c r="AD24" s="486"/>
      <c r="AE24" s="486"/>
      <c r="AF24" s="486"/>
      <c r="AG24" s="486"/>
      <c r="AH24" s="486"/>
      <c r="AI24" s="486"/>
      <c r="AJ24" s="486"/>
      <c r="AK24" s="486"/>
      <c r="AL24" s="486"/>
      <c r="AM24" s="486"/>
      <c r="AN24" s="486"/>
      <c r="AO24" s="486"/>
      <c r="AP24" s="486"/>
      <c r="AQ24" s="486"/>
      <c r="AR24" s="486"/>
      <c r="AS24" s="486"/>
      <c r="AT24" s="486"/>
      <c r="AU24" s="234"/>
      <c r="AV24" s="200">
        <f>IF(OR(AV20=TRUE,AV21=TRUE,AV22=TRUE,AV23=TRUE),1,0)</f>
        <v>0</v>
      </c>
      <c r="BX24" s="24" t="s">
        <v>2015</v>
      </c>
      <c r="BZ24" s="722" t="s">
        <v>1354</v>
      </c>
      <c r="CA24" s="723" t="str">
        <f t="shared" si="0"/>
        <v>1203976</v>
      </c>
      <c r="CB24" s="724" t="s">
        <v>664</v>
      </c>
      <c r="CD24" s="145"/>
      <c r="CE24" s="145"/>
      <c r="CF24" s="145"/>
      <c r="CG24" s="34"/>
      <c r="CH24" s="65" t="s">
        <v>265</v>
      </c>
      <c r="CI24" s="65" t="s">
        <v>63</v>
      </c>
      <c r="CJ24" s="65">
        <v>8</v>
      </c>
      <c r="CK24" s="65" t="s">
        <v>216</v>
      </c>
      <c r="CL24" s="65" t="s">
        <v>90</v>
      </c>
      <c r="CM24" s="65"/>
      <c r="CN24" s="65"/>
      <c r="CO24" s="66" t="s">
        <v>264</v>
      </c>
      <c r="CP24" s="78" t="str">
        <f>RIGHT("0000"&amp;記入シート1!K39,4)&amp;RIGHT("00"&amp;記入シート1!N39,2)&amp;RIGHT("00"&amp;記入シート1!Q39,2)</f>
        <v>00000000</v>
      </c>
      <c r="CQ24" s="129"/>
      <c r="CR24" s="68"/>
      <c r="CS24" s="68"/>
      <c r="CT24" s="68"/>
      <c r="CU24" s="281"/>
      <c r="CV24" s="60">
        <f t="shared" si="1"/>
        <v>0</v>
      </c>
      <c r="CW24" s="45" t="s">
        <v>262</v>
      </c>
      <c r="CX24" s="45" t="s">
        <v>629</v>
      </c>
      <c r="CY24" s="53"/>
      <c r="CZ24" s="130" t="s">
        <v>359</v>
      </c>
      <c r="DA24" s="53" t="s">
        <v>707</v>
      </c>
      <c r="DB24" s="45" t="str">
        <f t="shared" si="3"/>
        <v>001</v>
      </c>
      <c r="DC24" s="108" t="s">
        <v>263</v>
      </c>
      <c r="DD24" s="131"/>
      <c r="DE24" s="90"/>
      <c r="DF24" s="90"/>
      <c r="DG24" s="90"/>
      <c r="DH24" s="543" t="s">
        <v>891</v>
      </c>
      <c r="DI24" s="547" t="s">
        <v>1002</v>
      </c>
      <c r="DJ24" s="346"/>
      <c r="DK24" s="101" t="str">
        <f t="shared" si="2"/>
        <v>106022YP</v>
      </c>
      <c r="DL24" s="105" t="s">
        <v>880</v>
      </c>
      <c r="DM24" s="105" t="s">
        <v>1004</v>
      </c>
      <c r="DN24" s="546" t="str">
        <f>IF(AV96=TRUE,L99&amp;O99,"-")</f>
        <v>-</v>
      </c>
      <c r="DO24" s="27"/>
      <c r="DP24" s="452" t="s">
        <v>1269</v>
      </c>
      <c r="DQ24" s="452" t="s">
        <v>1144</v>
      </c>
      <c r="DR24" s="452" t="s">
        <v>1252</v>
      </c>
      <c r="DS24" s="452" t="s">
        <v>1278</v>
      </c>
      <c r="DT24" s="457" t="s">
        <v>1110</v>
      </c>
      <c r="DU24" s="459"/>
      <c r="DV24" s="34"/>
      <c r="DX24" s="115"/>
      <c r="DY24" s="115"/>
    </row>
    <row r="25" spans="1:129" ht="19.5" customHeight="1" thickBot="1">
      <c r="A25" s="210"/>
      <c r="B25" s="249"/>
      <c r="C25" s="1235" t="s">
        <v>5082</v>
      </c>
      <c r="D25" s="1235"/>
      <c r="E25" s="1235"/>
      <c r="F25" s="1235"/>
      <c r="G25" s="1235"/>
      <c r="H25" s="1235"/>
      <c r="I25" s="1235"/>
      <c r="J25" s="1235"/>
      <c r="K25" s="1235"/>
      <c r="L25" s="1234"/>
      <c r="M25" s="1234"/>
      <c r="N25" s="1236"/>
      <c r="O25" s="1236"/>
      <c r="P25" s="1236"/>
      <c r="Q25" s="1236"/>
      <c r="R25" s="1236" t="s">
        <v>5083</v>
      </c>
      <c r="S25" s="1236"/>
      <c r="T25" s="1236"/>
      <c r="U25" s="1237"/>
      <c r="V25" s="1237"/>
      <c r="W25" s="1237"/>
      <c r="X25" s="1237"/>
      <c r="Y25" s="1237"/>
      <c r="Z25" s="1237"/>
      <c r="AA25" s="1237"/>
      <c r="AB25" s="1237"/>
      <c r="AC25" s="1237"/>
      <c r="AD25" s="1237"/>
      <c r="AE25" s="1237" t="s">
        <v>5084</v>
      </c>
      <c r="AF25" s="1237"/>
      <c r="AG25" s="1237"/>
      <c r="AH25" s="1237"/>
      <c r="AI25" s="1237"/>
      <c r="AJ25" s="1237"/>
      <c r="AK25" s="1237"/>
      <c r="AL25" s="1237"/>
      <c r="AM25" s="1237"/>
      <c r="AN25" s="1237"/>
      <c r="AO25" s="1237"/>
      <c r="AP25" s="1237"/>
      <c r="AQ25" s="1237"/>
      <c r="AR25" s="1237"/>
      <c r="AS25" s="1237"/>
      <c r="AT25" s="323"/>
      <c r="AU25" s="234"/>
      <c r="AV25" s="522" t="str">
        <f ca="1">IF(AND(AV30=TRUE,OR(AW25=0,AX25="NG")),"NG","OK")</f>
        <v>NG</v>
      </c>
      <c r="AW25" s="534">
        <f ca="1">【楽天Edy用記入シート】業種シート!G4</f>
        <v>0</v>
      </c>
      <c r="AX25" s="522" t="str">
        <f>IF(AND(【楽天Edy用記入シート】業種シート!H5=1,【楽天Edy用記入シート】業種シート!H4&gt;0),"NG","OK")</f>
        <v>OK</v>
      </c>
      <c r="AY25" s="489"/>
      <c r="BZ25" s="722" t="s">
        <v>1316</v>
      </c>
      <c r="CA25" s="723" t="str">
        <f t="shared" si="0"/>
        <v>1204164</v>
      </c>
      <c r="CB25" s="724" t="s">
        <v>665</v>
      </c>
      <c r="CD25" s="145"/>
      <c r="CE25" s="145"/>
      <c r="CF25" s="145"/>
      <c r="CG25" s="34"/>
      <c r="CH25" s="65" t="s">
        <v>261</v>
      </c>
      <c r="CI25" s="65" t="s">
        <v>19</v>
      </c>
      <c r="CJ25" s="65">
        <v>13</v>
      </c>
      <c r="CK25" s="65" t="s">
        <v>216</v>
      </c>
      <c r="CL25" s="65" t="s">
        <v>90</v>
      </c>
      <c r="CM25" s="65"/>
      <c r="CN25" s="65"/>
      <c r="CO25" s="66" t="s">
        <v>260</v>
      </c>
      <c r="CP25" s="78">
        <f>記入シート1!AA39*10000</f>
        <v>0</v>
      </c>
      <c r="CQ25" s="79"/>
      <c r="CR25" s="68"/>
      <c r="CS25" s="68"/>
      <c r="CT25" s="68"/>
      <c r="CU25" s="68"/>
      <c r="CV25" s="60">
        <f t="shared" si="1"/>
        <v>0</v>
      </c>
      <c r="CW25" s="45" t="s">
        <v>258</v>
      </c>
      <c r="CX25" s="45" t="s">
        <v>629</v>
      </c>
      <c r="CY25" s="130"/>
      <c r="CZ25" s="130" t="s">
        <v>359</v>
      </c>
      <c r="DA25" s="130" t="s">
        <v>628</v>
      </c>
      <c r="DB25" s="45" t="str">
        <f t="shared" si="3"/>
        <v>001</v>
      </c>
      <c r="DC25" s="108" t="s">
        <v>259</v>
      </c>
      <c r="DD25" s="131"/>
      <c r="DE25" s="90"/>
      <c r="DF25" s="90"/>
      <c r="DG25" s="90"/>
      <c r="DH25" s="543" t="s">
        <v>891</v>
      </c>
      <c r="DI25" s="547" t="s">
        <v>1003</v>
      </c>
      <c r="DJ25" s="346"/>
      <c r="DK25" s="101" t="str">
        <f t="shared" si="2"/>
        <v>106022YQ</v>
      </c>
      <c r="DL25" s="105" t="s">
        <v>880</v>
      </c>
      <c r="DM25" s="105" t="s">
        <v>1005</v>
      </c>
      <c r="DN25" s="546" t="str">
        <f>IF(AV97=TRUE,L100&amp;O100,"-")</f>
        <v>-</v>
      </c>
      <c r="DO25" s="27"/>
      <c r="DP25" s="460" t="s">
        <v>1269</v>
      </c>
      <c r="DQ25" s="460" t="s">
        <v>1145</v>
      </c>
      <c r="DR25" s="460" t="s">
        <v>1112</v>
      </c>
      <c r="DS25" s="452" t="s">
        <v>1276</v>
      </c>
      <c r="DT25" s="461" t="s">
        <v>1279</v>
      </c>
      <c r="DU25" s="462"/>
      <c r="DV25" s="34"/>
      <c r="DX25" s="115"/>
      <c r="DY25" s="115"/>
    </row>
    <row r="26" spans="1:129" ht="19.5" customHeight="1" thickTop="1">
      <c r="A26" s="210"/>
      <c r="B26" s="249"/>
      <c r="C26" s="1998" t="s">
        <v>449</v>
      </c>
      <c r="D26" s="1999"/>
      <c r="E26" s="1999"/>
      <c r="F26" s="1999"/>
      <c r="G26" s="1999"/>
      <c r="H26" s="1999"/>
      <c r="I26" s="2000"/>
      <c r="J26" s="2004" t="s">
        <v>845</v>
      </c>
      <c r="K26" s="2005"/>
      <c r="L26" s="2008" t="s">
        <v>846</v>
      </c>
      <c r="M26" s="2009"/>
      <c r="N26" s="2010"/>
      <c r="O26" s="2014" t="s">
        <v>1059</v>
      </c>
      <c r="P26" s="2015"/>
      <c r="Q26" s="2014" t="s">
        <v>2053</v>
      </c>
      <c r="R26" s="2018"/>
      <c r="S26" s="2018"/>
      <c r="T26" s="2015"/>
      <c r="U26" s="2014" t="s">
        <v>2054</v>
      </c>
      <c r="V26" s="2018"/>
      <c r="W26" s="2018"/>
      <c r="X26" s="2015"/>
      <c r="Y26" s="2014" t="s">
        <v>2055</v>
      </c>
      <c r="Z26" s="2018"/>
      <c r="AA26" s="2018"/>
      <c r="AB26" s="2015"/>
      <c r="AC26" s="2014" t="s">
        <v>2056</v>
      </c>
      <c r="AD26" s="2018"/>
      <c r="AE26" s="2018"/>
      <c r="AF26" s="2015"/>
      <c r="AG26" s="2014" t="s">
        <v>2057</v>
      </c>
      <c r="AH26" s="2018"/>
      <c r="AI26" s="2018"/>
      <c r="AJ26" s="2015"/>
      <c r="AK26" s="2189" t="s">
        <v>2052</v>
      </c>
      <c r="AL26" s="2190"/>
      <c r="AM26" s="2190"/>
      <c r="AN26" s="2190"/>
      <c r="AO26" s="2190"/>
      <c r="AP26" s="2190"/>
      <c r="AQ26" s="2190"/>
      <c r="AR26" s="2190"/>
      <c r="AS26" s="2190"/>
      <c r="AT26" s="2191"/>
      <c r="AU26" s="234"/>
      <c r="AV26" s="618" t="str">
        <f>IF(AQ31="","01",LEFT(AQ31,2))</f>
        <v>01</v>
      </c>
      <c r="AW26" s="618" t="str">
        <f>IF(AP29="",BW2,AP29)</f>
        <v>申込方法：</v>
      </c>
      <c r="AY26" s="489" t="s">
        <v>7</v>
      </c>
      <c r="AZ26" s="489" t="s">
        <v>454</v>
      </c>
      <c r="BA26" s="202" t="s">
        <v>908</v>
      </c>
      <c r="BB26" s="202" t="s">
        <v>0</v>
      </c>
      <c r="BC26" s="202" t="s">
        <v>455</v>
      </c>
      <c r="BD26" s="202" t="s">
        <v>975</v>
      </c>
      <c r="BE26" s="202"/>
      <c r="BF26" s="202"/>
      <c r="BG26" s="202"/>
      <c r="BH26" s="202"/>
      <c r="BI26" s="202" t="s">
        <v>456</v>
      </c>
      <c r="BJ26" s="202" t="s">
        <v>457</v>
      </c>
      <c r="BK26" s="202" t="s">
        <v>458</v>
      </c>
      <c r="BL26" s="202" t="s">
        <v>973</v>
      </c>
      <c r="BM26" s="202" t="s">
        <v>974</v>
      </c>
      <c r="BN26" s="202" t="s">
        <v>459</v>
      </c>
      <c r="BO26" s="202" t="s">
        <v>460</v>
      </c>
      <c r="BP26" s="202" t="s">
        <v>461</v>
      </c>
      <c r="BQ26" s="202"/>
      <c r="BR26" s="202" t="s">
        <v>7</v>
      </c>
      <c r="BZ26" s="722" t="s">
        <v>1317</v>
      </c>
      <c r="CA26" s="723" t="str">
        <f t="shared" si="0"/>
        <v>1205880</v>
      </c>
      <c r="CB26" s="724" t="s">
        <v>666</v>
      </c>
      <c r="CD26" s="145"/>
      <c r="CE26" s="145"/>
      <c r="CF26" s="145"/>
      <c r="CG26" s="34"/>
      <c r="CH26" s="65" t="s">
        <v>257</v>
      </c>
      <c r="CI26" s="65" t="s">
        <v>19</v>
      </c>
      <c r="CJ26" s="65">
        <v>13</v>
      </c>
      <c r="CK26" s="65" t="s">
        <v>216</v>
      </c>
      <c r="CL26" s="65" t="s">
        <v>90</v>
      </c>
      <c r="CM26" s="65"/>
      <c r="CN26" s="65" t="s">
        <v>601</v>
      </c>
      <c r="CO26" s="66" t="s">
        <v>256</v>
      </c>
      <c r="CP26" s="78">
        <f>記入シート1!AN39*10000</f>
        <v>0</v>
      </c>
      <c r="CQ26" s="129"/>
      <c r="CR26" s="68"/>
      <c r="CS26" s="68"/>
      <c r="CT26" s="68"/>
      <c r="CU26" s="68"/>
      <c r="CV26" s="60">
        <f t="shared" si="1"/>
        <v>0</v>
      </c>
      <c r="CW26" s="45" t="s">
        <v>719</v>
      </c>
      <c r="CX26" s="45"/>
      <c r="CY26" s="130"/>
      <c r="CZ26" s="291"/>
      <c r="DA26" s="130"/>
      <c r="DB26" s="45" t="str">
        <f t="shared" si="3"/>
        <v>001</v>
      </c>
      <c r="DC26" s="108" t="s">
        <v>255</v>
      </c>
      <c r="DD26" s="131"/>
      <c r="DE26" s="90"/>
      <c r="DF26" s="90"/>
      <c r="DG26" s="90"/>
      <c r="DH26" s="543" t="s">
        <v>891</v>
      </c>
      <c r="DI26" s="547" t="s">
        <v>1054</v>
      </c>
      <c r="DJ26" s="346"/>
      <c r="DK26" s="101" t="str">
        <f t="shared" si="2"/>
        <v>106022YR</v>
      </c>
      <c r="DL26" s="105" t="s">
        <v>880</v>
      </c>
      <c r="DM26" s="105" t="s">
        <v>1056</v>
      </c>
      <c r="DN26" s="454">
        <f>AP148</f>
        <v>11013</v>
      </c>
      <c r="DO26" s="27"/>
      <c r="DP26" s="452" t="s">
        <v>1269</v>
      </c>
      <c r="DQ26" s="452" t="s">
        <v>1146</v>
      </c>
      <c r="DR26" s="452" t="s">
        <v>1252</v>
      </c>
      <c r="DS26" s="452" t="s">
        <v>1278</v>
      </c>
      <c r="DT26" s="457" t="s">
        <v>1280</v>
      </c>
      <c r="DU26" s="459"/>
      <c r="DV26" s="34"/>
      <c r="DX26" s="115"/>
      <c r="DY26" s="115"/>
    </row>
    <row r="27" spans="1:129" ht="19.5" customHeight="1">
      <c r="A27" s="210"/>
      <c r="B27" s="249"/>
      <c r="C27" s="2001"/>
      <c r="D27" s="2002"/>
      <c r="E27" s="2002"/>
      <c r="F27" s="2002"/>
      <c r="G27" s="2002"/>
      <c r="H27" s="2002"/>
      <c r="I27" s="2003"/>
      <c r="J27" s="2006"/>
      <c r="K27" s="2007"/>
      <c r="L27" s="2011"/>
      <c r="M27" s="2012"/>
      <c r="N27" s="2013"/>
      <c r="O27" s="2016"/>
      <c r="P27" s="2017"/>
      <c r="Q27" s="2016"/>
      <c r="R27" s="2019"/>
      <c r="S27" s="2019"/>
      <c r="T27" s="2017"/>
      <c r="U27" s="2016"/>
      <c r="V27" s="2019"/>
      <c r="W27" s="2019"/>
      <c r="X27" s="2017"/>
      <c r="Y27" s="2016"/>
      <c r="Z27" s="2019"/>
      <c r="AA27" s="2019"/>
      <c r="AB27" s="2017"/>
      <c r="AC27" s="2016"/>
      <c r="AD27" s="2019"/>
      <c r="AE27" s="2019"/>
      <c r="AF27" s="2017"/>
      <c r="AG27" s="2016"/>
      <c r="AH27" s="2019"/>
      <c r="AI27" s="2019"/>
      <c r="AJ27" s="2017"/>
      <c r="AK27" s="2192"/>
      <c r="AL27" s="2193"/>
      <c r="AM27" s="2193"/>
      <c r="AN27" s="2193"/>
      <c r="AO27" s="2193"/>
      <c r="AP27" s="2193"/>
      <c r="AQ27" s="2193"/>
      <c r="AR27" s="2193"/>
      <c r="AS27" s="2193"/>
      <c r="AT27" s="2194"/>
      <c r="AU27" s="234"/>
      <c r="AV27" s="200"/>
      <c r="AW27" s="535">
        <f>AV29*1</f>
        <v>1</v>
      </c>
      <c r="AX27" s="535" t="str">
        <f>IF(AV29=TRUE,"交通系","")</f>
        <v>交通系</v>
      </c>
      <c r="AY27" s="535" t="str">
        <f>TEXT(BR27,"000")</f>
        <v>107</v>
      </c>
      <c r="AZ27" s="535">
        <f>AW27</f>
        <v>1</v>
      </c>
      <c r="BA27" s="493" t="str">
        <f>IF(O29="2回入金","92",IF(O29="早期2回","R2",IF(O29="早期3回","R3",IF(O29="早期4回","R4",IF(O29="早期6回","R6","")))))</f>
        <v>92</v>
      </c>
      <c r="BB27" s="536" t="str">
        <f>AZ14</f>
        <v>14</v>
      </c>
      <c r="BC27" s="536" t="s">
        <v>1895</v>
      </c>
      <c r="BD27" s="493">
        <f>ROW(C29)</f>
        <v>29</v>
      </c>
      <c r="BE27" s="493">
        <v>1</v>
      </c>
      <c r="BF27" s="20" t="str">
        <f>BR27&amp;BC27&amp;BE27</f>
        <v>107107011</v>
      </c>
      <c r="BG27" s="537"/>
      <c r="BH27" s="493"/>
      <c r="BI27" s="493">
        <v>10701</v>
      </c>
      <c r="BJ27" s="493">
        <f t="shared" ref="BJ27:BJ36" si="7">AW27</f>
        <v>1</v>
      </c>
      <c r="BK27" s="493">
        <f>AZ27</f>
        <v>1</v>
      </c>
      <c r="BL27" s="2130">
        <f ca="1">IF($AW27=0,"",INDIRECT(ADDRESS($BD27,BL$16)))</f>
        <v>0</v>
      </c>
      <c r="BM27" s="2130">
        <f ca="1">IF($AW27=0,"",INDIRECT(ADDRESS($BD27,BM$16)))</f>
        <v>0</v>
      </c>
      <c r="BN27" s="538">
        <f ca="1">IF($AW27=0,"",INDIRECT(ADDRESS($BD27,BN$16)))</f>
        <v>2.9000000000000001E-2</v>
      </c>
      <c r="BO27" s="538">
        <f ca="1">IF($AW27=0,"",INDIRECT(ADDRESS($BD27,BO$16)))</f>
        <v>0</v>
      </c>
      <c r="BP27" s="491">
        <f t="shared" ref="BP27:BP36" ca="1" si="8">IF($AW27=0,"",INDIRECT(ADDRESS($BD27,BP$16)))</f>
        <v>0</v>
      </c>
      <c r="BQ27" s="493"/>
      <c r="BR27" s="470">
        <v>107</v>
      </c>
      <c r="BZ27" s="722" t="s">
        <v>1355</v>
      </c>
      <c r="CA27" s="723" t="str">
        <f t="shared" si="0"/>
        <v>1205979</v>
      </c>
      <c r="CB27" s="724" t="s">
        <v>667</v>
      </c>
      <c r="CD27" s="145"/>
      <c r="CE27" s="145"/>
      <c r="CF27" s="145"/>
      <c r="CG27" s="34"/>
      <c r="CH27" s="65" t="s">
        <v>391</v>
      </c>
      <c r="CI27" s="65" t="s">
        <v>21</v>
      </c>
      <c r="CJ27" s="65">
        <v>255</v>
      </c>
      <c r="CK27" s="65" t="s">
        <v>216</v>
      </c>
      <c r="CL27" s="65" t="s">
        <v>90</v>
      </c>
      <c r="CM27" s="65"/>
      <c r="CN27" s="65"/>
      <c r="CO27" s="66" t="s">
        <v>254</v>
      </c>
      <c r="CP27" s="78" t="str">
        <f>LEFT(SUBSTITUTE(記入シート1!I40,CHAR(10),"　"),255)</f>
        <v/>
      </c>
      <c r="CQ27" s="129"/>
      <c r="CR27" s="68"/>
      <c r="CS27" s="68"/>
      <c r="CT27" s="68"/>
      <c r="CU27" s="281"/>
      <c r="CV27" s="60">
        <f t="shared" si="1"/>
        <v>0</v>
      </c>
      <c r="CW27" s="45" t="s">
        <v>252</v>
      </c>
      <c r="CX27" s="45" t="s">
        <v>629</v>
      </c>
      <c r="CY27" s="53" t="s">
        <v>737</v>
      </c>
      <c r="CZ27" s="54" t="s">
        <v>349</v>
      </c>
      <c r="DA27" s="292"/>
      <c r="DB27" s="45" t="str">
        <f t="shared" si="3"/>
        <v>001</v>
      </c>
      <c r="DC27" s="108" t="s">
        <v>253</v>
      </c>
      <c r="DD27" s="131"/>
      <c r="DE27" s="90"/>
      <c r="DF27" s="90"/>
      <c r="DG27" s="90"/>
      <c r="DH27" s="543" t="s">
        <v>891</v>
      </c>
      <c r="DI27" s="547" t="s">
        <v>1905</v>
      </c>
      <c r="DJ27" s="544" t="s">
        <v>1903</v>
      </c>
      <c r="DK27" s="101" t="str">
        <f t="shared" si="2"/>
        <v>106022YS</v>
      </c>
      <c r="DL27" s="105" t="s">
        <v>880</v>
      </c>
      <c r="DM27" s="105" t="s">
        <v>1934</v>
      </c>
      <c r="DN27" s="546" t="str">
        <f>IF(記入シート1!AV69=TRUE,記入シート1!AV36,記入シート1!AV72)</f>
        <v>00</v>
      </c>
      <c r="DO27" s="27"/>
      <c r="DP27" s="452" t="s">
        <v>1269</v>
      </c>
      <c r="DQ27" s="452" t="s">
        <v>1147</v>
      </c>
      <c r="DR27" s="452" t="s">
        <v>1112</v>
      </c>
      <c r="DS27" s="452" t="s">
        <v>1276</v>
      </c>
      <c r="DT27" s="457" t="s">
        <v>1111</v>
      </c>
      <c r="DU27" s="459"/>
      <c r="DV27" s="34"/>
      <c r="DX27" s="115"/>
      <c r="DY27" s="115"/>
    </row>
    <row r="28" spans="1:129" ht="19.5" customHeight="1">
      <c r="A28" s="210"/>
      <c r="B28" s="249"/>
      <c r="C28" s="2036" t="s">
        <v>1400</v>
      </c>
      <c r="D28" s="2037"/>
      <c r="E28" s="2037"/>
      <c r="F28" s="2037"/>
      <c r="G28" s="2037"/>
      <c r="H28" s="2037"/>
      <c r="I28" s="2037"/>
      <c r="J28" s="864"/>
      <c r="K28" s="864"/>
      <c r="L28" s="487"/>
      <c r="M28" s="861"/>
      <c r="N28" s="475"/>
      <c r="O28" s="475"/>
      <c r="P28" s="475"/>
      <c r="Q28" s="475"/>
      <c r="R28" s="475"/>
      <c r="S28" s="475"/>
      <c r="T28" s="475"/>
      <c r="U28" s="476"/>
      <c r="V28" s="474"/>
      <c r="W28" s="474"/>
      <c r="X28" s="474"/>
      <c r="Y28" s="474"/>
      <c r="Z28" s="474"/>
      <c r="AA28" s="637"/>
      <c r="AB28" s="637"/>
      <c r="AC28" s="637"/>
      <c r="AD28" s="637"/>
      <c r="AE28" s="637"/>
      <c r="AF28" s="607"/>
      <c r="AG28" s="607"/>
      <c r="AH28" s="607"/>
      <c r="AI28" s="607"/>
      <c r="AJ28" s="607"/>
      <c r="AK28" s="607"/>
      <c r="AL28" s="607"/>
      <c r="AM28" s="607"/>
      <c r="AN28" s="607"/>
      <c r="AO28" s="607"/>
      <c r="AP28" s="607"/>
      <c r="AQ28" s="607"/>
      <c r="AR28" s="607"/>
      <c r="AS28" s="607"/>
      <c r="AT28" s="608"/>
      <c r="AU28" s="234"/>
      <c r="AV28" s="609" t="b">
        <f>IF(SUMPRODUCT((AV29:AV33)*1)=0,FALSE,TRUE)</f>
        <v>1</v>
      </c>
      <c r="AW28" s="490">
        <f>AW27</f>
        <v>1</v>
      </c>
      <c r="AX28" s="490" t="str">
        <f>IF(AV29=TRUE,"交通系 処理未了分","")</f>
        <v>交通系 処理未了分</v>
      </c>
      <c r="AY28" s="490"/>
      <c r="AZ28" s="490"/>
      <c r="BA28" s="470"/>
      <c r="BB28" s="470"/>
      <c r="BC28" s="496" t="s">
        <v>1896</v>
      </c>
      <c r="BD28" s="493">
        <f>BD27</f>
        <v>29</v>
      </c>
      <c r="BE28" s="470">
        <v>2</v>
      </c>
      <c r="BF28" s="20" t="str">
        <f>BR28&amp;BC28&amp;BE28</f>
        <v>107107022</v>
      </c>
      <c r="BG28" s="470"/>
      <c r="BH28" s="470"/>
      <c r="BI28" s="470">
        <v>10701</v>
      </c>
      <c r="BJ28" s="470">
        <f t="shared" si="7"/>
        <v>1</v>
      </c>
      <c r="BK28" s="470">
        <f>AZ27</f>
        <v>1</v>
      </c>
      <c r="BL28" s="2131"/>
      <c r="BM28" s="2131"/>
      <c r="BN28" s="494">
        <f ca="1">IF($AW28=0,"",INDIRECT(ADDRESS($BD28,BN$16)))</f>
        <v>2.9000000000000001E-2</v>
      </c>
      <c r="BO28" s="494">
        <f ca="1">IF($AW28=0,"",INDIRECT(ADDRESS($BD28,BO$16)))</f>
        <v>0</v>
      </c>
      <c r="BP28" s="491">
        <f t="shared" ca="1" si="8"/>
        <v>0</v>
      </c>
      <c r="BQ28" s="539"/>
      <c r="BR28" s="470">
        <v>107</v>
      </c>
      <c r="BZ28" s="722" t="s">
        <v>1356</v>
      </c>
      <c r="CA28" s="723" t="str">
        <f t="shared" si="0"/>
        <v>1205998</v>
      </c>
      <c r="CB28" s="724" t="s">
        <v>668</v>
      </c>
      <c r="CD28" s="145"/>
      <c r="CE28" s="145"/>
      <c r="CF28" s="145"/>
      <c r="CG28" s="34"/>
      <c r="CH28" s="65" t="s">
        <v>251</v>
      </c>
      <c r="CI28" s="65" t="s">
        <v>22</v>
      </c>
      <c r="CJ28" s="65">
        <v>128</v>
      </c>
      <c r="CK28" s="65" t="s">
        <v>216</v>
      </c>
      <c r="CL28" s="65" t="s">
        <v>90</v>
      </c>
      <c r="CM28" s="65"/>
      <c r="CN28" s="65"/>
      <c r="CO28" s="66" t="s">
        <v>250</v>
      </c>
      <c r="CP28" s="78" t="str">
        <f>ASC(記入シート1!I42)</f>
        <v/>
      </c>
      <c r="CQ28" s="129"/>
      <c r="CR28" s="68"/>
      <c r="CS28" s="68"/>
      <c r="CT28" s="68"/>
      <c r="CU28" s="281"/>
      <c r="CV28" s="60">
        <f t="shared" si="1"/>
        <v>0</v>
      </c>
      <c r="CW28" s="45" t="s">
        <v>720</v>
      </c>
      <c r="CX28" s="45"/>
      <c r="CY28" s="53"/>
      <c r="CZ28" s="54"/>
      <c r="DA28" s="53"/>
      <c r="DB28" s="45" t="str">
        <f t="shared" si="3"/>
        <v>001</v>
      </c>
      <c r="DC28" s="108" t="s">
        <v>249</v>
      </c>
      <c r="DD28" s="131"/>
      <c r="DE28" s="90"/>
      <c r="DF28" s="90"/>
      <c r="DG28" s="90"/>
      <c r="DH28" s="543" t="s">
        <v>891</v>
      </c>
      <c r="DI28" s="547" t="s">
        <v>1904</v>
      </c>
      <c r="DJ28" s="544" t="s">
        <v>1906</v>
      </c>
      <c r="DK28" s="101" t="str">
        <f t="shared" si="2"/>
        <v>106022YT</v>
      </c>
      <c r="DL28" s="105" t="s">
        <v>880</v>
      </c>
      <c r="DM28" s="105" t="s">
        <v>1935</v>
      </c>
      <c r="DN28" s="546" t="str">
        <f>ASC(記入シート1!AW88)</f>
        <v>5</v>
      </c>
      <c r="DO28" s="40"/>
      <c r="DP28" s="452" t="s">
        <v>1269</v>
      </c>
      <c r="DQ28" s="452" t="s">
        <v>1148</v>
      </c>
      <c r="DR28" s="452" t="s">
        <v>1252</v>
      </c>
      <c r="DS28" s="452" t="s">
        <v>1278</v>
      </c>
      <c r="DT28" s="457" t="s">
        <v>1281</v>
      </c>
      <c r="DU28" s="459"/>
      <c r="DV28" s="34"/>
      <c r="DX28" s="115"/>
      <c r="DY28" s="115"/>
    </row>
    <row r="29" spans="1:129" ht="19.5" customHeight="1">
      <c r="A29" s="210"/>
      <c r="B29" s="249"/>
      <c r="C29" s="2129" t="s">
        <v>1949</v>
      </c>
      <c r="D29" s="2027"/>
      <c r="E29" s="2027"/>
      <c r="F29" s="2027"/>
      <c r="G29" s="2027"/>
      <c r="H29" s="2027"/>
      <c r="I29" s="2027"/>
      <c r="J29" s="2027"/>
      <c r="K29" s="2028"/>
      <c r="L29" s="2029" t="s">
        <v>642</v>
      </c>
      <c r="M29" s="2030"/>
      <c r="N29" s="2031"/>
      <c r="O29" s="2032" t="s">
        <v>1071</v>
      </c>
      <c r="P29" s="2032"/>
      <c r="Q29" s="2033">
        <v>0</v>
      </c>
      <c r="R29" s="2033"/>
      <c r="S29" s="2033"/>
      <c r="T29" s="2033"/>
      <c r="U29" s="2034">
        <v>0</v>
      </c>
      <c r="V29" s="2034"/>
      <c r="W29" s="2034"/>
      <c r="X29" s="2034"/>
      <c r="Y29" s="2035">
        <v>2.9000000000000001E-2</v>
      </c>
      <c r="Z29" s="2035"/>
      <c r="AA29" s="2035"/>
      <c r="AB29" s="2035"/>
      <c r="AC29" s="2035">
        <v>0</v>
      </c>
      <c r="AD29" s="2035"/>
      <c r="AE29" s="2035"/>
      <c r="AF29" s="2035"/>
      <c r="AG29" s="2034">
        <v>0</v>
      </c>
      <c r="AH29" s="2034"/>
      <c r="AI29" s="2034"/>
      <c r="AJ29" s="2034"/>
      <c r="AK29" s="2197" t="s">
        <v>5521</v>
      </c>
      <c r="AL29" s="2198"/>
      <c r="AM29" s="2198"/>
      <c r="AN29" s="2199" t="s">
        <v>3625</v>
      </c>
      <c r="AO29" s="2199"/>
      <c r="AP29" s="1920" t="s">
        <v>5128</v>
      </c>
      <c r="AQ29" s="1920"/>
      <c r="AR29" s="1920"/>
      <c r="AS29" s="1921" t="s">
        <v>3652</v>
      </c>
      <c r="AT29" s="1922"/>
      <c r="AU29" s="234"/>
      <c r="AV29" s="488" t="b">
        <v>1</v>
      </c>
      <c r="AW29" s="540">
        <f>AV30*1</f>
        <v>1</v>
      </c>
      <c r="AX29" s="540" t="str">
        <f>IF(AV30=TRUE,"楽天Edy","")</f>
        <v>楽天Edy</v>
      </c>
      <c r="AY29" s="540" t="str">
        <f>TEXT(BR29,"000")</f>
        <v>108</v>
      </c>
      <c r="AZ29" s="540">
        <f>AW29</f>
        <v>1</v>
      </c>
      <c r="BA29" s="539" t="str">
        <f>IF(O30="2回入金","92",IF(O30="早期2回","R2",IF(O30="早期3回","R3",IF(O30="早期4回","R4",IF(O30="早期6回","R6","")))))</f>
        <v>92</v>
      </c>
      <c r="BB29" s="541" t="str">
        <f>AZ14</f>
        <v>14</v>
      </c>
      <c r="BC29" s="541" t="s">
        <v>1897</v>
      </c>
      <c r="BD29" s="493">
        <f>ROW(C30)</f>
        <v>30</v>
      </c>
      <c r="BE29" s="539">
        <v>1</v>
      </c>
      <c r="BF29" s="20" t="str">
        <f>BR29&amp;BC29&amp;BE29</f>
        <v>108108011</v>
      </c>
      <c r="BG29" s="542"/>
      <c r="BH29" s="539"/>
      <c r="BI29" s="470">
        <v>10801</v>
      </c>
      <c r="BJ29" s="470">
        <f t="shared" si="7"/>
        <v>1</v>
      </c>
      <c r="BK29" s="539">
        <f>AZ29</f>
        <v>1</v>
      </c>
      <c r="BL29" s="2130">
        <f ca="1">IF($AW29=0,"",INDIRECT(ADDRESS($BD29,BL$16)))</f>
        <v>0</v>
      </c>
      <c r="BM29" s="2130">
        <f ca="1">IF($AW29=0,"",INDIRECT(ADDRESS($BD29,BM$16)))</f>
        <v>0</v>
      </c>
      <c r="BN29" s="494">
        <f ca="1">IF($AW29=0,"",INDIRECT(ADDRESS($BD29,BN$16)))</f>
        <v>2.9000000000000001E-2</v>
      </c>
      <c r="BO29" s="494">
        <f ca="1">IF($AW29=0,"",INDIRECT(ADDRESS($BD29,BO$16)))</f>
        <v>0</v>
      </c>
      <c r="BP29" s="491">
        <f t="shared" ca="1" si="8"/>
        <v>0</v>
      </c>
      <c r="BQ29" s="539"/>
      <c r="BR29" s="470">
        <v>108</v>
      </c>
      <c r="BZ29" s="722" t="s">
        <v>1318</v>
      </c>
      <c r="CA29" s="723" t="str">
        <f t="shared" si="0"/>
        <v>1206228</v>
      </c>
      <c r="CB29" s="724" t="s">
        <v>669</v>
      </c>
      <c r="CD29" s="145"/>
      <c r="CE29" s="145"/>
      <c r="CF29" s="145"/>
      <c r="CG29" s="34"/>
      <c r="CH29" s="65" t="s">
        <v>881</v>
      </c>
      <c r="CI29" s="65" t="s">
        <v>19</v>
      </c>
      <c r="CJ29" s="65">
        <v>10</v>
      </c>
      <c r="CK29" s="65" t="s">
        <v>216</v>
      </c>
      <c r="CL29" s="65" t="s">
        <v>90</v>
      </c>
      <c r="CM29" s="65"/>
      <c r="CN29" s="65"/>
      <c r="CO29" s="66" t="s">
        <v>882</v>
      </c>
      <c r="CP29" s="78" t="str">
        <f>ASC(記入シート1!X43)</f>
        <v/>
      </c>
      <c r="CQ29" s="129"/>
      <c r="CR29" s="68"/>
      <c r="CS29" s="68"/>
      <c r="CT29" s="68"/>
      <c r="CU29" s="281"/>
      <c r="CV29" s="60">
        <f t="shared" si="1"/>
        <v>0</v>
      </c>
      <c r="CW29" s="45" t="s">
        <v>5</v>
      </c>
      <c r="CX29" s="45" t="s">
        <v>709</v>
      </c>
      <c r="CY29" s="53" t="s">
        <v>738</v>
      </c>
      <c r="CZ29" s="54" t="s">
        <v>343</v>
      </c>
      <c r="DA29" s="53" t="s">
        <v>393</v>
      </c>
      <c r="DB29" s="45" t="str">
        <f t="shared" si="3"/>
        <v>001</v>
      </c>
      <c r="DC29" s="108" t="s">
        <v>246</v>
      </c>
      <c r="DD29" s="131"/>
      <c r="DE29" s="90"/>
      <c r="DF29" s="90"/>
      <c r="DG29" s="90"/>
      <c r="DH29" s="543" t="s">
        <v>891</v>
      </c>
      <c r="DI29" s="547" t="s">
        <v>1907</v>
      </c>
      <c r="DJ29" s="51" t="s">
        <v>624</v>
      </c>
      <c r="DK29" s="101" t="str">
        <f t="shared" si="2"/>
        <v>106022YU</v>
      </c>
      <c r="DL29" s="105" t="s">
        <v>880</v>
      </c>
      <c r="DM29" s="105" t="s">
        <v>1936</v>
      </c>
      <c r="DN29" s="299">
        <f>IF(AV110=TRUE,1,0)</f>
        <v>0</v>
      </c>
      <c r="DO29" s="27"/>
      <c r="DP29" s="452" t="s">
        <v>1269</v>
      </c>
      <c r="DQ29" s="452" t="s">
        <v>1149</v>
      </c>
      <c r="DR29" s="452" t="s">
        <v>1112</v>
      </c>
      <c r="DS29" s="452" t="s">
        <v>1276</v>
      </c>
      <c r="DT29" s="457" t="s">
        <v>1282</v>
      </c>
      <c r="DU29" s="459"/>
      <c r="DV29" s="34"/>
      <c r="DX29" s="115"/>
      <c r="DY29" s="115"/>
    </row>
    <row r="30" spans="1:129" ht="19.5" customHeight="1">
      <c r="A30" s="210"/>
      <c r="B30" s="249"/>
      <c r="C30" s="2129" t="s">
        <v>1401</v>
      </c>
      <c r="D30" s="2027"/>
      <c r="E30" s="2027"/>
      <c r="F30" s="2027"/>
      <c r="G30" s="2027"/>
      <c r="H30" s="2027"/>
      <c r="I30" s="2027"/>
      <c r="J30" s="2027"/>
      <c r="K30" s="2028"/>
      <c r="L30" s="2029" t="s">
        <v>642</v>
      </c>
      <c r="M30" s="2030"/>
      <c r="N30" s="2031"/>
      <c r="O30" s="2205" t="s">
        <v>1071</v>
      </c>
      <c r="P30" s="2205"/>
      <c r="Q30" s="2033">
        <v>0</v>
      </c>
      <c r="R30" s="2033"/>
      <c r="S30" s="2033"/>
      <c r="T30" s="2033"/>
      <c r="U30" s="2034">
        <v>0</v>
      </c>
      <c r="V30" s="2034"/>
      <c r="W30" s="2034"/>
      <c r="X30" s="2034"/>
      <c r="Y30" s="2035">
        <v>2.9000000000000001E-2</v>
      </c>
      <c r="Z30" s="2035"/>
      <c r="AA30" s="2035"/>
      <c r="AB30" s="2035"/>
      <c r="AC30" s="2035">
        <v>0</v>
      </c>
      <c r="AD30" s="2035"/>
      <c r="AE30" s="2035"/>
      <c r="AF30" s="2035"/>
      <c r="AG30" s="2034">
        <v>0</v>
      </c>
      <c r="AH30" s="2034"/>
      <c r="AI30" s="2034"/>
      <c r="AJ30" s="2034"/>
      <c r="AK30" s="2200" t="s">
        <v>5522</v>
      </c>
      <c r="AL30" s="2201"/>
      <c r="AM30" s="2201"/>
      <c r="AN30" s="1921" t="s">
        <v>3625</v>
      </c>
      <c r="AO30" s="1921"/>
      <c r="AP30" s="1920" t="s">
        <v>5128</v>
      </c>
      <c r="AQ30" s="1920"/>
      <c r="AR30" s="1920"/>
      <c r="AS30" s="1921" t="s">
        <v>3652</v>
      </c>
      <c r="AT30" s="1922"/>
      <c r="AU30" s="234"/>
      <c r="AV30" s="488" t="b">
        <v>1</v>
      </c>
      <c r="AW30" s="490">
        <f>AW29</f>
        <v>1</v>
      </c>
      <c r="AX30" s="490" t="str">
        <f>IF(AV30=TRUE,"楽天Edy 処理未了分","")</f>
        <v>楽天Edy 処理未了分</v>
      </c>
      <c r="AY30" s="490"/>
      <c r="AZ30" s="490"/>
      <c r="BA30" s="470"/>
      <c r="BB30" s="470"/>
      <c r="BC30" s="496" t="s">
        <v>1898</v>
      </c>
      <c r="BD30" s="493">
        <f>BD29</f>
        <v>30</v>
      </c>
      <c r="BE30" s="470">
        <v>2</v>
      </c>
      <c r="BF30" s="20" t="str">
        <f>BR30&amp;BC30&amp;BE30</f>
        <v>108108022</v>
      </c>
      <c r="BG30" s="470"/>
      <c r="BH30" s="470"/>
      <c r="BI30" s="470">
        <v>10801</v>
      </c>
      <c r="BJ30" s="470">
        <f t="shared" si="7"/>
        <v>1</v>
      </c>
      <c r="BK30" s="470">
        <f>AZ29</f>
        <v>1</v>
      </c>
      <c r="BL30" s="2131"/>
      <c r="BM30" s="2131"/>
      <c r="BN30" s="494">
        <f t="shared" ref="BN30:BO36" ca="1" si="9">IF($AW30=0,"",INDIRECT(ADDRESS($BD30,BN$16)))</f>
        <v>2.9000000000000001E-2</v>
      </c>
      <c r="BO30" s="494">
        <f ca="1">IF($AW30=0,"",INDIRECT(ADDRESS($BD30,BO$16)))</f>
        <v>0</v>
      </c>
      <c r="BP30" s="491">
        <f t="shared" ca="1" si="8"/>
        <v>0</v>
      </c>
      <c r="BQ30" s="539"/>
      <c r="BR30" s="470">
        <v>108</v>
      </c>
      <c r="BZ30" s="722" t="s">
        <v>1319</v>
      </c>
      <c r="CA30" s="723" t="str">
        <f t="shared" si="0"/>
        <v>1206333</v>
      </c>
      <c r="CB30" s="724" t="s">
        <v>670</v>
      </c>
      <c r="CD30" s="145"/>
      <c r="CE30" s="145"/>
      <c r="CF30" s="145"/>
      <c r="CG30" s="34"/>
      <c r="CH30" s="65" t="s">
        <v>245</v>
      </c>
      <c r="CI30" s="65" t="s">
        <v>22</v>
      </c>
      <c r="CJ30" s="65">
        <v>40</v>
      </c>
      <c r="CK30" s="65" t="s">
        <v>216</v>
      </c>
      <c r="CL30" s="65" t="s">
        <v>90</v>
      </c>
      <c r="CM30" s="65"/>
      <c r="CN30" s="65"/>
      <c r="CO30" s="66" t="s">
        <v>244</v>
      </c>
      <c r="CP30" s="78" t="str">
        <f>ASC(SUBSTITUTE(SUBSTITUTE(SUBSTITUTE(SUBSTITUTE(記入シート1!I48,"　","")," ",""),"ヴ","ウﾞ"),"・",""))&amp;" "&amp;ASC(SUBSTITUTE(SUBSTITUTE(SUBSTITUTE(SUBSTITUTE(記入シート1!O48,"　","")," ",""),"ヴ","ウﾞ"),"・",""))</f>
        <v xml:space="preserve"> </v>
      </c>
      <c r="CQ30" s="129"/>
      <c r="CR30" s="68"/>
      <c r="CS30" s="68"/>
      <c r="CT30" s="68"/>
      <c r="CU30" s="281"/>
      <c r="CV30" s="60">
        <f t="shared" si="1"/>
        <v>0</v>
      </c>
      <c r="CW30" s="45" t="s">
        <v>721</v>
      </c>
      <c r="CX30" s="45"/>
      <c r="CY30" s="53"/>
      <c r="CZ30" s="54"/>
      <c r="DA30" s="53"/>
      <c r="DB30" s="45" t="str">
        <f t="shared" si="3"/>
        <v>001</v>
      </c>
      <c r="DC30" s="108" t="s">
        <v>243</v>
      </c>
      <c r="DD30" s="131"/>
      <c r="DE30" s="90"/>
      <c r="DF30" s="90"/>
      <c r="DG30" s="90"/>
      <c r="DH30" s="543" t="s">
        <v>891</v>
      </c>
      <c r="DI30" s="547" t="s">
        <v>1908</v>
      </c>
      <c r="DJ30" s="51" t="s">
        <v>624</v>
      </c>
      <c r="DK30" s="101" t="str">
        <f t="shared" si="2"/>
        <v>106022YV</v>
      </c>
      <c r="DL30" s="105" t="s">
        <v>880</v>
      </c>
      <c r="DM30" s="105" t="s">
        <v>1937</v>
      </c>
      <c r="DN30" s="299">
        <f>IF(AV111=TRUE,1,0)</f>
        <v>0</v>
      </c>
      <c r="DO30" s="27"/>
      <c r="DP30" s="452" t="s">
        <v>1269</v>
      </c>
      <c r="DQ30" s="452" t="s">
        <v>1150</v>
      </c>
      <c r="DR30" s="452" t="s">
        <v>1252</v>
      </c>
      <c r="DS30" s="452" t="s">
        <v>1278</v>
      </c>
      <c r="DT30" s="457" t="s">
        <v>1283</v>
      </c>
      <c r="DU30" s="459"/>
      <c r="DV30" s="34"/>
      <c r="DX30" s="115"/>
      <c r="DY30" s="115"/>
    </row>
    <row r="31" spans="1:129" ht="19.5" customHeight="1">
      <c r="A31" s="447"/>
      <c r="B31" s="249"/>
      <c r="C31" s="2036" t="s">
        <v>1971</v>
      </c>
      <c r="D31" s="2037"/>
      <c r="E31" s="2037"/>
      <c r="F31" s="2037"/>
      <c r="G31" s="2037"/>
      <c r="H31" s="2037"/>
      <c r="I31" s="2038"/>
      <c r="J31" s="864"/>
      <c r="K31" s="864"/>
      <c r="L31" s="2039" t="s">
        <v>642</v>
      </c>
      <c r="M31" s="2040"/>
      <c r="N31" s="2041"/>
      <c r="O31" s="2032" t="s">
        <v>1071</v>
      </c>
      <c r="P31" s="2032"/>
      <c r="Q31" s="2033">
        <v>0</v>
      </c>
      <c r="R31" s="2033"/>
      <c r="S31" s="2033"/>
      <c r="T31" s="2033"/>
      <c r="U31" s="2034">
        <v>0</v>
      </c>
      <c r="V31" s="2034"/>
      <c r="W31" s="2034"/>
      <c r="X31" s="2034"/>
      <c r="Y31" s="2035">
        <v>2.9000000000000001E-2</v>
      </c>
      <c r="Z31" s="2035"/>
      <c r="AA31" s="2035"/>
      <c r="AB31" s="2035"/>
      <c r="AC31" s="2035">
        <v>0</v>
      </c>
      <c r="AD31" s="2035"/>
      <c r="AE31" s="2035"/>
      <c r="AF31" s="2035"/>
      <c r="AG31" s="2034">
        <v>0</v>
      </c>
      <c r="AH31" s="2034"/>
      <c r="AI31" s="2034"/>
      <c r="AJ31" s="2034"/>
      <c r="AK31" s="2202" t="s">
        <v>5522</v>
      </c>
      <c r="AL31" s="2203"/>
      <c r="AM31" s="2203"/>
      <c r="AN31" s="2204" t="s">
        <v>5523</v>
      </c>
      <c r="AO31" s="2204"/>
      <c r="AP31" s="1920" t="s">
        <v>5128</v>
      </c>
      <c r="AQ31" s="1920"/>
      <c r="AR31" s="1920"/>
      <c r="AS31" s="1921" t="s">
        <v>3652</v>
      </c>
      <c r="AT31" s="1922"/>
      <c r="AU31" s="234"/>
      <c r="AV31" s="488" t="b">
        <v>1</v>
      </c>
      <c r="AW31" s="490">
        <f>AV31*1</f>
        <v>1</v>
      </c>
      <c r="AX31" s="535" t="str">
        <f>IF(AV31=TRUE,"iD","")</f>
        <v>iD</v>
      </c>
      <c r="AY31" s="540" t="str">
        <f>TEXT(BR31,"000")</f>
        <v>109</v>
      </c>
      <c r="AZ31" s="540">
        <f>AW31</f>
        <v>1</v>
      </c>
      <c r="BA31" s="539" t="str">
        <f>IF(O31="2回入金","92",IF(O31="早期2回","R2",IF(O31="早期3回","R3",IF(O31="早期4回","R4",IF(O31="早期6回","R6","")))))</f>
        <v>92</v>
      </c>
      <c r="BB31" s="496" t="str">
        <f>AZ14</f>
        <v>14</v>
      </c>
      <c r="BC31" s="496" t="s">
        <v>1977</v>
      </c>
      <c r="BD31" s="493">
        <f>ROW(C31)</f>
        <v>31</v>
      </c>
      <c r="BE31" s="493">
        <v>1</v>
      </c>
      <c r="BF31" s="20" t="str">
        <f t="shared" ref="BF31:BF36" si="10">BR31&amp;BC31&amp;BE31</f>
        <v>109109011</v>
      </c>
      <c r="BG31" s="611"/>
      <c r="BH31" s="611"/>
      <c r="BI31" s="470">
        <v>10901</v>
      </c>
      <c r="BJ31" s="470">
        <f t="shared" si="7"/>
        <v>1</v>
      </c>
      <c r="BK31" s="539">
        <f>AZ31</f>
        <v>1</v>
      </c>
      <c r="BL31" s="2130">
        <f ca="1">IF($AW31=0,"",INDIRECT(ADDRESS($BD31,BL$16)))</f>
        <v>0</v>
      </c>
      <c r="BM31" s="2130">
        <f ca="1">IF($AW31=0,"",INDIRECT(ADDRESS($BD31,BM$16)))</f>
        <v>0</v>
      </c>
      <c r="BN31" s="494">
        <f t="shared" ca="1" si="9"/>
        <v>2.9000000000000001E-2</v>
      </c>
      <c r="BO31" s="494">
        <f t="shared" ca="1" si="9"/>
        <v>0</v>
      </c>
      <c r="BP31" s="491">
        <f t="shared" ca="1" si="8"/>
        <v>0</v>
      </c>
      <c r="BQ31" s="612"/>
      <c r="BR31" s="470">
        <v>109</v>
      </c>
      <c r="BZ31" s="722" t="s">
        <v>1320</v>
      </c>
      <c r="CA31" s="723" t="str">
        <f t="shared" si="0"/>
        <v>1206897</v>
      </c>
      <c r="CB31" s="724" t="s">
        <v>671</v>
      </c>
      <c r="CD31" s="145"/>
      <c r="CE31" s="145"/>
      <c r="CF31" s="145"/>
      <c r="CG31" s="34"/>
      <c r="CH31" s="65" t="s">
        <v>248</v>
      </c>
      <c r="CI31" s="65" t="s">
        <v>21</v>
      </c>
      <c r="CJ31" s="65">
        <v>40</v>
      </c>
      <c r="CK31" s="65" t="s">
        <v>216</v>
      </c>
      <c r="CL31" s="65" t="s">
        <v>90</v>
      </c>
      <c r="CM31" s="65"/>
      <c r="CN31" s="65"/>
      <c r="CO31" s="66" t="s">
        <v>247</v>
      </c>
      <c r="CP31" s="78" t="str">
        <f>T(SUBSTITUTE(SUBSTITUTE(記入シート1!I49,"　","")," ",""))&amp;"　"&amp;T(SUBSTITUTE(SUBSTITUTE(記入シート1!O49,"　","")," ",""))</f>
        <v>　</v>
      </c>
      <c r="CQ31" s="129"/>
      <c r="CR31" s="68"/>
      <c r="CS31" s="68"/>
      <c r="CT31" s="68"/>
      <c r="CU31" s="281"/>
      <c r="CV31" s="60">
        <f t="shared" si="1"/>
        <v>0</v>
      </c>
      <c r="CW31" s="45" t="s">
        <v>5</v>
      </c>
      <c r="CX31" s="45" t="s">
        <v>698</v>
      </c>
      <c r="CY31" s="53" t="s">
        <v>739</v>
      </c>
      <c r="CZ31" s="54" t="s">
        <v>343</v>
      </c>
      <c r="DA31" s="53"/>
      <c r="DB31" s="45" t="str">
        <f t="shared" si="3"/>
        <v>001</v>
      </c>
      <c r="DC31" s="108" t="s">
        <v>241</v>
      </c>
      <c r="DD31" s="131"/>
      <c r="DE31" s="90"/>
      <c r="DF31" s="90"/>
      <c r="DG31" s="90"/>
      <c r="DH31" s="543" t="s">
        <v>891</v>
      </c>
      <c r="DI31" s="547" t="s">
        <v>1909</v>
      </c>
      <c r="DJ31" s="544"/>
      <c r="DK31" s="101" t="str">
        <f t="shared" si="2"/>
        <v>106022YW</v>
      </c>
      <c r="DL31" s="105" t="s">
        <v>880</v>
      </c>
      <c r="DM31" s="105" t="s">
        <v>1938</v>
      </c>
      <c r="DN31" s="454" t="str">
        <f>ASC(AA136)</f>
        <v>0</v>
      </c>
      <c r="DO31" s="27"/>
      <c r="DP31" s="452" t="s">
        <v>1269</v>
      </c>
      <c r="DQ31" s="452" t="s">
        <v>1151</v>
      </c>
      <c r="DR31" s="452" t="s">
        <v>1112</v>
      </c>
      <c r="DS31" s="452" t="s">
        <v>1276</v>
      </c>
      <c r="DT31" s="457" t="s">
        <v>1284</v>
      </c>
      <c r="DU31" s="459"/>
      <c r="DV31" s="34"/>
      <c r="DX31" s="115"/>
      <c r="DY31" s="115"/>
    </row>
    <row r="32" spans="1:129" ht="19.5" customHeight="1">
      <c r="A32" s="447"/>
      <c r="B32" s="249"/>
      <c r="C32" s="2036" t="s">
        <v>1973</v>
      </c>
      <c r="D32" s="2037"/>
      <c r="E32" s="2037"/>
      <c r="F32" s="2037"/>
      <c r="G32" s="2037"/>
      <c r="H32" s="2037"/>
      <c r="I32" s="2038"/>
      <c r="J32" s="864"/>
      <c r="K32" s="864"/>
      <c r="L32" s="2039" t="s">
        <v>642</v>
      </c>
      <c r="M32" s="2040"/>
      <c r="N32" s="2041"/>
      <c r="O32" s="2032" t="s">
        <v>1071</v>
      </c>
      <c r="P32" s="2032"/>
      <c r="Q32" s="2033">
        <v>0</v>
      </c>
      <c r="R32" s="2033"/>
      <c r="S32" s="2033"/>
      <c r="T32" s="2033"/>
      <c r="U32" s="2034">
        <v>0</v>
      </c>
      <c r="V32" s="2034"/>
      <c r="W32" s="2034"/>
      <c r="X32" s="2034"/>
      <c r="Y32" s="2035">
        <v>2.9000000000000001E-2</v>
      </c>
      <c r="Z32" s="2035"/>
      <c r="AA32" s="2035"/>
      <c r="AB32" s="2035"/>
      <c r="AC32" s="2035">
        <v>0</v>
      </c>
      <c r="AD32" s="2035"/>
      <c r="AE32" s="2035"/>
      <c r="AF32" s="2035"/>
      <c r="AG32" s="2034">
        <v>0</v>
      </c>
      <c r="AH32" s="2034"/>
      <c r="AI32" s="2034"/>
      <c r="AJ32" s="2034"/>
      <c r="AK32" s="2202" t="s">
        <v>5522</v>
      </c>
      <c r="AL32" s="2203"/>
      <c r="AM32" s="2203"/>
      <c r="AN32" s="1921" t="s">
        <v>3625</v>
      </c>
      <c r="AO32" s="1921"/>
      <c r="AP32" s="1920" t="s">
        <v>5128</v>
      </c>
      <c r="AQ32" s="1920"/>
      <c r="AR32" s="1920"/>
      <c r="AS32" s="1921" t="s">
        <v>3652</v>
      </c>
      <c r="AT32" s="1922"/>
      <c r="AU32" s="234"/>
      <c r="AV32" s="488" t="b">
        <v>1</v>
      </c>
      <c r="AW32" s="490">
        <f>AW31</f>
        <v>1</v>
      </c>
      <c r="AX32" s="535" t="str">
        <f>IF(AV31=TRUE,"iD 処理未了分","")</f>
        <v>iD 処理未了分</v>
      </c>
      <c r="AY32" s="610"/>
      <c r="AZ32" s="610"/>
      <c r="BA32" s="470"/>
      <c r="BB32" s="470"/>
      <c r="BC32" s="496" t="s">
        <v>1978</v>
      </c>
      <c r="BD32" s="493">
        <f>BD31</f>
        <v>31</v>
      </c>
      <c r="BE32" s="470">
        <v>2</v>
      </c>
      <c r="BF32" s="20" t="str">
        <f t="shared" si="10"/>
        <v>109109022</v>
      </c>
      <c r="BG32" s="611"/>
      <c r="BH32" s="611"/>
      <c r="BI32" s="470">
        <v>10901</v>
      </c>
      <c r="BJ32" s="470">
        <f t="shared" si="7"/>
        <v>1</v>
      </c>
      <c r="BK32" s="470">
        <f>AZ31</f>
        <v>1</v>
      </c>
      <c r="BL32" s="2131"/>
      <c r="BM32" s="2131"/>
      <c r="BN32" s="494">
        <f t="shared" ca="1" si="9"/>
        <v>2.9000000000000001E-2</v>
      </c>
      <c r="BO32" s="494">
        <f t="shared" ca="1" si="9"/>
        <v>0</v>
      </c>
      <c r="BP32" s="491">
        <f t="shared" ca="1" si="8"/>
        <v>0</v>
      </c>
      <c r="BQ32" s="612"/>
      <c r="BR32" s="470">
        <v>109</v>
      </c>
      <c r="BZ32" s="722" t="s">
        <v>1357</v>
      </c>
      <c r="CA32" s="723" t="str">
        <f t="shared" si="0"/>
        <v>1206989</v>
      </c>
      <c r="CB32" s="724" t="s">
        <v>672</v>
      </c>
      <c r="CD32" s="145"/>
      <c r="CE32" s="145"/>
      <c r="CF32" s="145"/>
      <c r="CG32" s="34"/>
      <c r="CH32" s="65" t="s">
        <v>242</v>
      </c>
      <c r="CI32" s="65" t="s">
        <v>21</v>
      </c>
      <c r="CJ32" s="65">
        <v>20</v>
      </c>
      <c r="CK32" s="65" t="s">
        <v>216</v>
      </c>
      <c r="CL32" s="65" t="s">
        <v>90</v>
      </c>
      <c r="CM32" s="65"/>
      <c r="CN32" s="65"/>
      <c r="CO32" s="66" t="s">
        <v>394</v>
      </c>
      <c r="CP32" s="78" t="str">
        <f>T(記入シート1!X48)</f>
        <v/>
      </c>
      <c r="CQ32" s="129"/>
      <c r="CR32" s="68"/>
      <c r="CS32" s="68"/>
      <c r="CT32" s="68"/>
      <c r="CU32" s="68"/>
      <c r="CV32" s="60">
        <f t="shared" si="1"/>
        <v>0</v>
      </c>
      <c r="CW32" s="45" t="s">
        <v>239</v>
      </c>
      <c r="CX32" s="45" t="s">
        <v>698</v>
      </c>
      <c r="CY32" s="290"/>
      <c r="CZ32" s="53" t="s">
        <v>359</v>
      </c>
      <c r="DA32" s="53"/>
      <c r="DB32" s="45" t="str">
        <f t="shared" si="3"/>
        <v>001</v>
      </c>
      <c r="DC32" s="108" t="s">
        <v>240</v>
      </c>
      <c r="DD32" s="131"/>
      <c r="DE32" s="90"/>
      <c r="DF32" s="90"/>
      <c r="DG32" s="90"/>
      <c r="DH32" s="543" t="s">
        <v>891</v>
      </c>
      <c r="DI32" s="547" t="s">
        <v>1910</v>
      </c>
      <c r="DJ32" s="544"/>
      <c r="DK32" s="101" t="str">
        <f t="shared" si="2"/>
        <v>106022YX</v>
      </c>
      <c r="DL32" s="105" t="s">
        <v>880</v>
      </c>
      <c r="DM32" s="105" t="s">
        <v>1939</v>
      </c>
      <c r="DN32" s="454" t="str">
        <f>ASC(AA137)</f>
        <v>0</v>
      </c>
      <c r="DO32" s="27"/>
      <c r="DP32" s="452" t="s">
        <v>1269</v>
      </c>
      <c r="DQ32" s="452" t="s">
        <v>1152</v>
      </c>
      <c r="DR32" s="452" t="s">
        <v>1252</v>
      </c>
      <c r="DS32" s="452" t="s">
        <v>1278</v>
      </c>
      <c r="DT32" s="457" t="s">
        <v>1285</v>
      </c>
      <c r="DU32" s="459"/>
      <c r="DV32" s="34"/>
      <c r="DX32" s="115"/>
      <c r="DY32" s="115"/>
    </row>
    <row r="33" spans="1:129" ht="19.5" customHeight="1">
      <c r="A33" s="447"/>
      <c r="B33" s="249"/>
      <c r="C33" s="2097" t="s">
        <v>1975</v>
      </c>
      <c r="D33" s="2098"/>
      <c r="E33" s="2098"/>
      <c r="F33" s="2098"/>
      <c r="G33" s="2098"/>
      <c r="H33" s="2098"/>
      <c r="I33" s="2099"/>
      <c r="J33" s="1025"/>
      <c r="K33" s="962"/>
      <c r="L33" s="2206" t="s">
        <v>642</v>
      </c>
      <c r="M33" s="2207"/>
      <c r="N33" s="2208"/>
      <c r="O33" s="2209" t="s">
        <v>1071</v>
      </c>
      <c r="P33" s="2209"/>
      <c r="Q33" s="2210">
        <v>0</v>
      </c>
      <c r="R33" s="2210"/>
      <c r="S33" s="2210"/>
      <c r="T33" s="2210"/>
      <c r="U33" s="2168">
        <v>0</v>
      </c>
      <c r="V33" s="2168"/>
      <c r="W33" s="2168"/>
      <c r="X33" s="2168"/>
      <c r="Y33" s="2118">
        <v>2.9000000000000001E-2</v>
      </c>
      <c r="Z33" s="2118"/>
      <c r="AA33" s="2118"/>
      <c r="AB33" s="2118"/>
      <c r="AC33" s="2118">
        <v>0</v>
      </c>
      <c r="AD33" s="2118"/>
      <c r="AE33" s="2118"/>
      <c r="AF33" s="2118"/>
      <c r="AG33" s="2168">
        <v>0</v>
      </c>
      <c r="AH33" s="2168"/>
      <c r="AI33" s="2168"/>
      <c r="AJ33" s="2168"/>
      <c r="AK33" s="2202" t="s">
        <v>5522</v>
      </c>
      <c r="AL33" s="2203"/>
      <c r="AM33" s="2203"/>
      <c r="AN33" s="2204" t="s">
        <v>4345</v>
      </c>
      <c r="AO33" s="2204"/>
      <c r="AP33" s="1920" t="s">
        <v>5128</v>
      </c>
      <c r="AQ33" s="1920"/>
      <c r="AR33" s="1920"/>
      <c r="AS33" s="1921" t="s">
        <v>3652</v>
      </c>
      <c r="AT33" s="1922"/>
      <c r="AU33" s="234"/>
      <c r="AV33" s="488" t="b">
        <v>1</v>
      </c>
      <c r="AW33" s="490">
        <f>AV32*1</f>
        <v>1</v>
      </c>
      <c r="AX33" s="535" t="str">
        <f>IF(AV32=TRUE,"WAON","")</f>
        <v>WAON</v>
      </c>
      <c r="AY33" s="540" t="str">
        <f>TEXT(BR33,"000")</f>
        <v>110</v>
      </c>
      <c r="AZ33" s="540">
        <f>AW33</f>
        <v>1</v>
      </c>
      <c r="BA33" s="539" t="str">
        <f>IF(O32="2回入金","92",IF(O32="早期2回","R2",IF(O32="早期3回","R3",IF(O32="早期4回","R4",IF(O32="早期6回","R6","")))))</f>
        <v>92</v>
      </c>
      <c r="BB33" s="496" t="str">
        <f>AZ14</f>
        <v>14</v>
      </c>
      <c r="BC33" s="496" t="s">
        <v>1979</v>
      </c>
      <c r="BD33" s="493">
        <f>ROW(C32)</f>
        <v>32</v>
      </c>
      <c r="BE33" s="493">
        <v>1</v>
      </c>
      <c r="BF33" s="20" t="str">
        <f t="shared" si="10"/>
        <v>110110011</v>
      </c>
      <c r="BG33" s="611"/>
      <c r="BH33" s="611"/>
      <c r="BI33" s="470">
        <v>11001</v>
      </c>
      <c r="BJ33" s="470">
        <f t="shared" si="7"/>
        <v>1</v>
      </c>
      <c r="BK33" s="539">
        <f>AZ33</f>
        <v>1</v>
      </c>
      <c r="BL33" s="2130">
        <f ca="1">IF($AW33=0,"",INDIRECT(ADDRESS($BD33,BL$16)))</f>
        <v>0</v>
      </c>
      <c r="BM33" s="2130">
        <f ca="1">IF($AW33=0,"",INDIRECT(ADDRESS($BD33,BM$16)))</f>
        <v>0</v>
      </c>
      <c r="BN33" s="494">
        <f t="shared" ca="1" si="9"/>
        <v>2.9000000000000001E-2</v>
      </c>
      <c r="BO33" s="494">
        <f t="shared" ca="1" si="9"/>
        <v>0</v>
      </c>
      <c r="BP33" s="491">
        <f t="shared" ca="1" si="8"/>
        <v>0</v>
      </c>
      <c r="BQ33" s="612"/>
      <c r="BR33" s="470">
        <v>110</v>
      </c>
      <c r="BZ33" s="722" t="s">
        <v>1358</v>
      </c>
      <c r="CA33" s="723" t="str">
        <f t="shared" si="0"/>
        <v>1207224</v>
      </c>
      <c r="CB33" s="724" t="s">
        <v>673</v>
      </c>
      <c r="CD33" s="145"/>
      <c r="CE33" s="145"/>
      <c r="CF33" s="145"/>
      <c r="CG33" s="34"/>
      <c r="CH33" s="65" t="s">
        <v>395</v>
      </c>
      <c r="CI33" s="65" t="s">
        <v>63</v>
      </c>
      <c r="CJ33" s="65">
        <v>1</v>
      </c>
      <c r="CK33" s="65" t="s">
        <v>216</v>
      </c>
      <c r="CL33" s="65" t="s">
        <v>90</v>
      </c>
      <c r="CM33" s="65" t="s">
        <v>593</v>
      </c>
      <c r="CN33" s="65"/>
      <c r="CO33" s="66" t="s">
        <v>397</v>
      </c>
      <c r="CP33" s="78">
        <f>記入シート1!AV48</f>
        <v>0</v>
      </c>
      <c r="CQ33" s="129"/>
      <c r="CR33" s="68"/>
      <c r="CS33" s="68"/>
      <c r="CT33" s="68"/>
      <c r="CU33" s="68"/>
      <c r="CV33" s="60">
        <f t="shared" si="1"/>
        <v>0</v>
      </c>
      <c r="CW33" s="45" t="s">
        <v>236</v>
      </c>
      <c r="CX33" s="45" t="s">
        <v>698</v>
      </c>
      <c r="CY33" s="290"/>
      <c r="CZ33" s="53" t="s">
        <v>359</v>
      </c>
      <c r="DA33" s="53"/>
      <c r="DB33" s="45" t="str">
        <f t="shared" si="3"/>
        <v>001</v>
      </c>
      <c r="DC33" s="108" t="s">
        <v>237</v>
      </c>
      <c r="DD33" s="131"/>
      <c r="DE33" s="90"/>
      <c r="DF33" s="90"/>
      <c r="DG33" s="90"/>
      <c r="DH33" s="543" t="s">
        <v>891</v>
      </c>
      <c r="DI33" s="547" t="s">
        <v>1911</v>
      </c>
      <c r="DJ33" s="544"/>
      <c r="DK33" s="101" t="str">
        <f t="shared" si="2"/>
        <v>106022YY</v>
      </c>
      <c r="DL33" s="105" t="s">
        <v>880</v>
      </c>
      <c r="DM33" s="105" t="s">
        <v>1940</v>
      </c>
      <c r="DN33" s="454" t="str">
        <f>ASC(AA135)</f>
        <v>0</v>
      </c>
      <c r="DO33" s="27"/>
      <c r="DP33" s="452" t="s">
        <v>1269</v>
      </c>
      <c r="DQ33" s="452" t="s">
        <v>1153</v>
      </c>
      <c r="DR33" s="452" t="s">
        <v>1273</v>
      </c>
      <c r="DS33" s="452" t="s">
        <v>1286</v>
      </c>
      <c r="DT33" s="457" t="s">
        <v>1287</v>
      </c>
      <c r="DU33" s="458"/>
      <c r="DV33" s="34"/>
      <c r="DX33" s="115"/>
      <c r="DY33" s="115"/>
    </row>
    <row r="34" spans="1:129" ht="19.5" customHeight="1" thickBot="1">
      <c r="A34" s="447"/>
      <c r="B34" s="249"/>
      <c r="C34" s="2020" t="s">
        <v>3834</v>
      </c>
      <c r="D34" s="2021"/>
      <c r="E34" s="2021"/>
      <c r="F34" s="2021"/>
      <c r="G34" s="2021"/>
      <c r="H34" s="2021"/>
      <c r="I34" s="2022"/>
      <c r="J34" s="1044"/>
      <c r="K34" s="1045"/>
      <c r="L34" s="2023" t="s">
        <v>642</v>
      </c>
      <c r="M34" s="2024"/>
      <c r="N34" s="2025"/>
      <c r="O34" s="2026" t="s">
        <v>1071</v>
      </c>
      <c r="P34" s="2026"/>
      <c r="Q34" s="2211">
        <v>0</v>
      </c>
      <c r="R34" s="2211"/>
      <c r="S34" s="2211"/>
      <c r="T34" s="2211"/>
      <c r="U34" s="2212">
        <v>0</v>
      </c>
      <c r="V34" s="2212"/>
      <c r="W34" s="2212"/>
      <c r="X34" s="2212"/>
      <c r="Y34" s="2213">
        <v>0</v>
      </c>
      <c r="Z34" s="2213"/>
      <c r="AA34" s="2213"/>
      <c r="AB34" s="2213"/>
      <c r="AC34" s="2213">
        <v>0</v>
      </c>
      <c r="AD34" s="2213"/>
      <c r="AE34" s="2213"/>
      <c r="AF34" s="2213"/>
      <c r="AG34" s="2212">
        <v>0</v>
      </c>
      <c r="AH34" s="2212"/>
      <c r="AI34" s="2212"/>
      <c r="AJ34" s="2212"/>
      <c r="AK34" s="2800" t="s">
        <v>5522</v>
      </c>
      <c r="AL34" s="2801"/>
      <c r="AM34" s="2801"/>
      <c r="AN34" s="2802" t="s">
        <v>4345</v>
      </c>
      <c r="AO34" s="2802"/>
      <c r="AP34" s="2214" t="s">
        <v>3651</v>
      </c>
      <c r="AQ34" s="2214"/>
      <c r="AR34" s="2214"/>
      <c r="AS34" s="2215" t="s">
        <v>3652</v>
      </c>
      <c r="AT34" s="2216"/>
      <c r="AU34" s="234"/>
      <c r="AV34" s="200" t="b">
        <v>1</v>
      </c>
      <c r="AW34" s="490">
        <f>AW33</f>
        <v>1</v>
      </c>
      <c r="AX34" s="535" t="str">
        <f>IF(AV32=TRUE,"WAON 処理未了分","")</f>
        <v>WAON 処理未了分</v>
      </c>
      <c r="AY34" s="610"/>
      <c r="AZ34" s="610"/>
      <c r="BA34" s="470"/>
      <c r="BB34" s="470"/>
      <c r="BC34" s="496" t="s">
        <v>1980</v>
      </c>
      <c r="BD34" s="493">
        <f>BD33</f>
        <v>32</v>
      </c>
      <c r="BE34" s="470">
        <v>2</v>
      </c>
      <c r="BF34" s="20" t="str">
        <f t="shared" si="10"/>
        <v>110110022</v>
      </c>
      <c r="BG34" s="611"/>
      <c r="BH34" s="611"/>
      <c r="BI34" s="470">
        <v>11001</v>
      </c>
      <c r="BJ34" s="470">
        <f t="shared" si="7"/>
        <v>1</v>
      </c>
      <c r="BK34" s="470">
        <f>AZ33</f>
        <v>1</v>
      </c>
      <c r="BL34" s="2131"/>
      <c r="BM34" s="2131"/>
      <c r="BN34" s="494">
        <f t="shared" ca="1" si="9"/>
        <v>2.9000000000000001E-2</v>
      </c>
      <c r="BO34" s="494">
        <f t="shared" ca="1" si="9"/>
        <v>0</v>
      </c>
      <c r="BP34" s="491">
        <f t="shared" ca="1" si="8"/>
        <v>0</v>
      </c>
      <c r="BQ34" s="612"/>
      <c r="BR34" s="470">
        <v>110</v>
      </c>
      <c r="BZ34" s="722" t="s">
        <v>1359</v>
      </c>
      <c r="CA34" s="723" t="str">
        <f t="shared" si="0"/>
        <v>1207256</v>
      </c>
      <c r="CB34" s="724" t="s">
        <v>674</v>
      </c>
      <c r="CD34" s="145"/>
      <c r="CE34" s="145"/>
      <c r="CF34" s="145"/>
      <c r="CG34" s="34"/>
      <c r="CH34" s="65" t="s">
        <v>400</v>
      </c>
      <c r="CI34" s="65" t="s">
        <v>63</v>
      </c>
      <c r="CJ34" s="65">
        <v>8</v>
      </c>
      <c r="CK34" s="65" t="s">
        <v>216</v>
      </c>
      <c r="CL34" s="65" t="s">
        <v>90</v>
      </c>
      <c r="CM34" s="65"/>
      <c r="CN34" s="65"/>
      <c r="CO34" s="66" t="s">
        <v>238</v>
      </c>
      <c r="CP34" s="78" t="str">
        <f>RIGHT("0000"&amp;記入シート1!AI49,4)&amp;RIGHT("00"&amp;記入シート1!AM49,2)&amp;RIGHT("00"&amp;記入シート1!AQ49,2)</f>
        <v>00000000</v>
      </c>
      <c r="CQ34" s="129"/>
      <c r="CR34" s="68"/>
      <c r="CS34" s="68"/>
      <c r="CT34" s="68"/>
      <c r="CU34" s="281"/>
      <c r="CV34" s="60">
        <f t="shared" si="1"/>
        <v>0</v>
      </c>
      <c r="CW34" s="45" t="s">
        <v>722</v>
      </c>
      <c r="CX34" s="45"/>
      <c r="CY34" s="53"/>
      <c r="CZ34" s="54"/>
      <c r="DA34" s="53"/>
      <c r="DB34" s="45" t="str">
        <f t="shared" si="3"/>
        <v>001</v>
      </c>
      <c r="DC34" s="108" t="s">
        <v>234</v>
      </c>
      <c r="DD34" s="45"/>
      <c r="DE34" s="90"/>
      <c r="DF34" s="90"/>
      <c r="DG34" s="90"/>
      <c r="DH34" s="543" t="s">
        <v>891</v>
      </c>
      <c r="DI34" s="547" t="s">
        <v>1985</v>
      </c>
      <c r="DJ34" s="544"/>
      <c r="DK34" s="101" t="str">
        <f t="shared" si="2"/>
        <v>106022YZ</v>
      </c>
      <c r="DL34" s="105" t="s">
        <v>1984</v>
      </c>
      <c r="DM34" s="105" t="s">
        <v>1983</v>
      </c>
      <c r="DN34" s="454">
        <f>IF(AV92=TRUE,1,0)</f>
        <v>0</v>
      </c>
      <c r="DO34" s="27"/>
      <c r="DP34" s="452" t="s">
        <v>1269</v>
      </c>
      <c r="DQ34" s="452" t="s">
        <v>1154</v>
      </c>
      <c r="DR34" s="452" t="s">
        <v>1112</v>
      </c>
      <c r="DS34" s="452" t="s">
        <v>1276</v>
      </c>
      <c r="DT34" s="453" t="s">
        <v>1155</v>
      </c>
      <c r="DU34" s="454">
        <v>1</v>
      </c>
      <c r="DV34" s="34"/>
      <c r="DX34" s="115"/>
      <c r="DY34" s="115"/>
    </row>
    <row r="35" spans="1:129" ht="19.5" hidden="1" customHeight="1">
      <c r="A35" s="447" t="s">
        <v>1234</v>
      </c>
      <c r="B35" s="249"/>
      <c r="C35" s="718"/>
      <c r="D35" s="870"/>
      <c r="E35" s="870"/>
      <c r="F35" s="870"/>
      <c r="G35" s="870"/>
      <c r="H35" s="870"/>
      <c r="I35" s="870"/>
      <c r="J35" s="870"/>
      <c r="K35" s="870"/>
      <c r="L35" s="640"/>
      <c r="M35" s="482"/>
      <c r="N35" s="483"/>
      <c r="O35" s="483"/>
      <c r="P35" s="483"/>
      <c r="Q35" s="2033">
        <v>0</v>
      </c>
      <c r="R35" s="2033"/>
      <c r="S35" s="2033"/>
      <c r="T35" s="2033"/>
      <c r="U35" s="2034">
        <v>0</v>
      </c>
      <c r="V35" s="2034"/>
      <c r="W35" s="2034"/>
      <c r="X35" s="2034"/>
      <c r="Y35" s="2035">
        <v>0</v>
      </c>
      <c r="Z35" s="2035"/>
      <c r="AA35" s="2035"/>
      <c r="AB35" s="2035"/>
      <c r="AC35" s="2035">
        <v>0</v>
      </c>
      <c r="AD35" s="2035"/>
      <c r="AE35" s="2035"/>
      <c r="AF35" s="2035"/>
      <c r="AG35" s="2034">
        <v>0</v>
      </c>
      <c r="AH35" s="2034"/>
      <c r="AI35" s="2034"/>
      <c r="AJ35" s="2034"/>
      <c r="AK35" s="481"/>
      <c r="AL35" s="481"/>
      <c r="AM35" s="481"/>
      <c r="AN35" s="481"/>
      <c r="AO35" s="481"/>
      <c r="AP35" s="481"/>
      <c r="AQ35" s="481"/>
      <c r="AR35" s="481"/>
      <c r="AS35" s="481"/>
      <c r="AT35" s="641"/>
      <c r="AU35" s="234"/>
      <c r="AV35" s="200"/>
      <c r="AW35" s="490">
        <f>AV33*1</f>
        <v>1</v>
      </c>
      <c r="AX35" s="535" t="str">
        <f>IF(AV33=TRUE,"nanaco","")</f>
        <v>nanaco</v>
      </c>
      <c r="AY35" s="540" t="str">
        <f>TEXT(BR35,"000")</f>
        <v>111</v>
      </c>
      <c r="AZ35" s="540">
        <f>AW35</f>
        <v>1</v>
      </c>
      <c r="BA35" s="539" t="str">
        <f>IF(O33="2回入金","92",IF(O33="早期2回","R2",IF(O33="早期3回","R3",IF(O33="早期4回","R4",IF(O33="早期6回","R6","")))))</f>
        <v>92</v>
      </c>
      <c r="BB35" s="496" t="str">
        <f>AZ14</f>
        <v>14</v>
      </c>
      <c r="BC35" s="496" t="s">
        <v>1981</v>
      </c>
      <c r="BD35" s="493">
        <f>ROW(C33)</f>
        <v>33</v>
      </c>
      <c r="BE35" s="493">
        <v>1</v>
      </c>
      <c r="BF35" s="20" t="str">
        <f t="shared" si="10"/>
        <v>111111011</v>
      </c>
      <c r="BG35" s="611"/>
      <c r="BH35" s="611"/>
      <c r="BI35" s="470">
        <v>11101</v>
      </c>
      <c r="BJ35" s="470">
        <f t="shared" si="7"/>
        <v>1</v>
      </c>
      <c r="BK35" s="539">
        <f>AZ35</f>
        <v>1</v>
      </c>
      <c r="BL35" s="2130">
        <f ca="1">IF($AW35=0,"",INDIRECT(ADDRESS($BD35,BL$16)))</f>
        <v>0</v>
      </c>
      <c r="BM35" s="2130">
        <f ca="1">IF($AW35=0,"",INDIRECT(ADDRESS($BD35,BM$16)))</f>
        <v>0</v>
      </c>
      <c r="BN35" s="494">
        <f t="shared" ca="1" si="9"/>
        <v>2.9000000000000001E-2</v>
      </c>
      <c r="BO35" s="494">
        <f t="shared" ca="1" si="9"/>
        <v>0</v>
      </c>
      <c r="BP35" s="491">
        <f t="shared" ca="1" si="8"/>
        <v>0</v>
      </c>
      <c r="BQ35" s="612"/>
      <c r="BR35" s="470">
        <v>111</v>
      </c>
      <c r="BZ35" s="722" t="s">
        <v>1321</v>
      </c>
      <c r="CA35" s="723" t="str">
        <f t="shared" si="0"/>
        <v>1207428</v>
      </c>
      <c r="CB35" s="724" t="s">
        <v>675</v>
      </c>
      <c r="CD35" s="145"/>
      <c r="CE35" s="145"/>
      <c r="CF35" s="145"/>
      <c r="CG35" s="34"/>
      <c r="CH35" s="65" t="s">
        <v>47</v>
      </c>
      <c r="CI35" s="65" t="s">
        <v>22</v>
      </c>
      <c r="CJ35" s="65">
        <v>15</v>
      </c>
      <c r="CK35" s="65" t="s">
        <v>216</v>
      </c>
      <c r="CL35" s="65" t="s">
        <v>90</v>
      </c>
      <c r="CM35" s="65"/>
      <c r="CN35" s="65"/>
      <c r="CO35" s="66" t="s">
        <v>46</v>
      </c>
      <c r="CP35" s="67" t="str">
        <f>ASC(記入シート1!I55)&amp;"-"&amp;ASC(記入シート1!O55)&amp;"-"&amp;ASC(記入シート1!T55)</f>
        <v>--</v>
      </c>
      <c r="CQ35" s="129"/>
      <c r="CR35" s="68"/>
      <c r="CS35" s="68"/>
      <c r="CT35" s="68"/>
      <c r="CU35" s="281"/>
      <c r="CV35" s="60">
        <f t="shared" si="1"/>
        <v>0</v>
      </c>
      <c r="CW35" s="45" t="s">
        <v>231</v>
      </c>
      <c r="CX35" s="45"/>
      <c r="CY35" s="53" t="s">
        <v>736</v>
      </c>
      <c r="CZ35" s="54" t="s">
        <v>343</v>
      </c>
      <c r="DA35" s="53"/>
      <c r="DB35" s="45" t="str">
        <f t="shared" si="3"/>
        <v>001</v>
      </c>
      <c r="DC35" s="108" t="s">
        <v>232</v>
      </c>
      <c r="DD35" s="45"/>
      <c r="DE35" s="90"/>
      <c r="DF35" s="90"/>
      <c r="DG35" s="90"/>
      <c r="DH35" s="543" t="s">
        <v>3198</v>
      </c>
      <c r="DI35" s="547" t="s">
        <v>3199</v>
      </c>
      <c r="DJ35" s="544"/>
      <c r="DK35" s="101" t="str">
        <f t="shared" si="2"/>
        <v>106022ZY</v>
      </c>
      <c r="DL35" s="105" t="s">
        <v>1984</v>
      </c>
      <c r="DM35" s="105" t="s">
        <v>3209</v>
      </c>
      <c r="DN35" s="454" t="str">
        <f>ASC(AA138)</f>
        <v>0</v>
      </c>
      <c r="DO35" s="27"/>
      <c r="DP35" s="452" t="s">
        <v>1269</v>
      </c>
      <c r="DQ35" s="452" t="s">
        <v>1156</v>
      </c>
      <c r="DR35" s="452" t="s">
        <v>1252</v>
      </c>
      <c r="DS35" s="452" t="s">
        <v>1278</v>
      </c>
      <c r="DT35" s="457" t="s">
        <v>1288</v>
      </c>
      <c r="DU35" s="459"/>
      <c r="DV35" s="34"/>
      <c r="DX35" s="115"/>
      <c r="DY35" s="115"/>
    </row>
    <row r="36" spans="1:129" ht="19.5" hidden="1" customHeight="1">
      <c r="A36" s="447" t="s">
        <v>1234</v>
      </c>
      <c r="B36" s="249"/>
      <c r="C36" s="718"/>
      <c r="D36" s="870"/>
      <c r="E36" s="870"/>
      <c r="F36" s="870"/>
      <c r="G36" s="870"/>
      <c r="H36" s="870"/>
      <c r="I36" s="870"/>
      <c r="J36" s="870"/>
      <c r="K36" s="870"/>
      <c r="L36" s="640"/>
      <c r="M36" s="482"/>
      <c r="N36" s="483"/>
      <c r="O36" s="483"/>
      <c r="P36" s="483"/>
      <c r="Q36" s="2033">
        <v>0</v>
      </c>
      <c r="R36" s="2033"/>
      <c r="S36" s="2033"/>
      <c r="T36" s="2033"/>
      <c r="U36" s="2034">
        <v>0</v>
      </c>
      <c r="V36" s="2034"/>
      <c r="W36" s="2034"/>
      <c r="X36" s="2034"/>
      <c r="Y36" s="2035">
        <v>0</v>
      </c>
      <c r="Z36" s="2035"/>
      <c r="AA36" s="2035"/>
      <c r="AB36" s="2035"/>
      <c r="AC36" s="2035">
        <v>0</v>
      </c>
      <c r="AD36" s="2035"/>
      <c r="AE36" s="2035"/>
      <c r="AF36" s="2035"/>
      <c r="AG36" s="2034">
        <v>0</v>
      </c>
      <c r="AH36" s="2034"/>
      <c r="AI36" s="2034"/>
      <c r="AJ36" s="2034"/>
      <c r="AK36" s="481"/>
      <c r="AL36" s="481"/>
      <c r="AM36" s="481"/>
      <c r="AN36" s="481"/>
      <c r="AO36" s="481"/>
      <c r="AP36" s="481"/>
      <c r="AQ36" s="481"/>
      <c r="AR36" s="481"/>
      <c r="AS36" s="481"/>
      <c r="AT36" s="641"/>
      <c r="AU36" s="234"/>
      <c r="AV36" s="200"/>
      <c r="AW36" s="490">
        <f>AW35</f>
        <v>1</v>
      </c>
      <c r="AX36" s="490" t="str">
        <f>IF(AV33=TRUE,"nanaco 処理未了分","")</f>
        <v>nanaco 処理未了分</v>
      </c>
      <c r="AY36" s="610"/>
      <c r="AZ36" s="610"/>
      <c r="BA36" s="470"/>
      <c r="BB36" s="470"/>
      <c r="BC36" s="496" t="s">
        <v>1982</v>
      </c>
      <c r="BD36" s="470">
        <f>BD35</f>
        <v>33</v>
      </c>
      <c r="BE36" s="470">
        <v>2</v>
      </c>
      <c r="BF36" s="20" t="str">
        <f t="shared" si="10"/>
        <v>111111022</v>
      </c>
      <c r="BG36" s="611"/>
      <c r="BH36" s="611"/>
      <c r="BI36" s="470">
        <v>11101</v>
      </c>
      <c r="BJ36" s="470">
        <f t="shared" si="7"/>
        <v>1</v>
      </c>
      <c r="BK36" s="470">
        <f>AZ35</f>
        <v>1</v>
      </c>
      <c r="BL36" s="2131"/>
      <c r="BM36" s="2131"/>
      <c r="BN36" s="494">
        <f t="shared" ca="1" si="9"/>
        <v>2.9000000000000001E-2</v>
      </c>
      <c r="BO36" s="494">
        <f t="shared" ca="1" si="9"/>
        <v>0</v>
      </c>
      <c r="BP36" s="491">
        <f t="shared" ca="1" si="8"/>
        <v>0</v>
      </c>
      <c r="BQ36" s="613"/>
      <c r="BR36" s="470">
        <v>111</v>
      </c>
      <c r="BZ36" s="722" t="s">
        <v>1360</v>
      </c>
      <c r="CA36" s="723" t="str">
        <f t="shared" si="0"/>
        <v>1208450</v>
      </c>
      <c r="CB36" s="724" t="s">
        <v>676</v>
      </c>
      <c r="CD36" s="145"/>
      <c r="CE36" s="145"/>
      <c r="CF36" s="145"/>
      <c r="CG36" s="34"/>
      <c r="CH36" s="65" t="s">
        <v>883</v>
      </c>
      <c r="CI36" s="65" t="s">
        <v>21</v>
      </c>
      <c r="CJ36" s="65">
        <v>255</v>
      </c>
      <c r="CK36" s="65" t="s">
        <v>216</v>
      </c>
      <c r="CL36" s="65" t="s">
        <v>90</v>
      </c>
      <c r="CM36" s="65"/>
      <c r="CN36" s="65"/>
      <c r="CO36" s="66" t="s">
        <v>884</v>
      </c>
      <c r="CP36" s="78" t="str">
        <f>T(記入シート1!AW53)&amp;"　"&amp;SUBSTITUTE(SUBSTITUTE(SUBSTITUTE(SUBSTITUTE(T(記入シート1!N53),"　","")," ",""),"―","ー"),"－","‐")&amp;"　"&amp;SUBSTITUTE(SUBSTITUTE(SUBSTITUTE(SUBSTITUTE(T(記入シート1!V53),"　","")," ",""),"―","ー"),"－","‐")&amp;"　"&amp;SUBSTITUTE(SUBSTITUTE(SUBSTITUTE(SUBSTITUTE(T(記入シート1!AD53),"　","")," ",""),"―","ー"),"－","‐")&amp;IF(記入シート1!AL53="","","　"&amp;SUBSTITUTE(SUBSTITUTE(SUBSTITUTE(SUBSTITUTE(T(記入シート1!AL53),"　","")," ",""),"―","ー"),"－","‐"))</f>
        <v>選択して下さい　　　</v>
      </c>
      <c r="CQ36" s="129"/>
      <c r="CR36" s="68"/>
      <c r="CS36" s="68"/>
      <c r="CT36" s="68"/>
      <c r="CU36" s="281"/>
      <c r="CV36" s="60">
        <f t="shared" si="1"/>
        <v>0</v>
      </c>
      <c r="CW36" s="45" t="s">
        <v>227</v>
      </c>
      <c r="CX36" s="45"/>
      <c r="CY36" s="53" t="s">
        <v>736</v>
      </c>
      <c r="CZ36" s="54" t="s">
        <v>343</v>
      </c>
      <c r="DA36" s="53"/>
      <c r="DB36" s="45" t="str">
        <f t="shared" si="3"/>
        <v>001</v>
      </c>
      <c r="DC36" s="108" t="s">
        <v>228</v>
      </c>
      <c r="DD36" s="45"/>
      <c r="DE36" s="90"/>
      <c r="DF36" s="90"/>
      <c r="DG36" s="90"/>
      <c r="DH36" s="543" t="s">
        <v>3198</v>
      </c>
      <c r="DI36" s="547" t="s">
        <v>3200</v>
      </c>
      <c r="DJ36" s="544"/>
      <c r="DK36" s="101" t="str">
        <f t="shared" si="2"/>
        <v>106022ZX</v>
      </c>
      <c r="DL36" s="105" t="s">
        <v>1984</v>
      </c>
      <c r="DM36" s="105" t="s">
        <v>3210</v>
      </c>
      <c r="DN36" s="454" t="str">
        <f>ASC(V126)</f>
        <v>71800</v>
      </c>
      <c r="DO36" s="27"/>
      <c r="DP36" s="452" t="s">
        <v>1269</v>
      </c>
      <c r="DQ36" s="452" t="s">
        <v>1157</v>
      </c>
      <c r="DR36" s="452" t="s">
        <v>1273</v>
      </c>
      <c r="DS36" s="452" t="s">
        <v>1286</v>
      </c>
      <c r="DT36" s="457" t="s">
        <v>1289</v>
      </c>
      <c r="DU36" s="458"/>
      <c r="DV36" s="34"/>
      <c r="DX36" s="115"/>
      <c r="DY36" s="115"/>
    </row>
    <row r="37" spans="1:129" ht="19.5" hidden="1" customHeight="1">
      <c r="A37" s="447" t="s">
        <v>1234</v>
      </c>
      <c r="B37" s="249"/>
      <c r="C37" s="718"/>
      <c r="D37" s="870"/>
      <c r="E37" s="870"/>
      <c r="F37" s="870"/>
      <c r="G37" s="870"/>
      <c r="H37" s="870"/>
      <c r="I37" s="870"/>
      <c r="J37" s="870"/>
      <c r="K37" s="870"/>
      <c r="L37" s="640"/>
      <c r="M37" s="482"/>
      <c r="N37" s="483"/>
      <c r="O37" s="483"/>
      <c r="P37" s="483"/>
      <c r="Q37" s="2033">
        <v>0</v>
      </c>
      <c r="R37" s="2033"/>
      <c r="S37" s="2033"/>
      <c r="T37" s="2033"/>
      <c r="U37" s="2034">
        <v>0</v>
      </c>
      <c r="V37" s="2034"/>
      <c r="W37" s="2034"/>
      <c r="X37" s="2034"/>
      <c r="Y37" s="2035">
        <v>0</v>
      </c>
      <c r="Z37" s="2035"/>
      <c r="AA37" s="2035"/>
      <c r="AB37" s="2035"/>
      <c r="AC37" s="2035">
        <v>0</v>
      </c>
      <c r="AD37" s="2035"/>
      <c r="AE37" s="2035"/>
      <c r="AF37" s="2035"/>
      <c r="AG37" s="2034">
        <v>0</v>
      </c>
      <c r="AH37" s="2034"/>
      <c r="AI37" s="2034"/>
      <c r="AJ37" s="2034"/>
      <c r="AK37" s="481"/>
      <c r="AL37" s="481"/>
      <c r="AM37" s="481"/>
      <c r="AN37" s="481"/>
      <c r="AO37" s="481"/>
      <c r="AP37" s="481"/>
      <c r="AQ37" s="481"/>
      <c r="AR37" s="481"/>
      <c r="AS37" s="481"/>
      <c r="AT37" s="641"/>
      <c r="AU37" s="234"/>
      <c r="AV37" s="200"/>
      <c r="BZ37" s="722" t="s">
        <v>1322</v>
      </c>
      <c r="CA37" s="723" t="str">
        <f t="shared" si="0"/>
        <v>1208622</v>
      </c>
      <c r="CB37" s="724" t="s">
        <v>1373</v>
      </c>
      <c r="CD37" s="145"/>
      <c r="CE37" s="145"/>
      <c r="CF37" s="145"/>
      <c r="CG37" s="34"/>
      <c r="CH37" s="448" t="s">
        <v>1235</v>
      </c>
      <c r="CI37" s="448" t="s">
        <v>22</v>
      </c>
      <c r="CJ37" s="448">
        <v>8</v>
      </c>
      <c r="CK37" s="448"/>
      <c r="CL37" s="448"/>
      <c r="CM37" s="448"/>
      <c r="CN37" s="448"/>
      <c r="CO37" s="66" t="s">
        <v>1236</v>
      </c>
      <c r="CP37" s="78" t="str">
        <f>ASC(記入シート1!J52&amp;"-"&amp;記入シート1!M52)</f>
        <v>-</v>
      </c>
      <c r="CQ37" s="129"/>
      <c r="CR37" s="68"/>
      <c r="CS37" s="68"/>
      <c r="CT37" s="68"/>
      <c r="CU37" s="281"/>
      <c r="CV37" s="60">
        <f t="shared" si="1"/>
        <v>0</v>
      </c>
      <c r="CW37" s="45" t="s">
        <v>224</v>
      </c>
      <c r="CX37" s="45"/>
      <c r="CY37" s="53" t="s">
        <v>736</v>
      </c>
      <c r="CZ37" s="54" t="s">
        <v>343</v>
      </c>
      <c r="DA37" s="53"/>
      <c r="DB37" s="45" t="str">
        <f t="shared" si="3"/>
        <v>001</v>
      </c>
      <c r="DC37" s="108" t="s">
        <v>225</v>
      </c>
      <c r="DD37" s="45"/>
      <c r="DE37" s="90"/>
      <c r="DF37" s="90"/>
      <c r="DG37" s="90"/>
      <c r="DH37" s="543" t="s">
        <v>3198</v>
      </c>
      <c r="DI37" s="547" t="s">
        <v>3201</v>
      </c>
      <c r="DJ37" s="544"/>
      <c r="DK37" s="101" t="str">
        <f t="shared" si="2"/>
        <v>106022ZW</v>
      </c>
      <c r="DL37" s="105" t="s">
        <v>1984</v>
      </c>
      <c r="DM37" s="105" t="s">
        <v>3211</v>
      </c>
      <c r="DN37" s="454" t="str">
        <f>ASC(V127)</f>
        <v>9000</v>
      </c>
      <c r="DO37" s="27"/>
      <c r="DP37" s="457" t="s">
        <v>1269</v>
      </c>
      <c r="DQ37" s="457" t="s">
        <v>1158</v>
      </c>
      <c r="DR37" s="457" t="s">
        <v>1258</v>
      </c>
      <c r="DS37" s="457"/>
      <c r="DT37" s="457" t="s">
        <v>1290</v>
      </c>
      <c r="DU37" s="458"/>
      <c r="DV37" s="34"/>
      <c r="DX37" s="115"/>
      <c r="DY37" s="115"/>
    </row>
    <row r="38" spans="1:129" ht="19.5" hidden="1" customHeight="1" thickBot="1">
      <c r="A38" s="447" t="s">
        <v>1234</v>
      </c>
      <c r="B38" s="249"/>
      <c r="C38" s="638"/>
      <c r="D38" s="639"/>
      <c r="E38" s="639"/>
      <c r="F38" s="639"/>
      <c r="G38" s="639"/>
      <c r="H38" s="639"/>
      <c r="I38" s="639"/>
      <c r="J38" s="639"/>
      <c r="K38" s="639"/>
      <c r="L38" s="642"/>
      <c r="M38" s="643"/>
      <c r="N38" s="644"/>
      <c r="O38" s="644"/>
      <c r="P38" s="644"/>
      <c r="Q38" s="2033">
        <v>0</v>
      </c>
      <c r="R38" s="2033"/>
      <c r="S38" s="2033"/>
      <c r="T38" s="2033"/>
      <c r="U38" s="2034">
        <v>0</v>
      </c>
      <c r="V38" s="2034"/>
      <c r="W38" s="2034"/>
      <c r="X38" s="2034"/>
      <c r="Y38" s="2035">
        <v>0</v>
      </c>
      <c r="Z38" s="2035"/>
      <c r="AA38" s="2035"/>
      <c r="AB38" s="2035"/>
      <c r="AC38" s="2035">
        <v>0</v>
      </c>
      <c r="AD38" s="2035"/>
      <c r="AE38" s="2035"/>
      <c r="AF38" s="2035"/>
      <c r="AG38" s="2034">
        <v>0</v>
      </c>
      <c r="AH38" s="2034"/>
      <c r="AI38" s="2034"/>
      <c r="AJ38" s="2034"/>
      <c r="AK38" s="645"/>
      <c r="AL38" s="645"/>
      <c r="AM38" s="645"/>
      <c r="AN38" s="645"/>
      <c r="AO38" s="645"/>
      <c r="AP38" s="645"/>
      <c r="AQ38" s="645"/>
      <c r="AR38" s="645"/>
      <c r="AS38" s="645"/>
      <c r="AT38" s="646"/>
      <c r="AU38" s="234"/>
      <c r="AV38" s="200"/>
      <c r="BZ38" s="722" t="s">
        <v>1361</v>
      </c>
      <c r="CA38" s="723" t="str">
        <f t="shared" si="0"/>
        <v>1208623</v>
      </c>
      <c r="CB38" s="724" t="s">
        <v>677</v>
      </c>
      <c r="CD38" s="145"/>
      <c r="CE38" s="145"/>
      <c r="CF38" s="145"/>
      <c r="CG38" s="34"/>
      <c r="CH38" s="448" t="s">
        <v>1237</v>
      </c>
      <c r="CI38" s="448" t="s">
        <v>22</v>
      </c>
      <c r="CJ38" s="448">
        <v>60</v>
      </c>
      <c r="CK38" s="448"/>
      <c r="CL38" s="448"/>
      <c r="CM38" s="448"/>
      <c r="CN38" s="448"/>
      <c r="CO38" s="66" t="s">
        <v>1238</v>
      </c>
      <c r="CP38" s="78" t="str">
        <f>ASC(記入シート1!J51)&amp;" "&amp;ASC(SUBSTITUTE(SUBSTITUTE(SUBSTITUTE(SUBSTITUTE(SUBSTITUTE(記入シート1!O51,"　","")," ",""),"ヴ","ウﾞ"),"・",""),"－","‐"))&amp;" "&amp;ASC(SUBSTITUTE(SUBSTITUTE(SUBSTITUTE(SUBSTITUTE(SUBSTITUTE(記入シート1!Z51,"　","")," ",""),"ヴ","ウﾞ"),"・",""),"－","‐"))&amp;IF(記入シート1!AK51="",""," "&amp;ASC(SUBSTITUTE(SUBSTITUTE(SUBSTITUTE(SUBSTITUTE(SUBSTITUTE(記入シート1!AK51,"　","")," ",""),"ヴ","ウﾞ"),"・",""),"－","‐")))</f>
        <v xml:space="preserve">(自動表示)  </v>
      </c>
      <c r="CQ38" s="129"/>
      <c r="CR38" s="68"/>
      <c r="CS38" s="68"/>
      <c r="CT38" s="68"/>
      <c r="CU38" s="281"/>
      <c r="CV38" s="60">
        <f t="shared" si="1"/>
        <v>0</v>
      </c>
      <c r="CW38" s="45" t="s">
        <v>723</v>
      </c>
      <c r="CX38" s="45"/>
      <c r="CY38" s="53"/>
      <c r="CZ38" s="54"/>
      <c r="DA38" s="53"/>
      <c r="DB38" s="45" t="str">
        <f t="shared" si="3"/>
        <v>001</v>
      </c>
      <c r="DC38" s="108" t="s">
        <v>221</v>
      </c>
      <c r="DD38" s="45"/>
      <c r="DE38" s="90"/>
      <c r="DF38" s="90"/>
      <c r="DG38" s="90"/>
      <c r="DH38" s="543" t="s">
        <v>3198</v>
      </c>
      <c r="DI38" s="547" t="s">
        <v>3202</v>
      </c>
      <c r="DJ38" s="544"/>
      <c r="DK38" s="101" t="str">
        <f t="shared" si="2"/>
        <v>106022ZV</v>
      </c>
      <c r="DL38" s="105" t="s">
        <v>1984</v>
      </c>
      <c r="DM38" s="105" t="s">
        <v>3212</v>
      </c>
      <c r="DN38" s="454" t="str">
        <f>ASC(V128)</f>
        <v>7000</v>
      </c>
      <c r="DO38" s="27"/>
      <c r="DP38" s="457" t="s">
        <v>1269</v>
      </c>
      <c r="DQ38" s="457" t="s">
        <v>1159</v>
      </c>
      <c r="DR38" s="457" t="s">
        <v>1258</v>
      </c>
      <c r="DS38" s="457"/>
      <c r="DT38" s="457" t="s">
        <v>1291</v>
      </c>
      <c r="DU38" s="458"/>
      <c r="DV38" s="34"/>
      <c r="DX38" s="115"/>
      <c r="DY38" s="115"/>
    </row>
    <row r="39" spans="1:129" ht="19.5" hidden="1" customHeight="1" thickTop="1">
      <c r="A39" s="447"/>
      <c r="B39" s="249"/>
      <c r="C39" s="1022"/>
      <c r="D39" s="1022"/>
      <c r="E39" s="1022"/>
      <c r="F39" s="1022"/>
      <c r="G39" s="1022"/>
      <c r="H39" s="1022"/>
      <c r="I39" s="1022"/>
      <c r="J39" s="1022"/>
      <c r="K39" s="1022"/>
      <c r="L39" s="891"/>
      <c r="M39" s="891"/>
      <c r="N39" s="892"/>
      <c r="O39" s="892"/>
      <c r="P39" s="892"/>
      <c r="Q39" s="892"/>
      <c r="R39" s="892"/>
      <c r="S39" s="892"/>
      <c r="T39" s="892"/>
      <c r="U39" s="893"/>
      <c r="V39" s="893"/>
      <c r="W39" s="893"/>
      <c r="X39" s="893"/>
      <c r="Y39" s="893"/>
      <c r="Z39" s="893"/>
      <c r="AA39" s="893"/>
      <c r="AB39" s="893"/>
      <c r="AC39" s="893"/>
      <c r="AD39" s="893"/>
      <c r="AE39" s="893"/>
      <c r="AF39" s="893"/>
      <c r="AG39" s="893"/>
      <c r="AH39" s="893"/>
      <c r="AI39" s="893"/>
      <c r="AJ39" s="893"/>
      <c r="AK39" s="893"/>
      <c r="AL39" s="893"/>
      <c r="AM39" s="893"/>
      <c r="AN39" s="893"/>
      <c r="AO39" s="893"/>
      <c r="AP39" s="893"/>
      <c r="AQ39" s="893"/>
      <c r="AR39" s="893"/>
      <c r="AS39" s="893"/>
      <c r="AT39" s="893"/>
      <c r="AU39" s="234"/>
      <c r="AV39" s="200"/>
      <c r="BZ39" s="722">
        <v>1208682</v>
      </c>
      <c r="CA39" s="723" t="str">
        <f t="shared" si="0"/>
        <v>1208682</v>
      </c>
      <c r="CB39" s="724" t="s">
        <v>678</v>
      </c>
      <c r="CD39" s="145"/>
      <c r="CE39" s="145"/>
      <c r="CF39" s="145"/>
      <c r="CG39" s="35"/>
      <c r="CH39" s="448" t="s">
        <v>1174</v>
      </c>
      <c r="CI39" s="448" t="s">
        <v>22</v>
      </c>
      <c r="CJ39" s="448">
        <v>13</v>
      </c>
      <c r="CK39" s="448"/>
      <c r="CL39" s="448"/>
      <c r="CM39" s="448"/>
      <c r="CN39" s="448"/>
      <c r="CO39" s="66" t="s">
        <v>1239</v>
      </c>
      <c r="CP39" s="78" t="str">
        <f>ASC(記入シート1!I55)&amp;"-"&amp;ASC(記入シート1!O55)&amp;"-"&amp;ASC(記入シート1!T55)</f>
        <v>--</v>
      </c>
      <c r="CQ39" s="129"/>
      <c r="CR39" s="68"/>
      <c r="CS39" s="68"/>
      <c r="CT39" s="68"/>
      <c r="CU39" s="68"/>
      <c r="CV39" s="60">
        <f t="shared" si="1"/>
        <v>0</v>
      </c>
      <c r="CW39" s="45" t="s">
        <v>217</v>
      </c>
      <c r="CX39" s="45"/>
      <c r="CY39" s="53" t="s">
        <v>736</v>
      </c>
      <c r="CZ39" s="54" t="s">
        <v>343</v>
      </c>
      <c r="DA39" s="53"/>
      <c r="DB39" s="45" t="str">
        <f t="shared" si="3"/>
        <v>001</v>
      </c>
      <c r="DC39" s="108" t="s">
        <v>218</v>
      </c>
      <c r="DD39" s="45"/>
      <c r="DE39" s="90"/>
      <c r="DF39" s="90"/>
      <c r="DG39" s="90"/>
      <c r="DH39" s="543" t="s">
        <v>3198</v>
      </c>
      <c r="DI39" s="547" t="s">
        <v>3203</v>
      </c>
      <c r="DJ39" s="544"/>
      <c r="DK39" s="101" t="str">
        <f t="shared" si="2"/>
        <v>106022ZU</v>
      </c>
      <c r="DL39" s="105" t="s">
        <v>1984</v>
      </c>
      <c r="DM39" s="105" t="s">
        <v>3213</v>
      </c>
      <c r="DN39" s="454" t="str">
        <f>ASC(V129)</f>
        <v>12000</v>
      </c>
      <c r="DO39" s="27"/>
      <c r="DP39" s="463" t="s">
        <v>1269</v>
      </c>
      <c r="DQ39" s="463" t="s">
        <v>1160</v>
      </c>
      <c r="DR39" s="463" t="s">
        <v>1258</v>
      </c>
      <c r="DS39" s="457"/>
      <c r="DT39" s="463" t="s">
        <v>1292</v>
      </c>
      <c r="DU39" s="464"/>
      <c r="DV39" s="34"/>
      <c r="DX39" s="115"/>
      <c r="DY39" s="115"/>
    </row>
    <row r="40" spans="1:129" ht="19.5" customHeight="1" thickBot="1">
      <c r="A40" s="447"/>
      <c r="B40" s="249"/>
      <c r="C40" s="350"/>
      <c r="D40" s="350"/>
      <c r="E40" s="350"/>
      <c r="F40" s="350"/>
      <c r="G40" s="350"/>
      <c r="H40" s="350"/>
      <c r="I40" s="350"/>
      <c r="J40" s="350"/>
      <c r="K40" s="350"/>
      <c r="L40" s="1023"/>
      <c r="M40" s="1023"/>
      <c r="N40" s="229"/>
      <c r="O40" s="229"/>
      <c r="P40" s="229"/>
      <c r="Q40" s="229"/>
      <c r="R40" s="229"/>
      <c r="S40" s="229"/>
      <c r="T40" s="229"/>
      <c r="U40" s="323"/>
      <c r="V40" s="323"/>
      <c r="W40" s="323"/>
      <c r="X40" s="323"/>
      <c r="Y40" s="323"/>
      <c r="Z40" s="323"/>
      <c r="AA40" s="323"/>
      <c r="AB40" s="323"/>
      <c r="AC40" s="323"/>
      <c r="AD40" s="323"/>
      <c r="AE40" s="323"/>
      <c r="AF40" s="323"/>
      <c r="AG40" s="323"/>
      <c r="AH40" s="323"/>
      <c r="AI40" s="323"/>
      <c r="AJ40" s="323"/>
      <c r="AK40" s="323"/>
      <c r="AL40" s="323"/>
      <c r="AM40" s="323"/>
      <c r="AN40" s="323"/>
      <c r="AO40" s="323"/>
      <c r="AP40" s="323"/>
      <c r="AQ40" s="323"/>
      <c r="AR40" s="323"/>
      <c r="AS40" s="323"/>
      <c r="AT40" s="323"/>
      <c r="AU40" s="234"/>
      <c r="AV40" s="200"/>
      <c r="BZ40" s="722">
        <v>1208945</v>
      </c>
      <c r="CA40" s="723" t="str">
        <f t="shared" si="0"/>
        <v>1208945</v>
      </c>
      <c r="CB40" s="724" t="s">
        <v>679</v>
      </c>
      <c r="CD40" s="145"/>
      <c r="CE40" s="145"/>
      <c r="CF40" s="145"/>
      <c r="CG40" s="34"/>
      <c r="CH40" s="448" t="s">
        <v>1170</v>
      </c>
      <c r="CI40" s="448" t="s">
        <v>63</v>
      </c>
      <c r="CJ40" s="448">
        <v>1</v>
      </c>
      <c r="CK40" s="448"/>
      <c r="CL40" s="448"/>
      <c r="CM40" s="448" t="s">
        <v>1969</v>
      </c>
      <c r="CN40" s="448"/>
      <c r="CO40" s="66" t="s">
        <v>1240</v>
      </c>
      <c r="CP40" s="78" t="str">
        <f>IF(記入シート1!AV21=1,"0","1")</f>
        <v>1</v>
      </c>
      <c r="CQ40" s="129"/>
      <c r="CR40" s="68"/>
      <c r="CS40" s="68"/>
      <c r="CT40" s="68"/>
      <c r="CU40" s="68"/>
      <c r="CV40" s="60">
        <f t="shared" si="1"/>
        <v>0</v>
      </c>
      <c r="CW40" s="45" t="s">
        <v>724</v>
      </c>
      <c r="CX40" s="45"/>
      <c r="CY40" s="53"/>
      <c r="CZ40" s="54"/>
      <c r="DA40" s="53"/>
      <c r="DB40" s="45" t="str">
        <f t="shared" si="3"/>
        <v>001</v>
      </c>
      <c r="DC40" s="108" t="s">
        <v>214</v>
      </c>
      <c r="DD40" s="45"/>
      <c r="DE40" s="90"/>
      <c r="DF40" s="90"/>
      <c r="DG40" s="90"/>
      <c r="DH40" s="543" t="s">
        <v>3198</v>
      </c>
      <c r="DI40" s="547" t="s">
        <v>3204</v>
      </c>
      <c r="DJ40" s="544"/>
      <c r="DK40" s="101" t="str">
        <f t="shared" si="2"/>
        <v>106022ZT</v>
      </c>
      <c r="DL40" s="105" t="s">
        <v>1984</v>
      </c>
      <c r="DM40" s="105" t="s">
        <v>3214</v>
      </c>
      <c r="DN40" s="454" t="str">
        <f>ASC(V133)</f>
        <v>0</v>
      </c>
      <c r="DO40" s="27"/>
      <c r="DP40" s="463" t="s">
        <v>1269</v>
      </c>
      <c r="DQ40" s="463" t="s">
        <v>1161</v>
      </c>
      <c r="DR40" s="463" t="s">
        <v>1258</v>
      </c>
      <c r="DS40" s="457"/>
      <c r="DT40" s="463" t="s">
        <v>1293</v>
      </c>
      <c r="DU40" s="464"/>
      <c r="DV40" s="34"/>
      <c r="DX40" s="115"/>
      <c r="DY40" s="115"/>
    </row>
    <row r="41" spans="1:129" ht="19.5" customHeight="1" thickTop="1">
      <c r="A41" s="447"/>
      <c r="B41" s="249"/>
      <c r="C41" s="1998" t="s">
        <v>449</v>
      </c>
      <c r="D41" s="1999"/>
      <c r="E41" s="1999"/>
      <c r="F41" s="1999"/>
      <c r="G41" s="1999"/>
      <c r="H41" s="1999"/>
      <c r="I41" s="2000"/>
      <c r="J41" s="2004" t="s">
        <v>845</v>
      </c>
      <c r="K41" s="2005"/>
      <c r="L41" s="2008" t="s">
        <v>2060</v>
      </c>
      <c r="M41" s="2009"/>
      <c r="N41" s="2010"/>
      <c r="O41" s="2014" t="s">
        <v>1059</v>
      </c>
      <c r="P41" s="2015"/>
      <c r="Q41" s="2014" t="s">
        <v>2047</v>
      </c>
      <c r="R41" s="2018"/>
      <c r="S41" s="2018"/>
      <c r="T41" s="2015"/>
      <c r="U41" s="2014" t="s">
        <v>2048</v>
      </c>
      <c r="V41" s="2018"/>
      <c r="W41" s="2018"/>
      <c r="X41" s="2015"/>
      <c r="Y41" s="2014" t="s">
        <v>2049</v>
      </c>
      <c r="Z41" s="2018"/>
      <c r="AA41" s="2018"/>
      <c r="AB41" s="2015"/>
      <c r="AC41" s="2014" t="s">
        <v>2050</v>
      </c>
      <c r="AD41" s="2018"/>
      <c r="AE41" s="2018"/>
      <c r="AF41" s="2015"/>
      <c r="AG41" s="2014" t="s">
        <v>2051</v>
      </c>
      <c r="AH41" s="2018"/>
      <c r="AI41" s="2018"/>
      <c r="AJ41" s="2015"/>
      <c r="AK41" s="2189" t="s">
        <v>2061</v>
      </c>
      <c r="AL41" s="2190"/>
      <c r="AM41" s="2190"/>
      <c r="AN41" s="2190"/>
      <c r="AO41" s="2190"/>
      <c r="AP41" s="2190"/>
      <c r="AQ41" s="2190"/>
      <c r="AR41" s="2190"/>
      <c r="AS41" s="2190"/>
      <c r="AT41" s="2191"/>
      <c r="AU41" s="234"/>
      <c r="AV41" s="200"/>
      <c r="BZ41" s="722" t="s">
        <v>1323</v>
      </c>
      <c r="CA41" s="723" t="str">
        <f t="shared" si="0"/>
        <v>1209993</v>
      </c>
      <c r="CB41" s="724" t="s">
        <v>680</v>
      </c>
      <c r="CD41" s="145"/>
      <c r="CE41" s="145"/>
      <c r="CF41" s="145"/>
      <c r="CG41" s="34"/>
      <c r="CH41" s="448" t="s">
        <v>1171</v>
      </c>
      <c r="CI41" s="448" t="s">
        <v>63</v>
      </c>
      <c r="CJ41" s="448">
        <v>2</v>
      </c>
      <c r="CK41" s="448"/>
      <c r="CL41" s="448"/>
      <c r="CM41" s="448" t="s">
        <v>1241</v>
      </c>
      <c r="CN41" s="448"/>
      <c r="CO41" s="66" t="s">
        <v>1242</v>
      </c>
      <c r="CP41" s="78" t="str">
        <f>TEXT(記入シート1!AV13,"00")</f>
        <v>00</v>
      </c>
      <c r="CQ41" s="129"/>
      <c r="CR41" s="68"/>
      <c r="CS41" s="68"/>
      <c r="CT41" s="68"/>
      <c r="CU41" s="281"/>
      <c r="CV41" s="60">
        <f t="shared" si="1"/>
        <v>0</v>
      </c>
      <c r="CW41" s="45" t="s">
        <v>211</v>
      </c>
      <c r="CX41" s="45"/>
      <c r="CY41" s="53" t="s">
        <v>736</v>
      </c>
      <c r="CZ41" s="54" t="s">
        <v>343</v>
      </c>
      <c r="DA41" s="53"/>
      <c r="DB41" s="45" t="str">
        <f t="shared" si="3"/>
        <v>001</v>
      </c>
      <c r="DC41" s="108" t="s">
        <v>212</v>
      </c>
      <c r="DD41" s="45"/>
      <c r="DE41" s="90"/>
      <c r="DF41" s="90"/>
      <c r="DG41" s="90"/>
      <c r="DH41" s="543" t="s">
        <v>3198</v>
      </c>
      <c r="DI41" s="547" t="s">
        <v>3205</v>
      </c>
      <c r="DJ41" s="544"/>
      <c r="DK41" s="101" t="str">
        <f t="shared" si="2"/>
        <v>106022ZS</v>
      </c>
      <c r="DL41" s="105" t="s">
        <v>1984</v>
      </c>
      <c r="DM41" s="105" t="s">
        <v>3215</v>
      </c>
      <c r="DN41" s="454" t="str">
        <f>ASC(V136)</f>
        <v>0</v>
      </c>
      <c r="DO41" s="27"/>
      <c r="DP41" s="452" t="s">
        <v>1294</v>
      </c>
      <c r="DQ41" s="452" t="s">
        <v>1162</v>
      </c>
      <c r="DR41" s="452" t="s">
        <v>1112</v>
      </c>
      <c r="DS41" s="452" t="s">
        <v>1295</v>
      </c>
      <c r="DT41" s="457" t="s">
        <v>1296</v>
      </c>
      <c r="DU41" s="459"/>
      <c r="DV41" s="34"/>
      <c r="DX41" s="115"/>
      <c r="DY41" s="115"/>
    </row>
    <row r="42" spans="1:129" ht="19.5" customHeight="1">
      <c r="A42" s="447"/>
      <c r="B42" s="249"/>
      <c r="C42" s="2001"/>
      <c r="D42" s="2002"/>
      <c r="E42" s="2002"/>
      <c r="F42" s="2002"/>
      <c r="G42" s="2002"/>
      <c r="H42" s="2002"/>
      <c r="I42" s="2003"/>
      <c r="J42" s="2006"/>
      <c r="K42" s="2007"/>
      <c r="L42" s="2011"/>
      <c r="M42" s="2012"/>
      <c r="N42" s="2013"/>
      <c r="O42" s="2016"/>
      <c r="P42" s="2017"/>
      <c r="Q42" s="2016"/>
      <c r="R42" s="2019"/>
      <c r="S42" s="2019"/>
      <c r="T42" s="2017"/>
      <c r="U42" s="2016"/>
      <c r="V42" s="2019"/>
      <c r="W42" s="2019"/>
      <c r="X42" s="2017"/>
      <c r="Y42" s="2016"/>
      <c r="Z42" s="2019"/>
      <c r="AA42" s="2019"/>
      <c r="AB42" s="2017"/>
      <c r="AC42" s="2016"/>
      <c r="AD42" s="2019"/>
      <c r="AE42" s="2019"/>
      <c r="AF42" s="2017"/>
      <c r="AG42" s="2016"/>
      <c r="AH42" s="2019"/>
      <c r="AI42" s="2019"/>
      <c r="AJ42" s="2017"/>
      <c r="AK42" s="2192"/>
      <c r="AL42" s="2193"/>
      <c r="AM42" s="2193"/>
      <c r="AN42" s="2193"/>
      <c r="AO42" s="2193"/>
      <c r="AP42" s="2193"/>
      <c r="AQ42" s="2193"/>
      <c r="AR42" s="2193"/>
      <c r="AS42" s="2193"/>
      <c r="AT42" s="2194"/>
      <c r="AU42" s="234"/>
      <c r="AV42" s="200"/>
      <c r="BZ42" s="722" t="s">
        <v>1362</v>
      </c>
      <c r="CA42" s="723" t="str">
        <f t="shared" si="0"/>
        <v>1209994</v>
      </c>
      <c r="CB42" s="724" t="s">
        <v>681</v>
      </c>
      <c r="CD42" s="145"/>
      <c r="CE42" s="145"/>
      <c r="CF42" s="145"/>
      <c r="CG42" s="34"/>
      <c r="CH42" s="448" t="s">
        <v>1172</v>
      </c>
      <c r="CI42" s="448" t="s">
        <v>1173</v>
      </c>
      <c r="CJ42" s="448">
        <v>13</v>
      </c>
      <c r="CK42" s="448"/>
      <c r="CL42" s="448"/>
      <c r="CM42" s="448"/>
      <c r="CN42" s="448"/>
      <c r="CO42" s="66" t="s">
        <v>1243</v>
      </c>
      <c r="CP42" s="78" t="str">
        <f>ASC(記入シート1!AL43)</f>
        <v/>
      </c>
      <c r="CQ42" s="129"/>
      <c r="CR42" s="68"/>
      <c r="CS42" s="68"/>
      <c r="CT42" s="68"/>
      <c r="CU42" s="281"/>
      <c r="CV42" s="60">
        <f t="shared" si="1"/>
        <v>0</v>
      </c>
      <c r="CW42" s="45" t="s">
        <v>208</v>
      </c>
      <c r="CX42" s="45"/>
      <c r="CY42" s="53" t="s">
        <v>736</v>
      </c>
      <c r="CZ42" s="54" t="s">
        <v>343</v>
      </c>
      <c r="DA42" s="53"/>
      <c r="DB42" s="45" t="str">
        <f t="shared" si="3"/>
        <v>001</v>
      </c>
      <c r="DC42" s="108" t="s">
        <v>209</v>
      </c>
      <c r="DD42" s="45"/>
      <c r="DE42" s="90"/>
      <c r="DF42" s="90"/>
      <c r="DG42" s="90"/>
      <c r="DH42" s="543" t="s">
        <v>3198</v>
      </c>
      <c r="DI42" s="547" t="s">
        <v>3206</v>
      </c>
      <c r="DJ42" s="544"/>
      <c r="DK42" s="101" t="str">
        <f t="shared" si="2"/>
        <v>106022ZR</v>
      </c>
      <c r="DL42" s="105" t="s">
        <v>1984</v>
      </c>
      <c r="DM42" s="105" t="s">
        <v>3216</v>
      </c>
      <c r="DN42" s="454" t="str">
        <f>ASC(V137)</f>
        <v>0</v>
      </c>
      <c r="DO42" s="28"/>
      <c r="DP42" s="452" t="s">
        <v>1294</v>
      </c>
      <c r="DQ42" s="452" t="s">
        <v>1163</v>
      </c>
      <c r="DR42" s="452" t="s">
        <v>1297</v>
      </c>
      <c r="DS42" s="452" t="s">
        <v>1298</v>
      </c>
      <c r="DT42" s="457" t="s">
        <v>1299</v>
      </c>
      <c r="DU42" s="459"/>
      <c r="DV42" s="35"/>
      <c r="DX42" s="115"/>
      <c r="DY42" s="115"/>
    </row>
    <row r="43" spans="1:129" ht="19.5" customHeight="1">
      <c r="A43" s="447"/>
      <c r="B43" s="249"/>
      <c r="C43" s="2166" t="s">
        <v>2245</v>
      </c>
      <c r="D43" s="2167"/>
      <c r="E43" s="2167"/>
      <c r="F43" s="2167"/>
      <c r="G43" s="2167"/>
      <c r="H43" s="2167"/>
      <c r="I43" s="2167"/>
      <c r="J43" s="864"/>
      <c r="K43" s="864"/>
      <c r="L43" s="487"/>
      <c r="M43" s="861"/>
      <c r="N43" s="475"/>
      <c r="O43" s="475"/>
      <c r="P43" s="475"/>
      <c r="Q43" s="475"/>
      <c r="R43" s="475"/>
      <c r="S43" s="475"/>
      <c r="T43" s="475"/>
      <c r="U43" s="476"/>
      <c r="V43" s="474"/>
      <c r="W43" s="474"/>
      <c r="X43" s="474"/>
      <c r="Y43" s="474"/>
      <c r="Z43" s="474"/>
      <c r="AA43" s="474"/>
      <c r="AB43" s="474"/>
      <c r="AC43" s="474"/>
      <c r="AD43" s="474"/>
      <c r="AE43" s="474"/>
      <c r="AF43" s="474"/>
      <c r="AG43" s="474"/>
      <c r="AH43" s="474"/>
      <c r="AI43" s="474"/>
      <c r="AJ43" s="474"/>
      <c r="AK43" s="474"/>
      <c r="AL43" s="474"/>
      <c r="AM43" s="474"/>
      <c r="AN43" s="474"/>
      <c r="AO43" s="474"/>
      <c r="AP43" s="474"/>
      <c r="AQ43" s="474"/>
      <c r="AR43" s="474"/>
      <c r="AS43" s="474"/>
      <c r="AT43" s="647"/>
      <c r="AU43" s="234"/>
      <c r="AV43" s="651" t="b">
        <f>IF(OR(AV44=TRUE,AV45=TRUE,AV47=TRUE),TRUE,FALSE)</f>
        <v>1</v>
      </c>
      <c r="AW43" s="618" t="s">
        <v>2062</v>
      </c>
      <c r="AY43" s="489" t="s">
        <v>7</v>
      </c>
      <c r="AZ43" s="489" t="s">
        <v>454</v>
      </c>
      <c r="BA43" s="202" t="s">
        <v>908</v>
      </c>
      <c r="BB43" s="202" t="s">
        <v>0</v>
      </c>
      <c r="BC43" s="202" t="s">
        <v>455</v>
      </c>
      <c r="BD43" s="202" t="s">
        <v>975</v>
      </c>
      <c r="BE43" s="202"/>
      <c r="BF43" s="202"/>
      <c r="BG43" s="202"/>
      <c r="BH43" s="202"/>
      <c r="BI43" s="202" t="s">
        <v>456</v>
      </c>
      <c r="BJ43" s="202" t="s">
        <v>457</v>
      </c>
      <c r="BK43" s="202" t="s">
        <v>458</v>
      </c>
      <c r="BL43" s="202" t="s">
        <v>973</v>
      </c>
      <c r="BM43" s="202" t="s">
        <v>974</v>
      </c>
      <c r="BN43" s="202" t="s">
        <v>459</v>
      </c>
      <c r="BO43" s="202" t="s">
        <v>460</v>
      </c>
      <c r="BP43" s="202" t="s">
        <v>461</v>
      </c>
      <c r="BQ43" s="202"/>
      <c r="BR43" s="202" t="s">
        <v>7</v>
      </c>
      <c r="BZ43" s="722" t="s">
        <v>1324</v>
      </c>
      <c r="CA43" s="723" t="str">
        <f t="shared" si="0"/>
        <v>1210249</v>
      </c>
      <c r="CB43" s="724" t="s">
        <v>1374</v>
      </c>
      <c r="CD43" s="145"/>
      <c r="CE43" s="145"/>
      <c r="CF43" s="145"/>
      <c r="CG43" s="34"/>
      <c r="CH43" s="77" t="s">
        <v>598</v>
      </c>
      <c r="CI43" s="77"/>
      <c r="CJ43" s="77"/>
      <c r="CK43" s="77"/>
      <c r="CL43" s="77"/>
      <c r="CM43" s="77"/>
      <c r="CN43" s="77"/>
      <c r="CO43" s="13"/>
      <c r="CP43" s="80"/>
      <c r="CQ43" s="129"/>
      <c r="CR43" s="68"/>
      <c r="CS43" s="68"/>
      <c r="CT43" s="68"/>
      <c r="CU43" s="68"/>
      <c r="CV43" s="60">
        <f t="shared" si="1"/>
        <v>0</v>
      </c>
      <c r="CW43" s="45" t="s">
        <v>725</v>
      </c>
      <c r="CX43" s="45"/>
      <c r="CY43" s="53"/>
      <c r="CZ43" s="54"/>
      <c r="DA43" s="53"/>
      <c r="DB43" s="45" t="str">
        <f t="shared" si="3"/>
        <v>001</v>
      </c>
      <c r="DC43" s="108" t="s">
        <v>206</v>
      </c>
      <c r="DD43" s="45"/>
      <c r="DE43" s="90"/>
      <c r="DF43" s="90"/>
      <c r="DG43" s="90"/>
      <c r="DH43" s="543" t="s">
        <v>3198</v>
      </c>
      <c r="DI43" s="547" t="s">
        <v>3207</v>
      </c>
      <c r="DJ43" s="544"/>
      <c r="DK43" s="101" t="str">
        <f t="shared" si="2"/>
        <v>106022ZQ</v>
      </c>
      <c r="DL43" s="105" t="s">
        <v>1984</v>
      </c>
      <c r="DM43" s="105" t="s">
        <v>3217</v>
      </c>
      <c r="DN43" s="454" t="str">
        <f>ASC(V135)</f>
        <v>0</v>
      </c>
      <c r="DO43" s="28"/>
      <c r="DP43" s="452" t="s">
        <v>1294</v>
      </c>
      <c r="DQ43" s="452" t="s">
        <v>1164</v>
      </c>
      <c r="DR43" s="452" t="s">
        <v>1112</v>
      </c>
      <c r="DS43" s="452" t="s">
        <v>1295</v>
      </c>
      <c r="DT43" s="453" t="s">
        <v>1165</v>
      </c>
      <c r="DU43" s="454">
        <v>1</v>
      </c>
      <c r="DV43" s="34"/>
      <c r="DX43" s="115"/>
      <c r="DY43" s="115"/>
    </row>
    <row r="44" spans="1:129" ht="19.5" customHeight="1">
      <c r="A44" s="447"/>
      <c r="B44" s="249"/>
      <c r="C44" s="2223" t="s">
        <v>5685</v>
      </c>
      <c r="D44" s="2224"/>
      <c r="E44" s="2224"/>
      <c r="F44" s="2224"/>
      <c r="G44" s="2224"/>
      <c r="H44" s="2224"/>
      <c r="I44" s="2225"/>
      <c r="J44" s="1021"/>
      <c r="K44" s="1021"/>
      <c r="L44" s="2226" t="s">
        <v>642</v>
      </c>
      <c r="M44" s="2227"/>
      <c r="N44" s="2228"/>
      <c r="O44" s="2229" t="s">
        <v>1071</v>
      </c>
      <c r="P44" s="2230"/>
      <c r="Q44" s="2231">
        <v>0</v>
      </c>
      <c r="R44" s="2232"/>
      <c r="S44" s="2232"/>
      <c r="T44" s="2233"/>
      <c r="U44" s="2217">
        <v>0</v>
      </c>
      <c r="V44" s="2218"/>
      <c r="W44" s="2218"/>
      <c r="X44" s="2219"/>
      <c r="Y44" s="2240">
        <v>0</v>
      </c>
      <c r="Z44" s="2241"/>
      <c r="AA44" s="2241"/>
      <c r="AB44" s="2242"/>
      <c r="AC44" s="2240">
        <v>0</v>
      </c>
      <c r="AD44" s="2241"/>
      <c r="AE44" s="2241"/>
      <c r="AF44" s="2242"/>
      <c r="AG44" s="2217">
        <v>0</v>
      </c>
      <c r="AH44" s="2218"/>
      <c r="AI44" s="2218"/>
      <c r="AJ44" s="2219"/>
      <c r="AK44" s="2234" t="s">
        <v>5719</v>
      </c>
      <c r="AL44" s="2235"/>
      <c r="AM44" s="2235"/>
      <c r="AN44" s="2235"/>
      <c r="AO44" s="2201" t="s">
        <v>5717</v>
      </c>
      <c r="AP44" s="2201"/>
      <c r="AQ44" s="2201"/>
      <c r="AR44" s="2199" t="s">
        <v>5718</v>
      </c>
      <c r="AS44" s="2199"/>
      <c r="AT44" s="2236"/>
      <c r="AU44" s="234"/>
      <c r="AV44" s="488" t="b">
        <v>1</v>
      </c>
      <c r="AW44" s="490">
        <f>IF(AV44=TRUE,AV44*1,0)</f>
        <v>1</v>
      </c>
      <c r="AX44" s="490"/>
      <c r="AY44" s="490" t="str">
        <f>TEXT(BR44,"000")</f>
        <v>932</v>
      </c>
      <c r="AZ44" s="490">
        <f>AW44</f>
        <v>1</v>
      </c>
      <c r="BA44" s="470" t="str">
        <f>IF(O44="2回入金","92",IF(O44="早期2回","R2",IF(O44="早期3回","R3",IF(O44="早期4回","R4",IF(O44="早期6回","R6","")))))</f>
        <v>92</v>
      </c>
      <c r="BB44" s="496" t="str">
        <f>$AZ$14</f>
        <v>14</v>
      </c>
      <c r="BC44" s="470" t="s">
        <v>2063</v>
      </c>
      <c r="BD44" s="470">
        <f>ROW(C44)</f>
        <v>44</v>
      </c>
      <c r="BE44" s="470">
        <f>IF(AY44&amp;BC44=AY43&amp;BC43,BE43+1,1)</f>
        <v>1</v>
      </c>
      <c r="BF44" s="470" t="str">
        <f>AY44&amp;BC44&amp;BE44</f>
        <v>932932011</v>
      </c>
      <c r="BG44" s="470"/>
      <c r="BH44" s="470"/>
      <c r="BI44" s="470" t="str">
        <f>BR44&amp;"01"</f>
        <v>93201</v>
      </c>
      <c r="BJ44" s="470">
        <f>IF(L44=$BC$2,1,0)</f>
        <v>1</v>
      </c>
      <c r="BK44" s="470">
        <f>AZ44</f>
        <v>1</v>
      </c>
      <c r="BL44" s="865">
        <f t="shared" ref="BL44:BP45" ca="1" si="11">IF($AW44=0,"",INDIRECT(ADDRESS($BD44,BL$16)))</f>
        <v>0</v>
      </c>
      <c r="BM44" s="865">
        <f t="shared" ca="1" si="11"/>
        <v>0</v>
      </c>
      <c r="BN44" s="538">
        <f t="shared" ca="1" si="11"/>
        <v>0</v>
      </c>
      <c r="BO44" s="538">
        <f t="shared" ca="1" si="11"/>
        <v>0</v>
      </c>
      <c r="BP44" s="491">
        <f t="shared" ca="1" si="11"/>
        <v>0</v>
      </c>
      <c r="BQ44" s="470"/>
      <c r="BR44" s="470">
        <v>932</v>
      </c>
      <c r="BZ44" s="722" t="s">
        <v>1363</v>
      </c>
      <c r="CA44" s="723" t="str">
        <f t="shared" si="0"/>
        <v>1210473</v>
      </c>
      <c r="CB44" s="724" t="s">
        <v>682</v>
      </c>
      <c r="CD44" s="145"/>
      <c r="CE44" s="145"/>
      <c r="CF44" s="145"/>
      <c r="CG44" s="34"/>
      <c r="CH44" s="62" t="s">
        <v>323</v>
      </c>
      <c r="CI44" s="63" t="s">
        <v>586</v>
      </c>
      <c r="CJ44" s="63" t="s">
        <v>321</v>
      </c>
      <c r="CK44" s="62" t="s">
        <v>320</v>
      </c>
      <c r="CL44" s="62" t="s">
        <v>587</v>
      </c>
      <c r="CM44" s="62" t="s">
        <v>326</v>
      </c>
      <c r="CN44" s="62" t="s">
        <v>327</v>
      </c>
      <c r="CO44" s="62" t="s">
        <v>376</v>
      </c>
      <c r="CP44" s="62" t="s">
        <v>328</v>
      </c>
      <c r="CQ44" s="129"/>
      <c r="CR44" s="68"/>
      <c r="CS44" s="68"/>
      <c r="CT44" s="68"/>
      <c r="CU44" s="68"/>
      <c r="CV44" s="60">
        <f t="shared" si="1"/>
        <v>0</v>
      </c>
      <c r="CW44" s="45" t="s">
        <v>204</v>
      </c>
      <c r="CX44" s="45"/>
      <c r="CY44" s="53" t="s">
        <v>736</v>
      </c>
      <c r="CZ44" s="54" t="s">
        <v>343</v>
      </c>
      <c r="DA44" s="53"/>
      <c r="DB44" s="45" t="str">
        <f t="shared" si="3"/>
        <v>001</v>
      </c>
      <c r="DC44" s="108" t="s">
        <v>205</v>
      </c>
      <c r="DD44" s="45"/>
      <c r="DE44" s="90"/>
      <c r="DF44" s="90"/>
      <c r="DG44" s="90"/>
      <c r="DH44" s="543" t="s">
        <v>3198</v>
      </c>
      <c r="DI44" s="547" t="s">
        <v>3208</v>
      </c>
      <c r="DJ44" s="544"/>
      <c r="DK44" s="101" t="str">
        <f t="shared" si="2"/>
        <v>106022ZP</v>
      </c>
      <c r="DL44" s="105" t="s">
        <v>1984</v>
      </c>
      <c r="DM44" s="105" t="s">
        <v>3218</v>
      </c>
      <c r="DN44" s="454" t="str">
        <f>ASC(V138)</f>
        <v>0</v>
      </c>
      <c r="DO44" s="41"/>
      <c r="DP44" s="452" t="s">
        <v>1294</v>
      </c>
      <c r="DQ44" s="452" t="s">
        <v>1166</v>
      </c>
      <c r="DR44" s="452" t="s">
        <v>1297</v>
      </c>
      <c r="DS44" s="452" t="s">
        <v>1298</v>
      </c>
      <c r="DT44" s="453" t="s">
        <v>1167</v>
      </c>
      <c r="DU44" s="454" t="str">
        <f ca="1">TEXT(TODAY(),"yyyymmdd")</f>
        <v>20240906</v>
      </c>
      <c r="DV44" s="34"/>
      <c r="DX44" s="115"/>
      <c r="DY44" s="115"/>
    </row>
    <row r="45" spans="1:129" ht="19.5" customHeight="1">
      <c r="A45" s="447"/>
      <c r="B45" s="249"/>
      <c r="C45" s="2175" t="s">
        <v>2064</v>
      </c>
      <c r="D45" s="2176"/>
      <c r="E45" s="2176"/>
      <c r="F45" s="2176"/>
      <c r="G45" s="2176"/>
      <c r="H45" s="2176"/>
      <c r="I45" s="2177"/>
      <c r="J45" s="1021"/>
      <c r="K45" s="1021"/>
      <c r="L45" s="2243" t="s">
        <v>2082</v>
      </c>
      <c r="M45" s="2244"/>
      <c r="N45" s="2245"/>
      <c r="O45" s="2229" t="s">
        <v>1071</v>
      </c>
      <c r="P45" s="2230"/>
      <c r="Q45" s="2231">
        <v>0</v>
      </c>
      <c r="R45" s="2232"/>
      <c r="S45" s="2232"/>
      <c r="T45" s="2233"/>
      <c r="U45" s="2217">
        <v>0</v>
      </c>
      <c r="V45" s="2218"/>
      <c r="W45" s="2218"/>
      <c r="X45" s="2219"/>
      <c r="Y45" s="2240">
        <v>0</v>
      </c>
      <c r="Z45" s="2241"/>
      <c r="AA45" s="2241"/>
      <c r="AB45" s="2242"/>
      <c r="AC45" s="2240">
        <v>0</v>
      </c>
      <c r="AD45" s="2241"/>
      <c r="AE45" s="2241"/>
      <c r="AF45" s="2242"/>
      <c r="AG45" s="2217">
        <v>0</v>
      </c>
      <c r="AH45" s="2218"/>
      <c r="AI45" s="2218"/>
      <c r="AJ45" s="2219"/>
      <c r="AK45" s="848"/>
      <c r="AL45" s="849"/>
      <c r="AM45" s="2220" t="s">
        <v>3263</v>
      </c>
      <c r="AN45" s="2220"/>
      <c r="AO45" s="2220"/>
      <c r="AP45" s="2221" t="s">
        <v>2389</v>
      </c>
      <c r="AQ45" s="2221"/>
      <c r="AR45" s="2221"/>
      <c r="AS45" s="2221"/>
      <c r="AT45" s="2222"/>
      <c r="AU45" s="234"/>
      <c r="AV45" s="488" t="b">
        <v>1</v>
      </c>
      <c r="AW45" s="490">
        <f>IF(AV45=TRUE,AV45*1,0)</f>
        <v>1</v>
      </c>
      <c r="AX45" s="490"/>
      <c r="AY45" s="490" t="str">
        <f>TEXT(BR45,"000")</f>
        <v>931</v>
      </c>
      <c r="AZ45" s="490">
        <f>AW45</f>
        <v>1</v>
      </c>
      <c r="BA45" s="470" t="str">
        <f>IF(O45="2回入金","92",IF(O45="早期2回","R2",IF(O45="早期3回","R3",IF(O45="早期4回","R4",IF(O45="早期6回","R6","")))))</f>
        <v>92</v>
      </c>
      <c r="BB45" s="470" t="str">
        <f>$AZ$14</f>
        <v>14</v>
      </c>
      <c r="BC45" s="470" t="s">
        <v>2065</v>
      </c>
      <c r="BD45" s="470">
        <f>ROW(C45)</f>
        <v>45</v>
      </c>
      <c r="BE45" s="470">
        <f>IF(AY45&amp;BC45=AY44&amp;BC44,BE44+1,1)</f>
        <v>1</v>
      </c>
      <c r="BF45" s="470" t="str">
        <f>AY45&amp;BC45&amp;BE45</f>
        <v>931931011</v>
      </c>
      <c r="BG45" s="470"/>
      <c r="BH45" s="470"/>
      <c r="BI45" s="470" t="str">
        <f>BR45&amp;"01"</f>
        <v>93101</v>
      </c>
      <c r="BJ45" s="470">
        <f>IF(L45=$BC$2,1,0)</f>
        <v>0</v>
      </c>
      <c r="BK45" s="470">
        <f>AZ45</f>
        <v>1</v>
      </c>
      <c r="BL45" s="865">
        <f t="shared" ca="1" si="11"/>
        <v>0</v>
      </c>
      <c r="BM45" s="865">
        <f t="shared" ca="1" si="11"/>
        <v>0</v>
      </c>
      <c r="BN45" s="494">
        <f t="shared" ca="1" si="11"/>
        <v>0</v>
      </c>
      <c r="BO45" s="494">
        <f t="shared" ca="1" si="11"/>
        <v>0</v>
      </c>
      <c r="BP45" s="491">
        <f t="shared" ca="1" si="11"/>
        <v>0</v>
      </c>
      <c r="BQ45" s="470"/>
      <c r="BR45" s="470">
        <v>931</v>
      </c>
      <c r="BZ45" s="722" t="s">
        <v>1364</v>
      </c>
      <c r="CA45" s="723" t="str">
        <f t="shared" si="0"/>
        <v>1600945</v>
      </c>
      <c r="CB45" s="724" t="s">
        <v>683</v>
      </c>
      <c r="CD45" s="145"/>
      <c r="CE45" s="145"/>
      <c r="CF45" s="145"/>
      <c r="CG45" s="34"/>
      <c r="CH45" s="65" t="s">
        <v>405</v>
      </c>
      <c r="CI45" s="65" t="s">
        <v>21</v>
      </c>
      <c r="CJ45" s="65" t="s">
        <v>607</v>
      </c>
      <c r="CK45" s="65" t="s">
        <v>216</v>
      </c>
      <c r="CL45" s="65" t="s">
        <v>90</v>
      </c>
      <c r="CM45" s="65"/>
      <c r="CN45" s="65" t="s">
        <v>843</v>
      </c>
      <c r="CO45" s="66" t="s">
        <v>235</v>
      </c>
      <c r="CP45" s="78" t="str">
        <f>DBCS(SUBSTITUTE(SUBSTITUTE(SUBSTITUTE(T(記入シート1!I61),"―","ー"),"－","‐"),"～","ー"))</f>
        <v/>
      </c>
      <c r="CQ45" s="129"/>
      <c r="CR45" s="61"/>
      <c r="CS45" s="61"/>
      <c r="CT45" s="129" t="s">
        <v>583</v>
      </c>
      <c r="CU45" s="61"/>
      <c r="CV45" s="60"/>
      <c r="CW45" s="45" t="s">
        <v>201</v>
      </c>
      <c r="CX45" s="45"/>
      <c r="CY45" s="53" t="s">
        <v>736</v>
      </c>
      <c r="CZ45" s="54" t="s">
        <v>343</v>
      </c>
      <c r="DA45" s="53"/>
      <c r="DB45" s="45" t="str">
        <f t="shared" si="3"/>
        <v>001</v>
      </c>
      <c r="DC45" s="108" t="s">
        <v>202</v>
      </c>
      <c r="DD45" s="45"/>
      <c r="DE45" s="90"/>
      <c r="DF45" s="90"/>
      <c r="DG45" s="90"/>
      <c r="DH45" s="543" t="s">
        <v>1912</v>
      </c>
      <c r="DI45" s="547" t="s">
        <v>1914</v>
      </c>
      <c r="DJ45" s="544" t="s">
        <v>1924</v>
      </c>
      <c r="DK45" s="101" t="str">
        <f t="shared" si="2"/>
        <v>107012Z1</v>
      </c>
      <c r="DL45" s="105" t="s">
        <v>1895</v>
      </c>
      <c r="DM45" s="105" t="s">
        <v>1941</v>
      </c>
      <c r="DN45" s="546" t="str">
        <f>AW26</f>
        <v>申込方法：</v>
      </c>
      <c r="DO45" s="41"/>
      <c r="DP45" s="452" t="s">
        <v>1294</v>
      </c>
      <c r="DQ45" s="452" t="s">
        <v>1168</v>
      </c>
      <c r="DR45" s="452" t="s">
        <v>1273</v>
      </c>
      <c r="DS45" s="452" t="s">
        <v>1300</v>
      </c>
      <c r="DT45" s="457" t="s">
        <v>1301</v>
      </c>
      <c r="DU45" s="459"/>
      <c r="DV45" s="34"/>
      <c r="DX45" s="115"/>
      <c r="DY45" s="115"/>
    </row>
    <row r="46" spans="1:129" ht="19.5" customHeight="1">
      <c r="A46" s="447"/>
      <c r="B46" s="249"/>
      <c r="C46" s="2175" t="s">
        <v>2058</v>
      </c>
      <c r="D46" s="2176"/>
      <c r="E46" s="2176"/>
      <c r="F46" s="2176"/>
      <c r="G46" s="2176"/>
      <c r="H46" s="2176"/>
      <c r="I46" s="2176"/>
      <c r="J46" s="1021"/>
      <c r="K46" s="1021"/>
      <c r="L46" s="2237"/>
      <c r="M46" s="2238"/>
      <c r="N46" s="2238"/>
      <c r="O46" s="2239"/>
      <c r="P46" s="2239"/>
      <c r="Q46" s="475"/>
      <c r="R46" s="475"/>
      <c r="S46" s="475"/>
      <c r="T46" s="475"/>
      <c r="U46" s="476"/>
      <c r="V46" s="474"/>
      <c r="W46" s="474"/>
      <c r="X46" s="474"/>
      <c r="Y46" s="474"/>
      <c r="Z46" s="474"/>
      <c r="AA46" s="474"/>
      <c r="AB46" s="474"/>
      <c r="AC46" s="474"/>
      <c r="AD46" s="474"/>
      <c r="AE46" s="474"/>
      <c r="AF46" s="474"/>
      <c r="AG46" s="474"/>
      <c r="AH46" s="474"/>
      <c r="AI46" s="474"/>
      <c r="AJ46" s="474"/>
      <c r="AK46" s="474"/>
      <c r="AL46" s="474"/>
      <c r="AM46" s="474"/>
      <c r="AN46" s="474"/>
      <c r="AO46" s="474"/>
      <c r="AP46" s="474"/>
      <c r="AQ46" s="474"/>
      <c r="AR46" s="474"/>
      <c r="AS46" s="474"/>
      <c r="AT46" s="647"/>
      <c r="AU46" s="234"/>
      <c r="AV46" s="850" t="str">
        <f>IF(OR(AP45="",LEFT(AP45,2)="00"),"",LEFT(AP45,2))</f>
        <v/>
      </c>
      <c r="AW46" s="489"/>
      <c r="AX46" s="489"/>
      <c r="AY46" s="489"/>
      <c r="AZ46" s="489"/>
      <c r="BA46" s="202"/>
      <c r="BB46" s="202"/>
      <c r="BC46" s="202"/>
      <c r="BD46" s="202"/>
      <c r="BE46" s="202"/>
      <c r="BF46" s="202"/>
      <c r="BG46" s="202"/>
      <c r="BH46" s="202"/>
      <c r="BI46" s="202"/>
      <c r="BJ46" s="202"/>
      <c r="BK46" s="202"/>
      <c r="BL46" s="202"/>
      <c r="BM46" s="202"/>
      <c r="BN46" s="202"/>
      <c r="BO46" s="202"/>
      <c r="BP46" s="202"/>
      <c r="BQ46" s="202"/>
      <c r="BR46" s="202"/>
      <c r="BZ46" s="722" t="s">
        <v>1365</v>
      </c>
      <c r="CA46" s="723" t="str">
        <f>TEXT(BZ46,"0000000")</f>
        <v>1601605</v>
      </c>
      <c r="CB46" s="724" t="s">
        <v>684</v>
      </c>
      <c r="CD46" s="145"/>
      <c r="CE46" s="145"/>
      <c r="CF46" s="145"/>
      <c r="CG46" s="34"/>
      <c r="CH46" s="65" t="s">
        <v>230</v>
      </c>
      <c r="CI46" s="65" t="s">
        <v>22</v>
      </c>
      <c r="CJ46" s="65">
        <v>100</v>
      </c>
      <c r="CK46" s="65" t="s">
        <v>216</v>
      </c>
      <c r="CL46" s="65" t="s">
        <v>90</v>
      </c>
      <c r="CM46" s="65"/>
      <c r="CN46" s="65"/>
      <c r="CO46" s="66" t="s">
        <v>229</v>
      </c>
      <c r="CP46" s="78" t="str">
        <f>ASC(SUBSTITUTE(SUBSTITUTE(SUBSTITUTE(SUBSTITUTE(T(記入シート1!I60),"ヴ","ウﾞ"),"―","ー"),"－","‐"),"～","ー"))</f>
        <v/>
      </c>
      <c r="CQ46" s="129"/>
      <c r="CR46" s="61"/>
      <c r="CS46" s="61"/>
      <c r="CT46" s="61"/>
      <c r="CU46" s="61"/>
      <c r="CV46" s="60"/>
      <c r="CW46" s="45" t="s">
        <v>726</v>
      </c>
      <c r="CX46" s="45"/>
      <c r="CY46" s="53"/>
      <c r="CZ46" s="54"/>
      <c r="DA46" s="53"/>
      <c r="DB46" s="45" t="str">
        <f t="shared" si="3"/>
        <v>001</v>
      </c>
      <c r="DC46" s="108" t="s">
        <v>199</v>
      </c>
      <c r="DD46" s="45"/>
      <c r="DE46" s="90"/>
      <c r="DF46" s="90"/>
      <c r="DG46" s="90"/>
      <c r="DH46" s="543" t="s">
        <v>1912</v>
      </c>
      <c r="DI46" s="547" t="s">
        <v>1915</v>
      </c>
      <c r="DJ46" s="544" t="s">
        <v>1913</v>
      </c>
      <c r="DK46" s="101" t="str">
        <f t="shared" si="2"/>
        <v>107012Z3</v>
      </c>
      <c r="DL46" s="105" t="s">
        <v>1895</v>
      </c>
      <c r="DM46" s="105" t="s">
        <v>1942</v>
      </c>
      <c r="DN46" s="546" t="str">
        <f>"3"</f>
        <v>3</v>
      </c>
      <c r="DO46" s="41"/>
      <c r="DP46" s="41"/>
      <c r="DQ46" s="465"/>
      <c r="DR46" s="465"/>
      <c r="DS46" s="465"/>
      <c r="DT46" s="465"/>
      <c r="DU46" s="465"/>
      <c r="DV46" s="34"/>
      <c r="DX46" s="115"/>
      <c r="DY46" s="115"/>
    </row>
    <row r="47" spans="1:129" ht="19.5" customHeight="1">
      <c r="A47" s="447"/>
      <c r="B47" s="249"/>
      <c r="C47" s="2251">
        <v>1</v>
      </c>
      <c r="D47" s="2252"/>
      <c r="E47" s="2252"/>
      <c r="F47" s="866" t="s">
        <v>824</v>
      </c>
      <c r="G47" s="2252">
        <v>14999</v>
      </c>
      <c r="H47" s="2252"/>
      <c r="I47" s="2253"/>
      <c r="J47" s="652"/>
      <c r="K47" s="867"/>
      <c r="L47" s="2254" t="s">
        <v>642</v>
      </c>
      <c r="M47" s="2255"/>
      <c r="N47" s="2256"/>
      <c r="O47" s="2263" t="s">
        <v>1071</v>
      </c>
      <c r="P47" s="2264"/>
      <c r="Q47" s="2269">
        <v>0</v>
      </c>
      <c r="R47" s="2270"/>
      <c r="S47" s="2270"/>
      <c r="T47" s="2271"/>
      <c r="U47" s="2278">
        <v>0</v>
      </c>
      <c r="V47" s="2279"/>
      <c r="W47" s="2279"/>
      <c r="X47" s="2280"/>
      <c r="Y47" s="2035">
        <v>0</v>
      </c>
      <c r="Z47" s="2035"/>
      <c r="AA47" s="2035"/>
      <c r="AB47" s="2035"/>
      <c r="AC47" s="2035">
        <v>0</v>
      </c>
      <c r="AD47" s="2035"/>
      <c r="AE47" s="2035"/>
      <c r="AF47" s="2035"/>
      <c r="AG47" s="2034">
        <v>0</v>
      </c>
      <c r="AH47" s="2034"/>
      <c r="AI47" s="2034"/>
      <c r="AJ47" s="2034"/>
      <c r="AK47" s="474"/>
      <c r="AL47" s="474"/>
      <c r="AM47" s="474"/>
      <c r="AN47" s="474"/>
      <c r="AO47" s="474"/>
      <c r="AP47" s="474"/>
      <c r="AQ47" s="474"/>
      <c r="AR47" s="474"/>
      <c r="AS47" s="474"/>
      <c r="AT47" s="647"/>
      <c r="AU47" s="234"/>
      <c r="AV47" s="488" t="b">
        <v>1</v>
      </c>
      <c r="AW47" s="490">
        <f>IF(AV47=TRUE,AV47*1,0)</f>
        <v>1</v>
      </c>
      <c r="AX47" s="490"/>
      <c r="AY47" s="490" t="str">
        <f>TEXT(BR47,"000")</f>
        <v>935</v>
      </c>
      <c r="AZ47" s="490">
        <f>AW47</f>
        <v>1</v>
      </c>
      <c r="BA47" s="470" t="str">
        <f>IF(O47="2回入金","92",IF(O47="早期2回","R2",IF(O47="早期3回","R3",IF(O47="早期4回","R4",IF(O47="早期6回","R6","")))))</f>
        <v>92</v>
      </c>
      <c r="BB47" s="470" t="str">
        <f>$AZ$14</f>
        <v>14</v>
      </c>
      <c r="BC47" s="470" t="s">
        <v>2067</v>
      </c>
      <c r="BD47" s="470">
        <f>ROW(C47)</f>
        <v>47</v>
      </c>
      <c r="BE47" s="470">
        <f>IF(AY47&amp;BC47=AY46&amp;BC46,BE46+1,1)</f>
        <v>1</v>
      </c>
      <c r="BF47" s="470" t="str">
        <f>AY47&amp;BC47&amp;BE47</f>
        <v>935000001</v>
      </c>
      <c r="BG47" s="470">
        <f>C47</f>
        <v>1</v>
      </c>
      <c r="BH47" s="470">
        <f>IF(BG47&gt;0,IF(LEN(G47)=0,999999999,VALUE(G47)*1),IF(LEN(G47)=0,0,VALUE(G47)*1))</f>
        <v>14999</v>
      </c>
      <c r="BI47" s="470" t="str">
        <f>BR47&amp;"01"</f>
        <v>93501</v>
      </c>
      <c r="BJ47" s="470">
        <f>IF(L47=$BC$2,1,0)</f>
        <v>1</v>
      </c>
      <c r="BK47" s="470">
        <f>AZ47</f>
        <v>1</v>
      </c>
      <c r="BL47" s="2246">
        <f ca="1">IF($AW47=0,"",INDIRECT(ADDRESS($BD47,BL$16)))</f>
        <v>0</v>
      </c>
      <c r="BM47" s="2246">
        <f ca="1">IF($AW47=0,"",INDIRECT(ADDRESS($BD47,BM$16)))</f>
        <v>0</v>
      </c>
      <c r="BN47" s="538">
        <f ca="1">IF($AW47=0,"",INDIRECT(ADDRESS($BD47,BN$16)))</f>
        <v>0</v>
      </c>
      <c r="BO47" s="538">
        <f ca="1">IF($AW47=0,"",INDIRECT(ADDRESS($BD47,BO$16)))</f>
        <v>0</v>
      </c>
      <c r="BP47" s="491">
        <f ca="1">IF($AW47=0,"",INDIRECT(ADDRESS($BD47,BP$16)))</f>
        <v>0</v>
      </c>
      <c r="BQ47" s="470"/>
      <c r="BR47" s="470">
        <v>935</v>
      </c>
      <c r="BZ47" s="722" t="s">
        <v>1366</v>
      </c>
      <c r="CA47" s="723" t="str">
        <f t="shared" si="0"/>
        <v>1601607</v>
      </c>
      <c r="CB47" s="724" t="s">
        <v>685</v>
      </c>
      <c r="CD47" s="145"/>
      <c r="CE47" s="145"/>
      <c r="CF47" s="145"/>
      <c r="CG47" s="34"/>
      <c r="CH47" s="65" t="s">
        <v>415</v>
      </c>
      <c r="CI47" s="65" t="s">
        <v>21</v>
      </c>
      <c r="CJ47" s="65">
        <v>100</v>
      </c>
      <c r="CK47" s="65" t="s">
        <v>216</v>
      </c>
      <c r="CL47" s="65" t="s">
        <v>90</v>
      </c>
      <c r="CM47" s="65"/>
      <c r="CN47" s="65" t="s">
        <v>606</v>
      </c>
      <c r="CO47" s="66" t="s">
        <v>233</v>
      </c>
      <c r="CP47" s="78" t="str">
        <f>DBCS(SUBSTITUTE(SUBSTITUTE(SUBSTITUTE(T(記入シート1!I61),"―","ー"),"－","‐"),"～","ー"))</f>
        <v/>
      </c>
      <c r="CQ47" s="129"/>
      <c r="CR47" s="61"/>
      <c r="CS47" s="61"/>
      <c r="CT47" s="61"/>
      <c r="CU47" s="61"/>
      <c r="CV47" s="60"/>
      <c r="CW47" s="45" t="s">
        <v>197</v>
      </c>
      <c r="CX47" s="45"/>
      <c r="CY47" s="53" t="s">
        <v>736</v>
      </c>
      <c r="CZ47" s="54" t="s">
        <v>343</v>
      </c>
      <c r="DA47" s="53"/>
      <c r="DB47" s="45" t="str">
        <f t="shared" si="3"/>
        <v>001</v>
      </c>
      <c r="DC47" s="108" t="s">
        <v>198</v>
      </c>
      <c r="DD47" s="45"/>
      <c r="DE47" s="90"/>
      <c r="DF47" s="90"/>
      <c r="DG47" s="90"/>
      <c r="DH47" s="543" t="s">
        <v>1916</v>
      </c>
      <c r="DI47" s="547" t="s">
        <v>1917</v>
      </c>
      <c r="DJ47" s="544" t="s">
        <v>1925</v>
      </c>
      <c r="DK47" s="101" t="str">
        <f t="shared" si="2"/>
        <v>10801302</v>
      </c>
      <c r="DL47" s="105" t="s">
        <v>1897</v>
      </c>
      <c r="DM47" s="105" t="s">
        <v>1943</v>
      </c>
      <c r="DN47" s="546" t="str">
        <f ca="1">IF(ASC(AW25)="0","",ASC(AW25))</f>
        <v/>
      </c>
      <c r="DO47" s="41"/>
      <c r="DP47" s="41"/>
      <c r="DQ47" s="465"/>
      <c r="DR47" s="465"/>
      <c r="DS47" s="465"/>
      <c r="DT47" s="465"/>
      <c r="DU47" s="465"/>
      <c r="DV47" s="34"/>
      <c r="DX47" s="115"/>
      <c r="DY47" s="115"/>
    </row>
    <row r="48" spans="1:129" ht="19.5" customHeight="1">
      <c r="A48" s="447"/>
      <c r="B48" s="249"/>
      <c r="C48" s="2247">
        <v>15000</v>
      </c>
      <c r="D48" s="2248"/>
      <c r="E48" s="2248"/>
      <c r="F48" s="863" t="s">
        <v>824</v>
      </c>
      <c r="G48" s="2249"/>
      <c r="H48" s="2249"/>
      <c r="I48" s="2250"/>
      <c r="J48" s="653"/>
      <c r="K48" s="869"/>
      <c r="L48" s="2257"/>
      <c r="M48" s="2258"/>
      <c r="N48" s="2259"/>
      <c r="O48" s="2265"/>
      <c r="P48" s="2266"/>
      <c r="Q48" s="2272"/>
      <c r="R48" s="2273"/>
      <c r="S48" s="2273"/>
      <c r="T48" s="2274"/>
      <c r="U48" s="2281"/>
      <c r="V48" s="2282"/>
      <c r="W48" s="2282"/>
      <c r="X48" s="2283"/>
      <c r="Y48" s="2035">
        <v>0</v>
      </c>
      <c r="Z48" s="2035"/>
      <c r="AA48" s="2035"/>
      <c r="AB48" s="2035"/>
      <c r="AC48" s="2035">
        <v>0</v>
      </c>
      <c r="AD48" s="2035"/>
      <c r="AE48" s="2035"/>
      <c r="AF48" s="2035"/>
      <c r="AG48" s="2034">
        <v>0</v>
      </c>
      <c r="AH48" s="2034"/>
      <c r="AI48" s="2034"/>
      <c r="AJ48" s="2034"/>
      <c r="AK48" s="474"/>
      <c r="AL48" s="474"/>
      <c r="AM48" s="474"/>
      <c r="AN48" s="474"/>
      <c r="AO48" s="474"/>
      <c r="AP48" s="474"/>
      <c r="AQ48" s="474"/>
      <c r="AR48" s="474"/>
      <c r="AS48" s="474"/>
      <c r="AT48" s="647"/>
      <c r="AU48" s="234"/>
      <c r="AV48" s="200"/>
      <c r="AW48" s="490">
        <f>AW47</f>
        <v>1</v>
      </c>
      <c r="AX48" s="490"/>
      <c r="AY48" s="490" t="str">
        <f>TEXT(BR48,"000")</f>
        <v>935</v>
      </c>
      <c r="AZ48" s="490">
        <f>AW48</f>
        <v>1</v>
      </c>
      <c r="BA48" s="470"/>
      <c r="BB48" s="470" t="str">
        <f>$AZ$14</f>
        <v>14</v>
      </c>
      <c r="BC48" s="470" t="s">
        <v>2067</v>
      </c>
      <c r="BD48" s="470">
        <f>ROW(C48)</f>
        <v>48</v>
      </c>
      <c r="BE48" s="470">
        <f>IF(AY48&amp;BC48=AY47&amp;BC47,BE47+1,1)</f>
        <v>2</v>
      </c>
      <c r="BF48" s="470" t="str">
        <f>AY48&amp;BC48&amp;BE48</f>
        <v>935000002</v>
      </c>
      <c r="BG48" s="470">
        <f>C48</f>
        <v>15000</v>
      </c>
      <c r="BH48" s="654">
        <f>IF(BG48&gt;0,IF(LEN(G48)=0,999999999,VALUE(G48)*1),IF(LEN(G48)=0,0,VALUE(G48)*1))</f>
        <v>999999999</v>
      </c>
      <c r="BI48" s="470" t="str">
        <f>BR48&amp;"01"</f>
        <v>93501</v>
      </c>
      <c r="BJ48" s="470">
        <f>BJ47</f>
        <v>1</v>
      </c>
      <c r="BK48" s="470">
        <f>AZ48</f>
        <v>1</v>
      </c>
      <c r="BL48" s="2246"/>
      <c r="BM48" s="2246"/>
      <c r="BN48" s="538">
        <f t="shared" ref="BN48:BP49" ca="1" si="12">IF($AW48=0,"",INDIRECT(ADDRESS($BD48,BN$16)))</f>
        <v>0</v>
      </c>
      <c r="BO48" s="538">
        <f t="shared" ca="1" si="12"/>
        <v>0</v>
      </c>
      <c r="BP48" s="491">
        <f t="shared" ca="1" si="12"/>
        <v>0</v>
      </c>
      <c r="BQ48" s="470"/>
      <c r="BR48" s="470">
        <v>935</v>
      </c>
      <c r="BZ48" s="722" t="s">
        <v>1325</v>
      </c>
      <c r="CA48" s="723" t="str">
        <f t="shared" si="0"/>
        <v>1602484</v>
      </c>
      <c r="CB48" s="724" t="s">
        <v>686</v>
      </c>
      <c r="CD48" s="145"/>
      <c r="CE48" s="145"/>
      <c r="CF48" s="145"/>
      <c r="CG48" s="34"/>
      <c r="CH48" s="65" t="s">
        <v>416</v>
      </c>
      <c r="CI48" s="65" t="s">
        <v>22</v>
      </c>
      <c r="CJ48" s="65">
        <v>100</v>
      </c>
      <c r="CK48" s="65" t="s">
        <v>216</v>
      </c>
      <c r="CL48" s="65" t="s">
        <v>90</v>
      </c>
      <c r="CM48" s="65"/>
      <c r="CN48" s="65"/>
      <c r="CO48" s="66" t="s">
        <v>226</v>
      </c>
      <c r="CP48" s="78" t="str">
        <f>UPPER(ASC(SUBSTITUTE(SUBSTITUTE(SUBSTITUTE(T(記入シート1!I64),"―","ー"),"－","‐"),"～","ー")))</f>
        <v/>
      </c>
      <c r="CQ48" s="129"/>
      <c r="CR48" s="61"/>
      <c r="CS48" s="61"/>
      <c r="CT48" s="61"/>
      <c r="CU48" s="61"/>
      <c r="CV48" s="60"/>
      <c r="CW48" s="45" t="s">
        <v>194</v>
      </c>
      <c r="CX48" s="45"/>
      <c r="CY48" s="53" t="s">
        <v>736</v>
      </c>
      <c r="CZ48" s="54" t="s">
        <v>343</v>
      </c>
      <c r="DA48" s="53"/>
      <c r="DB48" s="45" t="str">
        <f t="shared" si="3"/>
        <v>001</v>
      </c>
      <c r="DC48" s="108" t="s">
        <v>195</v>
      </c>
      <c r="DD48" s="45"/>
      <c r="DE48" s="90"/>
      <c r="DF48" s="90"/>
      <c r="DG48" s="90"/>
      <c r="DH48" s="543" t="s">
        <v>1916</v>
      </c>
      <c r="DI48" s="547" t="s">
        <v>1918</v>
      </c>
      <c r="DJ48" s="544" t="s">
        <v>1903</v>
      </c>
      <c r="DK48" s="101" t="str">
        <f t="shared" si="2"/>
        <v>10801303</v>
      </c>
      <c r="DL48" s="105" t="s">
        <v>1897</v>
      </c>
      <c r="DM48" s="105" t="s">
        <v>1944</v>
      </c>
      <c r="DN48" s="546" t="str">
        <f>IF(記入シート1!AV69=TRUE,記入シート1!AV36,記入シート1!AV72)</f>
        <v>00</v>
      </c>
      <c r="DO48" s="41"/>
      <c r="DP48" s="41"/>
      <c r="DQ48" s="465"/>
      <c r="DR48" s="465"/>
      <c r="DS48" s="465"/>
      <c r="DT48" s="465"/>
      <c r="DU48" s="465"/>
      <c r="DV48" s="34"/>
      <c r="DX48" s="115"/>
      <c r="DY48" s="115"/>
    </row>
    <row r="49" spans="1:129" ht="19.5" hidden="1" customHeight="1">
      <c r="A49" s="447" t="s">
        <v>1234</v>
      </c>
      <c r="B49" s="249"/>
      <c r="C49" s="2247"/>
      <c r="D49" s="2248"/>
      <c r="E49" s="2248"/>
      <c r="F49" s="863" t="s">
        <v>824</v>
      </c>
      <c r="G49" s="2248"/>
      <c r="H49" s="2248"/>
      <c r="I49" s="2287"/>
      <c r="J49" s="655"/>
      <c r="K49" s="868"/>
      <c r="L49" s="2260"/>
      <c r="M49" s="2261"/>
      <c r="N49" s="2262"/>
      <c r="O49" s="2267"/>
      <c r="P49" s="2268"/>
      <c r="Q49" s="2275"/>
      <c r="R49" s="2276"/>
      <c r="S49" s="2276"/>
      <c r="T49" s="2277"/>
      <c r="U49" s="2284"/>
      <c r="V49" s="2285"/>
      <c r="W49" s="2285"/>
      <c r="X49" s="2286"/>
      <c r="Y49" s="2035">
        <v>0</v>
      </c>
      <c r="Z49" s="2035"/>
      <c r="AA49" s="2035"/>
      <c r="AB49" s="2035"/>
      <c r="AC49" s="2035">
        <v>0</v>
      </c>
      <c r="AD49" s="2035"/>
      <c r="AE49" s="2035"/>
      <c r="AF49" s="2035"/>
      <c r="AG49" s="2034">
        <v>0</v>
      </c>
      <c r="AH49" s="2034"/>
      <c r="AI49" s="2034"/>
      <c r="AJ49" s="2034"/>
      <c r="AK49" s="474"/>
      <c r="AL49" s="474"/>
      <c r="AM49" s="474"/>
      <c r="AN49" s="474"/>
      <c r="AO49" s="474"/>
      <c r="AP49" s="474"/>
      <c r="AQ49" s="474"/>
      <c r="AR49" s="474"/>
      <c r="AS49" s="474"/>
      <c r="AT49" s="647"/>
      <c r="AU49" s="234"/>
      <c r="AV49" s="200"/>
      <c r="AW49" s="490">
        <f>AW48</f>
        <v>1</v>
      </c>
      <c r="AX49" s="490"/>
      <c r="AY49" s="490" t="str">
        <f>TEXT(BR49,"000")</f>
        <v>935</v>
      </c>
      <c r="AZ49" s="490">
        <f>AW49</f>
        <v>1</v>
      </c>
      <c r="BA49" s="470"/>
      <c r="BB49" s="470" t="str">
        <f>$AZ$14</f>
        <v>14</v>
      </c>
      <c r="BC49" s="470" t="s">
        <v>2067</v>
      </c>
      <c r="BD49" s="470">
        <f>ROW(C49)</f>
        <v>49</v>
      </c>
      <c r="BE49" s="470">
        <f>IF(AY49&amp;BC49=AY48&amp;BC48,BE48+1,1)</f>
        <v>3</v>
      </c>
      <c r="BF49" s="470" t="str">
        <f>AY49&amp;BC49&amp;BE49</f>
        <v>935000003</v>
      </c>
      <c r="BG49" s="470">
        <f>C49</f>
        <v>0</v>
      </c>
      <c r="BH49" s="470">
        <f>IF(BG49&gt;0,IF(LEN(G49)=0,999999999,VALUE(G49)*1),IF(LEN(G49)=0,0,VALUE(G49)*1))</f>
        <v>0</v>
      </c>
      <c r="BI49" s="470" t="str">
        <f>BR49&amp;"01"</f>
        <v>93501</v>
      </c>
      <c r="BJ49" s="470">
        <f>BJ48</f>
        <v>1</v>
      </c>
      <c r="BK49" s="470">
        <f>AZ49</f>
        <v>1</v>
      </c>
      <c r="BL49" s="2246"/>
      <c r="BM49" s="2246"/>
      <c r="BN49" s="538">
        <f t="shared" ca="1" si="12"/>
        <v>0</v>
      </c>
      <c r="BO49" s="538">
        <f t="shared" ca="1" si="12"/>
        <v>0</v>
      </c>
      <c r="BP49" s="491">
        <f t="shared" ca="1" si="12"/>
        <v>0</v>
      </c>
      <c r="BQ49" s="470"/>
      <c r="BR49" s="470">
        <v>935</v>
      </c>
      <c r="BT49" s="21"/>
      <c r="BU49" s="21"/>
      <c r="BV49" s="21"/>
      <c r="BY49" s="19"/>
      <c r="BZ49" s="722">
        <v>1602485</v>
      </c>
      <c r="CA49" s="723" t="str">
        <f t="shared" si="0"/>
        <v>1602485</v>
      </c>
      <c r="CB49" s="724" t="s">
        <v>687</v>
      </c>
      <c r="CD49" s="145"/>
      <c r="CE49" s="145"/>
      <c r="CF49" s="145"/>
      <c r="CG49" s="34"/>
      <c r="CH49" s="65" t="s">
        <v>24</v>
      </c>
      <c r="CI49" s="65" t="s">
        <v>22</v>
      </c>
      <c r="CJ49" s="65">
        <v>8</v>
      </c>
      <c r="CK49" s="65" t="s">
        <v>216</v>
      </c>
      <c r="CL49" s="65" t="s">
        <v>90</v>
      </c>
      <c r="CM49" s="65"/>
      <c r="CN49" s="65"/>
      <c r="CO49" s="66" t="s">
        <v>556</v>
      </c>
      <c r="CP49" s="78" t="str">
        <f>IF(記入シート1!AV69=TRUE,CP20,ASC(記入シート1!J71&amp;"-"&amp;記入シート1!M71))</f>
        <v>-</v>
      </c>
      <c r="CQ49" s="129"/>
      <c r="CR49" s="61"/>
      <c r="CS49" s="61"/>
      <c r="CT49" s="61"/>
      <c r="CU49" s="61"/>
      <c r="CV49" s="60"/>
      <c r="CW49" s="45" t="s">
        <v>727</v>
      </c>
      <c r="CX49" s="45"/>
      <c r="CY49" s="288"/>
      <c r="CZ49" s="289"/>
      <c r="DA49" s="289"/>
      <c r="DB49" s="45" t="str">
        <f t="shared" si="3"/>
        <v>101</v>
      </c>
      <c r="DC49" s="108" t="s">
        <v>192</v>
      </c>
      <c r="DD49" s="131"/>
      <c r="DE49" s="90"/>
      <c r="DF49" s="90"/>
      <c r="DG49" s="90"/>
      <c r="DH49" s="543" t="s">
        <v>1916</v>
      </c>
      <c r="DI49" s="547" t="s">
        <v>1922</v>
      </c>
      <c r="DJ49" s="544" t="s">
        <v>1925</v>
      </c>
      <c r="DK49" s="101" t="str">
        <f t="shared" si="2"/>
        <v>10801304</v>
      </c>
      <c r="DL49" s="105" t="s">
        <v>1897</v>
      </c>
      <c r="DM49" s="105" t="s">
        <v>1945</v>
      </c>
      <c r="DN49" s="546" t="str">
        <f>"11301027"</f>
        <v>11301027</v>
      </c>
      <c r="DO49" s="41"/>
      <c r="DP49" s="41"/>
      <c r="DQ49" s="465"/>
      <c r="DR49" s="465"/>
      <c r="DS49" s="465"/>
      <c r="DT49" s="465"/>
      <c r="DU49" s="465"/>
      <c r="DV49" s="34"/>
      <c r="DX49" s="115"/>
      <c r="DY49" s="115"/>
    </row>
    <row r="50" spans="1:129" ht="19.5" customHeight="1" thickBot="1">
      <c r="A50" s="447"/>
      <c r="B50" s="249"/>
      <c r="C50" s="2288" t="s">
        <v>3658</v>
      </c>
      <c r="D50" s="2289"/>
      <c r="E50" s="2289"/>
      <c r="F50" s="2289"/>
      <c r="G50" s="2289"/>
      <c r="H50" s="2289"/>
      <c r="I50" s="2290"/>
      <c r="J50" s="961"/>
      <c r="K50" s="962"/>
      <c r="L50" s="2294" t="s">
        <v>642</v>
      </c>
      <c r="M50" s="2295"/>
      <c r="N50" s="2296"/>
      <c r="O50" s="1984" t="s">
        <v>1071</v>
      </c>
      <c r="P50" s="1985"/>
      <c r="Q50" s="1995">
        <v>0</v>
      </c>
      <c r="R50" s="1995"/>
      <c r="S50" s="1995"/>
      <c r="T50" s="1995"/>
      <c r="U50" s="1996">
        <v>0</v>
      </c>
      <c r="V50" s="1996"/>
      <c r="W50" s="1996"/>
      <c r="X50" s="1996"/>
      <c r="Y50" s="1997">
        <v>0</v>
      </c>
      <c r="Z50" s="1997"/>
      <c r="AA50" s="1997"/>
      <c r="AB50" s="1997"/>
      <c r="AC50" s="1997">
        <v>0</v>
      </c>
      <c r="AD50" s="1997"/>
      <c r="AE50" s="1997"/>
      <c r="AF50" s="1997"/>
      <c r="AG50" s="1996">
        <v>0</v>
      </c>
      <c r="AH50" s="1996"/>
      <c r="AI50" s="1996"/>
      <c r="AJ50" s="1996"/>
      <c r="AK50" s="874"/>
      <c r="AL50" s="874"/>
      <c r="AM50" s="874"/>
      <c r="AN50" s="874"/>
      <c r="AO50" s="874"/>
      <c r="AP50" s="874"/>
      <c r="AQ50" s="874"/>
      <c r="AR50" s="874"/>
      <c r="AS50" s="874"/>
      <c r="AT50" s="875"/>
      <c r="AU50" s="234"/>
      <c r="AV50" s="200" t="b">
        <v>1</v>
      </c>
      <c r="AW50" s="610"/>
      <c r="AX50" s="610"/>
      <c r="AY50" s="610"/>
      <c r="AZ50" s="610"/>
      <c r="BA50" s="611"/>
      <c r="BB50" s="611"/>
      <c r="BC50" s="611"/>
      <c r="BD50" s="611"/>
      <c r="BE50" s="611"/>
      <c r="BF50" s="611"/>
      <c r="BG50" s="611"/>
      <c r="BH50" s="611"/>
      <c r="BI50" s="611"/>
      <c r="BJ50" s="611"/>
      <c r="BK50" s="611"/>
      <c r="BL50" s="775"/>
      <c r="BM50" s="775"/>
      <c r="BN50" s="611"/>
      <c r="BO50" s="611"/>
      <c r="BP50" s="611"/>
      <c r="BQ50" s="611"/>
      <c r="BR50" s="611"/>
      <c r="BT50" s="21"/>
      <c r="BU50" s="21"/>
      <c r="BV50" s="21"/>
      <c r="BY50" s="19"/>
      <c r="BZ50" s="722" t="s">
        <v>1326</v>
      </c>
      <c r="CA50" s="723" t="str">
        <f t="shared" si="0"/>
        <v>1604187</v>
      </c>
      <c r="CB50" s="724" t="s">
        <v>1375</v>
      </c>
      <c r="CD50" s="145"/>
      <c r="CE50" s="145"/>
      <c r="CF50" s="145"/>
      <c r="CG50" s="34"/>
      <c r="CH50" s="65" t="s">
        <v>23</v>
      </c>
      <c r="CI50" s="65" t="s">
        <v>21</v>
      </c>
      <c r="CJ50" s="65">
        <v>255</v>
      </c>
      <c r="CK50" s="65" t="s">
        <v>216</v>
      </c>
      <c r="CL50" s="65" t="s">
        <v>90</v>
      </c>
      <c r="CM50" s="65"/>
      <c r="CN50" s="65"/>
      <c r="CO50" s="66" t="s">
        <v>558</v>
      </c>
      <c r="CP50" s="78" t="str">
        <f>IF(記入シート1!AV69=TRUE,CP21,T(記入シート1!AW72)&amp;"　"&amp;SUBSTITUTE(SUBSTITUTE(SUBSTITUTE(SUBSTITUTE(T(記入シート1!N72),"　","")," ",""),"―","ー"),"－","‐")&amp;"　"&amp;SUBSTITUTE(SUBSTITUTE(SUBSTITUTE(SUBSTITUTE(T(記入シート1!V72),"　","")," ",""),"―","ー"),"－","‐")&amp;"　"&amp;SUBSTITUTE(SUBSTITUTE(SUBSTITUTE(SUBSTITUTE(T(記入シート1!AD72),"　","")," ",""),"―","ー"),"－","‐")&amp;IF(記入シート1!AL72="","","　"&amp;SUBSTITUTE(SUBSTITUTE(SUBSTITUTE(SUBSTITUTE(T(記入シート1!AL72),"　","")," ",""),"―","ー"),"－","‐")))</f>
        <v>選択して下さい　　　</v>
      </c>
      <c r="CQ50" s="129"/>
      <c r="CR50" s="61"/>
      <c r="CS50" s="61"/>
      <c r="CT50" s="61"/>
      <c r="CU50" s="61"/>
      <c r="CV50" s="60"/>
      <c r="CW50" s="45" t="s">
        <v>91</v>
      </c>
      <c r="CX50" s="45" t="s">
        <v>753</v>
      </c>
      <c r="CY50" s="53" t="s">
        <v>759</v>
      </c>
      <c r="CZ50" s="54" t="s">
        <v>349</v>
      </c>
      <c r="DA50" s="53"/>
      <c r="DB50" s="45" t="str">
        <f t="shared" si="3"/>
        <v>101</v>
      </c>
      <c r="DC50" s="108" t="s">
        <v>190</v>
      </c>
      <c r="DD50" s="131"/>
      <c r="DE50" s="90"/>
      <c r="DF50" s="90"/>
      <c r="DG50" s="90"/>
      <c r="DH50" s="543" t="s">
        <v>1916</v>
      </c>
      <c r="DI50" s="547" t="s">
        <v>1919</v>
      </c>
      <c r="DJ50" s="544" t="s">
        <v>1925</v>
      </c>
      <c r="DK50" s="101" t="str">
        <f t="shared" si="2"/>
        <v>10801305</v>
      </c>
      <c r="DL50" s="105" t="s">
        <v>1897</v>
      </c>
      <c r="DM50" s="105" t="s">
        <v>1946</v>
      </c>
      <c r="DN50" s="546" t="str">
        <f>"13550000"</f>
        <v>13550000</v>
      </c>
      <c r="DO50" s="41"/>
      <c r="DP50" s="41"/>
      <c r="DQ50" s="465"/>
      <c r="DR50" s="465"/>
      <c r="DS50" s="465"/>
      <c r="DT50" s="465"/>
      <c r="DU50" s="465"/>
      <c r="DV50" s="34"/>
      <c r="DX50" s="115"/>
      <c r="DY50" s="115"/>
    </row>
    <row r="51" spans="1:129" ht="19.5" customHeight="1" thickTop="1" thickBot="1">
      <c r="A51" s="447"/>
      <c r="B51" s="249"/>
      <c r="C51" s="2291"/>
      <c r="D51" s="2292"/>
      <c r="E51" s="2292"/>
      <c r="F51" s="2292"/>
      <c r="G51" s="2292"/>
      <c r="H51" s="2292"/>
      <c r="I51" s="2293"/>
      <c r="J51" s="1986" t="s">
        <v>3659</v>
      </c>
      <c r="K51" s="1986"/>
      <c r="L51" s="1986"/>
      <c r="M51" s="1986"/>
      <c r="N51" s="1987"/>
      <c r="O51" s="1988" t="s">
        <v>2072</v>
      </c>
      <c r="P51" s="1989"/>
      <c r="Q51" s="1990" t="s">
        <v>3708</v>
      </c>
      <c r="R51" s="1991"/>
      <c r="S51" s="1991"/>
      <c r="T51" s="1991"/>
      <c r="U51" s="1991"/>
      <c r="V51" s="1991"/>
      <c r="W51" s="1991"/>
      <c r="X51" s="1991"/>
      <c r="Y51" s="1988" t="s">
        <v>2074</v>
      </c>
      <c r="Z51" s="1989"/>
      <c r="AA51" s="1992" t="s">
        <v>3821</v>
      </c>
      <c r="AB51" s="1993"/>
      <c r="AC51" s="1993"/>
      <c r="AD51" s="1993"/>
      <c r="AE51" s="1993"/>
      <c r="AF51" s="1993"/>
      <c r="AG51" s="1993"/>
      <c r="AH51" s="1993"/>
      <c r="AI51" s="1993"/>
      <c r="AJ51" s="1994"/>
      <c r="AK51" s="967"/>
      <c r="AL51" s="901"/>
      <c r="AM51" s="901"/>
      <c r="AN51" s="901"/>
      <c r="AO51" s="901"/>
      <c r="AP51" s="901"/>
      <c r="AQ51" s="901"/>
      <c r="AR51" s="901"/>
      <c r="AS51" s="901"/>
      <c r="AT51" s="968"/>
      <c r="AU51" s="234"/>
      <c r="AV51" s="200"/>
      <c r="AW51" s="610"/>
      <c r="AX51" s="610"/>
      <c r="AY51" s="610"/>
      <c r="AZ51" s="610"/>
      <c r="BA51" s="611"/>
      <c r="BB51" s="611"/>
      <c r="BC51" s="611"/>
      <c r="BD51" s="611"/>
      <c r="BE51" s="611"/>
      <c r="BF51" s="611"/>
      <c r="BG51" s="611"/>
      <c r="BH51" s="611"/>
      <c r="BI51" s="611"/>
      <c r="BJ51" s="611"/>
      <c r="BK51" s="611"/>
      <c r="BL51" s="775"/>
      <c r="BM51" s="775"/>
      <c r="BN51" s="611"/>
      <c r="BO51" s="611"/>
      <c r="BP51" s="611"/>
      <c r="BQ51" s="611"/>
      <c r="BR51" s="611"/>
      <c r="BT51" s="21"/>
      <c r="BU51" s="21"/>
      <c r="BV51" s="21"/>
      <c r="BW51" s="21"/>
      <c r="BY51" s="19"/>
      <c r="BZ51" s="722" t="s">
        <v>1327</v>
      </c>
      <c r="CA51" s="723" t="str">
        <f>TEXT(BZ51,"0000000")</f>
        <v>1605143</v>
      </c>
      <c r="CB51" s="724" t="s">
        <v>1376</v>
      </c>
      <c r="CD51" s="145"/>
      <c r="CE51" s="145"/>
      <c r="CF51" s="145"/>
      <c r="CG51" s="34"/>
      <c r="CH51" s="65" t="s">
        <v>885</v>
      </c>
      <c r="CI51" s="65" t="s">
        <v>22</v>
      </c>
      <c r="CJ51" s="65">
        <v>255</v>
      </c>
      <c r="CK51" s="65" t="s">
        <v>216</v>
      </c>
      <c r="CL51" s="65" t="s">
        <v>90</v>
      </c>
      <c r="CM51" s="65"/>
      <c r="CN51" s="65"/>
      <c r="CO51" s="66" t="s">
        <v>559</v>
      </c>
      <c r="CP51" s="78" t="str">
        <f>IF(記入シート1!AV69=TRUE,CP19,ASC(記入シート1!J70)&amp;" "&amp;ASC(SUBSTITUTE(SUBSTITUTE(SUBSTITUTE(SUBSTITUTE(SUBSTITUTE(記入シート1!O70,"　","")," ",""),"ヴ","ウﾞ"),"・",""),"－","‐"))&amp;" "&amp;ASC(SUBSTITUTE(SUBSTITUTE(SUBSTITUTE(SUBSTITUTE(SUBSTITUTE(記入シート1!Z70,"　","")," ",""),"ヴ","ウﾞ"),"・",""),"－","‐"))&amp;IF(記入シート1!AK70="",""," "&amp;ASC(SUBSTITUTE(SUBSTITUTE(SUBSTITUTE(SUBSTITUTE(SUBSTITUTE(記入シート1!AK70,"　","")," ",""),"ヴ","ウﾞ"),"・",""),"－","‐"))))</f>
        <v xml:space="preserve">(自動表示)  </v>
      </c>
      <c r="CQ51" s="129"/>
      <c r="CR51" s="61"/>
      <c r="CS51" s="61"/>
      <c r="CT51" s="61"/>
      <c r="CU51" s="61"/>
      <c r="CV51" s="60"/>
      <c r="CW51" s="45" t="s">
        <v>187</v>
      </c>
      <c r="CX51" s="45" t="s">
        <v>90</v>
      </c>
      <c r="CY51" s="53" t="s">
        <v>740</v>
      </c>
      <c r="CZ51" s="54" t="s">
        <v>354</v>
      </c>
      <c r="DA51" s="290" t="s">
        <v>630</v>
      </c>
      <c r="DB51" s="45" t="str">
        <f t="shared" si="3"/>
        <v>101</v>
      </c>
      <c r="DC51" s="108" t="s">
        <v>188</v>
      </c>
      <c r="DD51" s="131"/>
      <c r="DE51" s="90"/>
      <c r="DF51" s="90"/>
      <c r="DG51" s="90"/>
      <c r="DH51" s="543" t="s">
        <v>1916</v>
      </c>
      <c r="DI51" s="547" t="s">
        <v>1920</v>
      </c>
      <c r="DJ51" s="544" t="s">
        <v>1925</v>
      </c>
      <c r="DK51" s="101" t="str">
        <f t="shared" si="2"/>
        <v>10801306</v>
      </c>
      <c r="DL51" s="105" t="s">
        <v>1897</v>
      </c>
      <c r="DM51" s="105" t="s">
        <v>1947</v>
      </c>
      <c r="DN51" s="546" t="str">
        <f>"13550000"</f>
        <v>13550000</v>
      </c>
      <c r="DO51" s="41"/>
      <c r="DP51" s="41"/>
      <c r="DQ51" s="465"/>
      <c r="DR51" s="465"/>
      <c r="DS51" s="465"/>
      <c r="DT51" s="465"/>
      <c r="DU51" s="465"/>
      <c r="DV51" s="34"/>
      <c r="DX51" s="115"/>
      <c r="DY51" s="115"/>
    </row>
    <row r="52" spans="1:129" ht="19.5" hidden="1" customHeight="1">
      <c r="A52" s="447" t="s">
        <v>1234</v>
      </c>
      <c r="B52" s="249"/>
      <c r="C52" s="862"/>
      <c r="D52" s="863"/>
      <c r="E52" s="863"/>
      <c r="F52" s="863"/>
      <c r="G52" s="863"/>
      <c r="H52" s="863"/>
      <c r="I52" s="863"/>
      <c r="J52" s="864"/>
      <c r="K52" s="864"/>
      <c r="L52" s="487"/>
      <c r="M52" s="861"/>
      <c r="N52" s="475"/>
      <c r="O52" s="483"/>
      <c r="P52" s="483"/>
      <c r="Q52" s="2033">
        <v>0</v>
      </c>
      <c r="R52" s="2033"/>
      <c r="S52" s="2033"/>
      <c r="T52" s="2033"/>
      <c r="U52" s="2034">
        <v>0</v>
      </c>
      <c r="V52" s="2034"/>
      <c r="W52" s="2034"/>
      <c r="X52" s="2034"/>
      <c r="Y52" s="2035">
        <v>0</v>
      </c>
      <c r="Z52" s="2035"/>
      <c r="AA52" s="2035"/>
      <c r="AB52" s="2035"/>
      <c r="AC52" s="2035">
        <v>0</v>
      </c>
      <c r="AD52" s="2035"/>
      <c r="AE52" s="2035"/>
      <c r="AF52" s="2035"/>
      <c r="AG52" s="2034">
        <v>0</v>
      </c>
      <c r="AH52" s="2034"/>
      <c r="AI52" s="2034"/>
      <c r="AJ52" s="2034"/>
      <c r="AK52" s="474"/>
      <c r="AL52" s="474"/>
      <c r="AM52" s="474"/>
      <c r="AN52" s="474"/>
      <c r="AO52" s="474"/>
      <c r="AP52" s="474"/>
      <c r="AQ52" s="474"/>
      <c r="AR52" s="474"/>
      <c r="AS52" s="474"/>
      <c r="AT52" s="647"/>
      <c r="AU52" s="234"/>
      <c r="AV52" s="200"/>
      <c r="AW52" s="610"/>
      <c r="AX52" s="610"/>
      <c r="AY52" s="610"/>
      <c r="AZ52" s="610"/>
      <c r="BA52" s="611"/>
      <c r="BB52" s="611"/>
      <c r="BC52" s="611"/>
      <c r="BD52" s="611"/>
      <c r="BE52" s="611"/>
      <c r="BF52" s="611"/>
      <c r="BG52" s="611"/>
      <c r="BH52" s="611"/>
      <c r="BI52" s="611"/>
      <c r="BJ52" s="611"/>
      <c r="BK52" s="611"/>
      <c r="BL52" s="775"/>
      <c r="BM52" s="775"/>
      <c r="BN52" s="611"/>
      <c r="BO52" s="611"/>
      <c r="BP52" s="611"/>
      <c r="BQ52" s="611"/>
      <c r="BR52" s="611"/>
      <c r="BT52" s="21"/>
      <c r="BU52" s="21"/>
      <c r="BV52" s="21"/>
      <c r="BW52" s="21"/>
      <c r="BZ52" s="722" t="s">
        <v>1367</v>
      </c>
      <c r="CA52" s="723" t="str">
        <f t="shared" si="0"/>
        <v>1605144</v>
      </c>
      <c r="CB52" s="724" t="s">
        <v>1377</v>
      </c>
      <c r="CD52" s="145"/>
      <c r="CE52" s="145"/>
      <c r="CF52" s="145"/>
      <c r="CG52" s="36"/>
      <c r="CH52" s="448" t="s">
        <v>1169</v>
      </c>
      <c r="CI52" s="448" t="s">
        <v>1244</v>
      </c>
      <c r="CJ52" s="448">
        <v>13</v>
      </c>
      <c r="CK52" s="448"/>
      <c r="CL52" s="448"/>
      <c r="CM52" s="448"/>
      <c r="CN52" s="448"/>
      <c r="CO52" s="449" t="s">
        <v>1245</v>
      </c>
      <c r="CP52" s="450" t="str">
        <f>ASC(記入シート1!I76)&amp;"-"&amp;ASC(記入シート1!O76)&amp;"-"&amp;ASC(記入シート1!T76)</f>
        <v>--</v>
      </c>
      <c r="CQ52" s="129"/>
      <c r="CR52" s="61"/>
      <c r="CS52" s="61"/>
      <c r="CT52" s="61"/>
      <c r="CU52" s="61"/>
      <c r="CV52" s="60"/>
      <c r="CW52" s="45" t="s">
        <v>184</v>
      </c>
      <c r="CX52" s="45" t="s">
        <v>90</v>
      </c>
      <c r="CY52" s="53" t="s">
        <v>741</v>
      </c>
      <c r="CZ52" s="54" t="s">
        <v>343</v>
      </c>
      <c r="DA52" s="53" t="s">
        <v>754</v>
      </c>
      <c r="DB52" s="45" t="str">
        <f t="shared" si="3"/>
        <v>101</v>
      </c>
      <c r="DC52" s="108" t="s">
        <v>185</v>
      </c>
      <c r="DD52" s="131"/>
      <c r="DE52" s="118"/>
      <c r="DF52" s="90"/>
      <c r="DG52" s="90"/>
      <c r="DH52" s="543" t="s">
        <v>1916</v>
      </c>
      <c r="DI52" s="547" t="s">
        <v>1921</v>
      </c>
      <c r="DJ52" s="544" t="s">
        <v>1925</v>
      </c>
      <c r="DK52" s="101" t="str">
        <f t="shared" si="2"/>
        <v>10801307</v>
      </c>
      <c r="DL52" s="105" t="s">
        <v>1897</v>
      </c>
      <c r="DM52" s="105" t="s">
        <v>1948</v>
      </c>
      <c r="DN52" s="546" t="str">
        <f>"13550000"</f>
        <v>13550000</v>
      </c>
      <c r="DO52" s="41"/>
      <c r="DP52" s="41"/>
      <c r="DQ52" s="465"/>
      <c r="DR52" s="465"/>
      <c r="DS52" s="465"/>
      <c r="DT52" s="465"/>
      <c r="DU52" s="465"/>
      <c r="DV52" s="34"/>
      <c r="DX52" s="115"/>
      <c r="DY52" s="115"/>
    </row>
    <row r="53" spans="1:129" ht="19.5" hidden="1" customHeight="1">
      <c r="A53" s="447" t="s">
        <v>1234</v>
      </c>
      <c r="B53" s="249"/>
      <c r="C53" s="862"/>
      <c r="D53" s="863"/>
      <c r="E53" s="863"/>
      <c r="F53" s="863"/>
      <c r="G53" s="863"/>
      <c r="H53" s="863"/>
      <c r="I53" s="863"/>
      <c r="J53" s="864"/>
      <c r="K53" s="864"/>
      <c r="L53" s="487"/>
      <c r="M53" s="861"/>
      <c r="N53" s="475"/>
      <c r="O53" s="475"/>
      <c r="P53" s="475"/>
      <c r="Q53" s="475"/>
      <c r="R53" s="475"/>
      <c r="S53" s="475"/>
      <c r="T53" s="475"/>
      <c r="U53" s="476"/>
      <c r="V53" s="474"/>
      <c r="W53" s="474"/>
      <c r="X53" s="474"/>
      <c r="Y53" s="474"/>
      <c r="Z53" s="474"/>
      <c r="AA53" s="474"/>
      <c r="AB53" s="474"/>
      <c r="AC53" s="474"/>
      <c r="AD53" s="474"/>
      <c r="AE53" s="474"/>
      <c r="AF53" s="474"/>
      <c r="AG53" s="474"/>
      <c r="AH53" s="474"/>
      <c r="AI53" s="474"/>
      <c r="AJ53" s="474"/>
      <c r="AK53" s="474"/>
      <c r="AL53" s="474"/>
      <c r="AM53" s="474"/>
      <c r="AN53" s="474"/>
      <c r="AO53" s="474"/>
      <c r="AP53" s="474"/>
      <c r="AQ53" s="474"/>
      <c r="AR53" s="474"/>
      <c r="AS53" s="474"/>
      <c r="AT53" s="647"/>
      <c r="AU53" s="234"/>
      <c r="AV53" s="200"/>
      <c r="BW53" s="21"/>
      <c r="BZ53" s="722" t="s">
        <v>1328</v>
      </c>
      <c r="CA53" s="723" t="str">
        <f t="shared" si="0"/>
        <v>1607288</v>
      </c>
      <c r="CB53" s="724" t="s">
        <v>1378</v>
      </c>
      <c r="CC53" s="21"/>
      <c r="CD53" s="145"/>
      <c r="CE53" s="145"/>
      <c r="CF53" s="145"/>
      <c r="CG53" s="37"/>
      <c r="CH53" s="65" t="s">
        <v>223</v>
      </c>
      <c r="CI53" s="65" t="s">
        <v>22</v>
      </c>
      <c r="CJ53" s="65">
        <v>128</v>
      </c>
      <c r="CK53" s="65" t="s">
        <v>216</v>
      </c>
      <c r="CL53" s="65" t="s">
        <v>90</v>
      </c>
      <c r="CM53" s="65"/>
      <c r="CN53" s="65"/>
      <c r="CO53" s="66" t="s">
        <v>222</v>
      </c>
      <c r="CP53" s="78" t="str">
        <f>ASC(記入シート1!I77)</f>
        <v/>
      </c>
      <c r="CQ53" s="129"/>
      <c r="CR53" s="61"/>
      <c r="CS53" s="61"/>
      <c r="CT53" s="61"/>
      <c r="CU53" s="61"/>
      <c r="CV53" s="60"/>
      <c r="CW53" s="45" t="s">
        <v>181</v>
      </c>
      <c r="CX53" s="45" t="s">
        <v>90</v>
      </c>
      <c r="CY53" s="53" t="s">
        <v>736</v>
      </c>
      <c r="CZ53" s="54" t="s">
        <v>343</v>
      </c>
      <c r="DA53" s="53"/>
      <c r="DB53" s="45" t="str">
        <f t="shared" si="3"/>
        <v>101</v>
      </c>
      <c r="DC53" s="108" t="s">
        <v>182</v>
      </c>
      <c r="DD53" s="131"/>
      <c r="DE53" s="118"/>
      <c r="DF53" s="90"/>
      <c r="DG53" s="90"/>
      <c r="DH53" s="543" t="s">
        <v>1986</v>
      </c>
      <c r="DI53" s="547" t="s">
        <v>1987</v>
      </c>
      <c r="DJ53" s="544" t="s">
        <v>1988</v>
      </c>
      <c r="DK53" s="101" t="str">
        <f t="shared" si="2"/>
        <v>11101332</v>
      </c>
      <c r="DL53" s="105" t="s">
        <v>1981</v>
      </c>
      <c r="DM53" s="105" t="s">
        <v>1989</v>
      </c>
      <c r="DN53" s="546">
        <f>IF(AR33="",0,LEFT(AR33,1))</f>
        <v>0</v>
      </c>
      <c r="DO53" s="41"/>
      <c r="DP53" s="41"/>
      <c r="DQ53" s="465"/>
      <c r="DR53" s="465"/>
      <c r="DS53" s="465"/>
      <c r="DT53" s="465"/>
      <c r="DU53" s="465"/>
      <c r="DV53" s="34"/>
      <c r="DX53" s="115"/>
      <c r="DY53" s="115"/>
    </row>
    <row r="54" spans="1:129" ht="19.5" hidden="1" customHeight="1" thickBot="1">
      <c r="A54" s="447" t="s">
        <v>1234</v>
      </c>
      <c r="B54" s="249"/>
      <c r="C54" s="862"/>
      <c r="D54" s="863"/>
      <c r="E54" s="863"/>
      <c r="F54" s="863"/>
      <c r="G54" s="863"/>
      <c r="H54" s="863"/>
      <c r="I54" s="863"/>
      <c r="J54" s="864"/>
      <c r="K54" s="864"/>
      <c r="L54" s="487"/>
      <c r="M54" s="861"/>
      <c r="N54" s="475"/>
      <c r="O54" s="475"/>
      <c r="P54" s="475"/>
      <c r="Q54" s="475"/>
      <c r="R54" s="475"/>
      <c r="S54" s="475"/>
      <c r="T54" s="475"/>
      <c r="U54" s="476"/>
      <c r="V54" s="474"/>
      <c r="W54" s="474"/>
      <c r="X54" s="474"/>
      <c r="Y54" s="474"/>
      <c r="Z54" s="474"/>
      <c r="AA54" s="474"/>
      <c r="AB54" s="474"/>
      <c r="AC54" s="474"/>
      <c r="AD54" s="474"/>
      <c r="AE54" s="474"/>
      <c r="AF54" s="474"/>
      <c r="AG54" s="474"/>
      <c r="AH54" s="474"/>
      <c r="AI54" s="474"/>
      <c r="AJ54" s="474"/>
      <c r="AK54" s="474"/>
      <c r="AL54" s="474"/>
      <c r="AM54" s="474"/>
      <c r="AN54" s="474"/>
      <c r="AO54" s="474"/>
      <c r="AP54" s="474"/>
      <c r="AQ54" s="474"/>
      <c r="AR54" s="474"/>
      <c r="AS54" s="474"/>
      <c r="AT54" s="647"/>
      <c r="AU54" s="234"/>
      <c r="AV54" s="200"/>
      <c r="BT54" s="21"/>
      <c r="BU54" s="21"/>
      <c r="BV54" s="21"/>
      <c r="BW54" s="21"/>
      <c r="BZ54" s="469" t="s">
        <v>1329</v>
      </c>
      <c r="CA54" s="723" t="str">
        <f t="shared" si="0"/>
        <v>1607805</v>
      </c>
      <c r="CB54" s="614" t="s">
        <v>1379</v>
      </c>
      <c r="CC54" s="21"/>
      <c r="CD54" s="145"/>
      <c r="CE54" s="145"/>
      <c r="CF54" s="145"/>
      <c r="CG54" s="37"/>
      <c r="CH54" s="196" t="s">
        <v>417</v>
      </c>
      <c r="CI54" s="196" t="s">
        <v>63</v>
      </c>
      <c r="CJ54" s="196">
        <v>1</v>
      </c>
      <c r="CK54" s="196" t="s">
        <v>216</v>
      </c>
      <c r="CL54" s="196" t="s">
        <v>90</v>
      </c>
      <c r="CM54" s="196" t="s">
        <v>594</v>
      </c>
      <c r="CN54" s="196"/>
      <c r="CO54" s="197" t="s">
        <v>219</v>
      </c>
      <c r="CP54" s="198">
        <v>1</v>
      </c>
      <c r="CQ54" s="129"/>
      <c r="CR54" s="61"/>
      <c r="CS54" s="61"/>
      <c r="CT54" s="61"/>
      <c r="CU54" s="61"/>
      <c r="CV54" s="60"/>
      <c r="CW54" s="45" t="s">
        <v>178</v>
      </c>
      <c r="CX54" s="45"/>
      <c r="CY54" s="53" t="s">
        <v>736</v>
      </c>
      <c r="CZ54" s="54" t="s">
        <v>343</v>
      </c>
      <c r="DA54" s="53"/>
      <c r="DB54" s="45" t="str">
        <f t="shared" si="3"/>
        <v>101</v>
      </c>
      <c r="DC54" s="108" t="s">
        <v>179</v>
      </c>
      <c r="DD54" s="131"/>
      <c r="DE54" s="118"/>
      <c r="DF54" s="90"/>
      <c r="DG54" s="90"/>
      <c r="DH54" s="543" t="s">
        <v>2083</v>
      </c>
      <c r="DI54" s="547" t="s">
        <v>2084</v>
      </c>
      <c r="DJ54" s="544"/>
      <c r="DK54" s="101" t="str">
        <f t="shared" si="2"/>
        <v>10901314</v>
      </c>
      <c r="DL54" s="105" t="s">
        <v>1977</v>
      </c>
      <c r="DM54" s="105" t="s">
        <v>2085</v>
      </c>
      <c r="DN54" s="546" t="str">
        <f>ASC(AV26)</f>
        <v>01</v>
      </c>
      <c r="DO54" s="41"/>
      <c r="DP54" s="41"/>
      <c r="DQ54" s="465"/>
      <c r="DR54" s="465"/>
      <c r="DS54" s="465"/>
      <c r="DT54" s="465"/>
      <c r="DU54" s="465"/>
      <c r="DV54" s="34"/>
      <c r="DX54" s="115"/>
      <c r="DY54" s="115"/>
    </row>
    <row r="55" spans="1:129" ht="19.5" hidden="1" customHeight="1" thickTop="1" thickBot="1">
      <c r="A55" s="447"/>
      <c r="B55" s="249"/>
      <c r="C55" s="742"/>
      <c r="D55" s="742"/>
      <c r="E55" s="742"/>
      <c r="F55" s="742"/>
      <c r="G55" s="742"/>
      <c r="H55" s="742"/>
      <c r="I55" s="742"/>
      <c r="J55" s="615"/>
      <c r="K55" s="615"/>
      <c r="L55" s="743"/>
      <c r="M55" s="743"/>
      <c r="N55" s="744"/>
      <c r="O55" s="744"/>
      <c r="P55" s="744"/>
      <c r="Q55" s="744"/>
      <c r="R55" s="744"/>
      <c r="S55" s="744"/>
      <c r="T55" s="744"/>
      <c r="U55" s="745"/>
      <c r="V55" s="745"/>
      <c r="W55" s="745"/>
      <c r="X55" s="745"/>
      <c r="Y55" s="745"/>
      <c r="Z55" s="745"/>
      <c r="AA55" s="745"/>
      <c r="AB55" s="745"/>
      <c r="AC55" s="745"/>
      <c r="AD55" s="745"/>
      <c r="AE55" s="745"/>
      <c r="AF55" s="745"/>
      <c r="AG55" s="745"/>
      <c r="AH55" s="745"/>
      <c r="AI55" s="745"/>
      <c r="AJ55" s="745"/>
      <c r="AK55" s="745"/>
      <c r="AL55" s="745"/>
      <c r="AM55" s="745"/>
      <c r="AN55" s="745"/>
      <c r="AO55" s="745"/>
      <c r="AP55" s="745"/>
      <c r="AQ55" s="745"/>
      <c r="AR55" s="745"/>
      <c r="AS55" s="745"/>
      <c r="AT55" s="745"/>
      <c r="AU55" s="234"/>
      <c r="AV55" s="200"/>
      <c r="AW55" s="201"/>
      <c r="AX55" s="201"/>
      <c r="AY55" s="201"/>
      <c r="AZ55" s="201"/>
      <c r="BA55" s="21"/>
      <c r="BB55" s="21"/>
      <c r="BC55" s="21"/>
      <c r="BD55" s="21"/>
      <c r="BE55" s="21"/>
      <c r="BF55" s="21"/>
      <c r="BG55" s="21"/>
      <c r="BH55" s="21"/>
      <c r="BI55" s="21"/>
      <c r="BJ55" s="21"/>
      <c r="BK55" s="21"/>
      <c r="BL55" s="21"/>
      <c r="BM55" s="21"/>
      <c r="BN55" s="21"/>
      <c r="BO55" s="21"/>
      <c r="BP55" s="21"/>
      <c r="BQ55" s="21"/>
      <c r="BR55" s="21"/>
      <c r="BZ55" s="469" t="s">
        <v>952</v>
      </c>
      <c r="CA55" s="725" t="str">
        <f t="shared" si="0"/>
        <v>1608562</v>
      </c>
      <c r="CB55" s="614" t="s">
        <v>958</v>
      </c>
      <c r="CC55" s="21"/>
      <c r="CD55" s="145"/>
      <c r="CE55" s="145"/>
      <c r="CF55" s="145"/>
      <c r="CG55" s="38"/>
      <c r="CH55" s="196" t="s">
        <v>418</v>
      </c>
      <c r="CI55" s="196" t="s">
        <v>63</v>
      </c>
      <c r="CJ55" s="196">
        <v>8</v>
      </c>
      <c r="CK55" s="196" t="s">
        <v>216</v>
      </c>
      <c r="CL55" s="196" t="s">
        <v>216</v>
      </c>
      <c r="CM55" s="196"/>
      <c r="CN55" s="196"/>
      <c r="CO55" s="197" t="s">
        <v>215</v>
      </c>
      <c r="CP55" s="198"/>
      <c r="CQ55" s="129"/>
      <c r="CR55" s="61"/>
      <c r="CS55" s="61"/>
      <c r="CT55" s="61"/>
      <c r="CU55" s="61"/>
      <c r="CV55" s="60"/>
      <c r="CW55" s="45" t="s">
        <v>174</v>
      </c>
      <c r="CX55" s="45"/>
      <c r="CY55" s="53" t="s">
        <v>736</v>
      </c>
      <c r="CZ55" s="54" t="s">
        <v>343</v>
      </c>
      <c r="DA55" s="53"/>
      <c r="DB55" s="45" t="str">
        <f t="shared" si="3"/>
        <v>101</v>
      </c>
      <c r="DC55" s="108" t="s">
        <v>175</v>
      </c>
      <c r="DD55" s="131"/>
      <c r="DE55" s="118"/>
      <c r="DF55" s="90"/>
      <c r="DG55" s="90"/>
      <c r="DH55" s="543" t="s">
        <v>2151</v>
      </c>
      <c r="DI55" s="547" t="s">
        <v>2170</v>
      </c>
      <c r="DJ55" s="770"/>
      <c r="DK55" s="101" t="str">
        <f t="shared" si="2"/>
        <v>93101PV2</v>
      </c>
      <c r="DL55" s="105" t="s">
        <v>2065</v>
      </c>
      <c r="DM55" s="105" t="s">
        <v>2179</v>
      </c>
      <c r="DN55" s="546" t="str">
        <f>T(記入シート1!I67)</f>
        <v/>
      </c>
      <c r="DO55" s="41"/>
      <c r="DP55" s="41"/>
      <c r="DQ55" s="465"/>
      <c r="DR55" s="465"/>
      <c r="DS55" s="465"/>
      <c r="DT55" s="465"/>
      <c r="DU55" s="465"/>
      <c r="DV55" s="36"/>
      <c r="DX55" s="115"/>
      <c r="DY55" s="115"/>
    </row>
    <row r="56" spans="1:129" ht="19.5" customHeight="1" thickBot="1">
      <c r="A56" s="447"/>
      <c r="B56" s="249"/>
      <c r="C56" s="952"/>
      <c r="D56" s="952"/>
      <c r="E56" s="952"/>
      <c r="F56" s="952"/>
      <c r="G56" s="952"/>
      <c r="H56" s="952"/>
      <c r="I56" s="952"/>
      <c r="J56" s="952"/>
      <c r="K56" s="952"/>
      <c r="L56" s="953"/>
      <c r="M56" s="1023"/>
      <c r="N56" s="229"/>
      <c r="O56" s="229"/>
      <c r="P56" s="229"/>
      <c r="Q56" s="229"/>
      <c r="R56" s="229"/>
      <c r="S56" s="229"/>
      <c r="T56" s="229"/>
      <c r="U56" s="323"/>
      <c r="V56" s="323"/>
      <c r="W56" s="323"/>
      <c r="X56" s="323"/>
      <c r="Y56" s="323"/>
      <c r="Z56" s="323"/>
      <c r="AA56" s="323"/>
      <c r="AB56" s="323"/>
      <c r="AC56" s="323"/>
      <c r="AD56" s="323"/>
      <c r="AE56" s="323"/>
      <c r="AF56" s="323"/>
      <c r="AG56" s="323"/>
      <c r="AH56" s="323"/>
      <c r="AI56" s="323"/>
      <c r="AJ56" s="323"/>
      <c r="AK56" s="323"/>
      <c r="AL56" s="323"/>
      <c r="AM56" s="323"/>
      <c r="AN56" s="323"/>
      <c r="AO56" s="323"/>
      <c r="AP56" s="323"/>
      <c r="AQ56" s="323"/>
      <c r="AR56" s="323"/>
      <c r="AS56" s="323"/>
      <c r="AT56" s="323"/>
      <c r="AU56" s="234"/>
      <c r="AV56" s="488"/>
      <c r="AW56" s="201"/>
      <c r="AX56" s="201"/>
      <c r="AY56" s="201"/>
      <c r="AZ56" s="201"/>
      <c r="BA56" s="21"/>
      <c r="BB56" s="21"/>
      <c r="BC56" s="21"/>
      <c r="BD56" s="21"/>
      <c r="BE56" s="21"/>
      <c r="BF56" s="21"/>
      <c r="BG56" s="21"/>
      <c r="BH56" s="21"/>
      <c r="BI56" s="21"/>
      <c r="BJ56" s="21"/>
      <c r="BK56" s="21"/>
      <c r="BL56" s="21"/>
      <c r="BM56" s="21"/>
      <c r="BN56" s="21"/>
      <c r="BO56" s="21"/>
      <c r="BP56" s="21"/>
      <c r="BQ56" s="21"/>
      <c r="BR56" s="21"/>
      <c r="BW56" s="21"/>
      <c r="BZ56" s="469" t="s">
        <v>953</v>
      </c>
      <c r="CA56" s="725" t="str">
        <f t="shared" si="0"/>
        <v>1608563</v>
      </c>
      <c r="CB56" s="614" t="s">
        <v>959</v>
      </c>
      <c r="CD56" s="145"/>
      <c r="CE56" s="145"/>
      <c r="CF56" s="145"/>
      <c r="CG56" s="38"/>
      <c r="CH56" s="65" t="s">
        <v>419</v>
      </c>
      <c r="CI56" s="65" t="s">
        <v>21</v>
      </c>
      <c r="CJ56" s="65">
        <v>255</v>
      </c>
      <c r="CK56" s="65" t="s">
        <v>216</v>
      </c>
      <c r="CL56" s="65" t="s">
        <v>83</v>
      </c>
      <c r="CM56" s="65"/>
      <c r="CN56" s="65" t="s">
        <v>888</v>
      </c>
      <c r="CO56" s="66" t="s">
        <v>210</v>
      </c>
      <c r="CP56" s="78" t="str">
        <f>LEFT(SUBSTITUTE(記入シート1!I81,CHAR(10),"　"),255)</f>
        <v/>
      </c>
      <c r="CQ56" s="129"/>
      <c r="CR56" s="61"/>
      <c r="CS56" s="61"/>
      <c r="CT56" s="61"/>
      <c r="CU56" s="61"/>
      <c r="CV56" s="60"/>
      <c r="CW56" s="45" t="s">
        <v>170</v>
      </c>
      <c r="CX56" s="45"/>
      <c r="CY56" s="53" t="s">
        <v>736</v>
      </c>
      <c r="CZ56" s="54" t="s">
        <v>343</v>
      </c>
      <c r="DA56" s="53"/>
      <c r="DB56" s="45" t="str">
        <f t="shared" si="3"/>
        <v>101</v>
      </c>
      <c r="DC56" s="108" t="s">
        <v>171</v>
      </c>
      <c r="DD56" s="131"/>
      <c r="DE56" s="118"/>
      <c r="DF56" s="90"/>
      <c r="DG56" s="90"/>
      <c r="DH56" s="543" t="s">
        <v>2151</v>
      </c>
      <c r="DI56" s="547" t="s">
        <v>2171</v>
      </c>
      <c r="DJ56" s="771"/>
      <c r="DK56" s="101" t="str">
        <f t="shared" si="2"/>
        <v>93101PV3</v>
      </c>
      <c r="DL56" s="105" t="s">
        <v>2065</v>
      </c>
      <c r="DM56" s="105" t="s">
        <v>2180</v>
      </c>
      <c r="DN56" s="546" t="str">
        <f>"4"</f>
        <v>4</v>
      </c>
      <c r="DO56" s="41"/>
      <c r="DP56" s="41"/>
      <c r="DQ56" s="465"/>
      <c r="DR56" s="465"/>
      <c r="DS56" s="465"/>
      <c r="DT56" s="465"/>
      <c r="DU56" s="465"/>
      <c r="DV56" s="37"/>
      <c r="DX56" s="115"/>
      <c r="DY56" s="115"/>
    </row>
    <row r="57" spans="1:129" ht="19.5" customHeight="1" thickTop="1">
      <c r="A57" s="447"/>
      <c r="B57" s="249"/>
      <c r="C57" s="1998" t="s">
        <v>449</v>
      </c>
      <c r="D57" s="1999"/>
      <c r="E57" s="1999"/>
      <c r="F57" s="1999"/>
      <c r="G57" s="1999"/>
      <c r="H57" s="1999"/>
      <c r="I57" s="2000"/>
      <c r="J57" s="2004" t="s">
        <v>845</v>
      </c>
      <c r="K57" s="2005"/>
      <c r="L57" s="2008" t="s">
        <v>846</v>
      </c>
      <c r="M57" s="2009"/>
      <c r="N57" s="2010"/>
      <c r="O57" s="2014" t="s">
        <v>1059</v>
      </c>
      <c r="P57" s="2015"/>
      <c r="Q57" s="2014" t="s">
        <v>2053</v>
      </c>
      <c r="R57" s="2018"/>
      <c r="S57" s="2018"/>
      <c r="T57" s="2015"/>
      <c r="U57" s="2014" t="s">
        <v>2054</v>
      </c>
      <c r="V57" s="2018"/>
      <c r="W57" s="2018"/>
      <c r="X57" s="2015"/>
      <c r="Y57" s="2014" t="s">
        <v>2055</v>
      </c>
      <c r="Z57" s="2018"/>
      <c r="AA57" s="2018"/>
      <c r="AB57" s="2015"/>
      <c r="AC57" s="2014" t="s">
        <v>2056</v>
      </c>
      <c r="AD57" s="2018"/>
      <c r="AE57" s="2018"/>
      <c r="AF57" s="2015"/>
      <c r="AG57" s="2014" t="s">
        <v>2057</v>
      </c>
      <c r="AH57" s="2018"/>
      <c r="AI57" s="2018"/>
      <c r="AJ57" s="2015"/>
      <c r="AK57" s="2189" t="s">
        <v>2052</v>
      </c>
      <c r="AL57" s="2190"/>
      <c r="AM57" s="2190"/>
      <c r="AN57" s="2190"/>
      <c r="AO57" s="2190"/>
      <c r="AP57" s="2190"/>
      <c r="AQ57" s="2190"/>
      <c r="AR57" s="2190"/>
      <c r="AS57" s="2190"/>
      <c r="AT57" s="2191"/>
      <c r="AU57" s="234"/>
      <c r="AV57" s="488"/>
      <c r="AW57" s="201"/>
      <c r="AX57" s="201"/>
      <c r="AY57" s="201"/>
      <c r="AZ57" s="201"/>
      <c r="BA57" s="21"/>
      <c r="BB57" s="21"/>
      <c r="BC57" s="21"/>
      <c r="BD57" s="21"/>
      <c r="BE57" s="21"/>
      <c r="BF57" s="21"/>
      <c r="BG57" s="21"/>
      <c r="BH57" s="21"/>
      <c r="BI57" s="21"/>
      <c r="BJ57" s="21"/>
      <c r="BK57" s="21"/>
      <c r="BL57" s="21"/>
      <c r="BM57" s="21"/>
      <c r="BN57" s="21"/>
      <c r="BO57" s="21"/>
      <c r="BP57" s="21"/>
      <c r="BQ57" s="21"/>
      <c r="BR57" s="21"/>
      <c r="BZ57" s="469" t="s">
        <v>954</v>
      </c>
      <c r="CA57" s="725" t="str">
        <f t="shared" si="0"/>
        <v>1608564</v>
      </c>
      <c r="CB57" s="614" t="s">
        <v>960</v>
      </c>
      <c r="CD57" s="145"/>
      <c r="CE57" s="145"/>
      <c r="CF57" s="145"/>
      <c r="CG57" s="38"/>
      <c r="CH57" s="65" t="s">
        <v>420</v>
      </c>
      <c r="CI57" s="65" t="s">
        <v>63</v>
      </c>
      <c r="CJ57" s="65">
        <v>2</v>
      </c>
      <c r="CK57" s="65" t="s">
        <v>216</v>
      </c>
      <c r="CL57" s="65" t="s">
        <v>90</v>
      </c>
      <c r="CM57" s="65" t="s">
        <v>595</v>
      </c>
      <c r="CN57" s="65"/>
      <c r="CO57" s="66" t="s">
        <v>213</v>
      </c>
      <c r="CP57" s="78" t="str">
        <f>LEFT(記入シート1!AL88,2)</f>
        <v>99</v>
      </c>
      <c r="CQ57" s="129"/>
      <c r="CR57" s="61"/>
      <c r="CS57" s="61"/>
      <c r="CT57" s="61"/>
      <c r="CU57" s="61"/>
      <c r="CV57" s="60"/>
      <c r="CW57" s="45" t="s">
        <v>167</v>
      </c>
      <c r="CX57" s="45" t="s">
        <v>710</v>
      </c>
      <c r="CY57" s="53" t="s">
        <v>742</v>
      </c>
      <c r="CZ57" s="54" t="s">
        <v>343</v>
      </c>
      <c r="DA57" s="53" t="s">
        <v>711</v>
      </c>
      <c r="DB57" s="45" t="str">
        <f t="shared" si="3"/>
        <v>101</v>
      </c>
      <c r="DC57" s="108" t="s">
        <v>168</v>
      </c>
      <c r="DD57" s="131"/>
      <c r="DE57" s="118"/>
      <c r="DF57" s="90"/>
      <c r="DG57" s="90"/>
      <c r="DH57" s="543" t="s">
        <v>2151</v>
      </c>
      <c r="DI57" s="547" t="s">
        <v>3242</v>
      </c>
      <c r="DJ57" s="771" t="s">
        <v>3262</v>
      </c>
      <c r="DK57" s="101" t="str">
        <f t="shared" si="2"/>
        <v>93101PV4</v>
      </c>
      <c r="DL57" s="105" t="s">
        <v>2065</v>
      </c>
      <c r="DM57" s="105" t="s">
        <v>3252</v>
      </c>
      <c r="DN57" s="546">
        <f>AV115*1</f>
        <v>1</v>
      </c>
      <c r="DO57" s="41"/>
      <c r="DP57" s="41"/>
      <c r="DQ57" s="465"/>
      <c r="DR57" s="465"/>
      <c r="DS57" s="465"/>
      <c r="DT57" s="465"/>
      <c r="DU57" s="465"/>
      <c r="DV57" s="37"/>
      <c r="DX57" s="115"/>
      <c r="DY57" s="115"/>
    </row>
    <row r="58" spans="1:129" ht="19.5" customHeight="1">
      <c r="A58" s="447"/>
      <c r="B58" s="249"/>
      <c r="C58" s="2001"/>
      <c r="D58" s="2002"/>
      <c r="E58" s="2002"/>
      <c r="F58" s="2002"/>
      <c r="G58" s="2002"/>
      <c r="H58" s="2002"/>
      <c r="I58" s="2003"/>
      <c r="J58" s="2006"/>
      <c r="K58" s="2007"/>
      <c r="L58" s="2011"/>
      <c r="M58" s="2012"/>
      <c r="N58" s="2013"/>
      <c r="O58" s="2016"/>
      <c r="P58" s="2017"/>
      <c r="Q58" s="2016"/>
      <c r="R58" s="2019"/>
      <c r="S58" s="2019"/>
      <c r="T58" s="2017"/>
      <c r="U58" s="2016"/>
      <c r="V58" s="2019"/>
      <c r="W58" s="2019"/>
      <c r="X58" s="2017"/>
      <c r="Y58" s="2016"/>
      <c r="Z58" s="2019"/>
      <c r="AA58" s="2019"/>
      <c r="AB58" s="2017"/>
      <c r="AC58" s="2016"/>
      <c r="AD58" s="2019"/>
      <c r="AE58" s="2019"/>
      <c r="AF58" s="2017"/>
      <c r="AG58" s="2016"/>
      <c r="AH58" s="2019"/>
      <c r="AI58" s="2019"/>
      <c r="AJ58" s="2017"/>
      <c r="AK58" s="2192"/>
      <c r="AL58" s="2193"/>
      <c r="AM58" s="2193"/>
      <c r="AN58" s="2193"/>
      <c r="AO58" s="2193"/>
      <c r="AP58" s="2193"/>
      <c r="AQ58" s="2193"/>
      <c r="AR58" s="2193"/>
      <c r="AS58" s="2193"/>
      <c r="AT58" s="2194"/>
      <c r="AU58" s="234"/>
      <c r="AV58" s="488"/>
      <c r="BZ58" s="469" t="s">
        <v>955</v>
      </c>
      <c r="CA58" s="725" t="str">
        <f t="shared" si="0"/>
        <v>1608565</v>
      </c>
      <c r="CB58" s="614" t="s">
        <v>961</v>
      </c>
      <c r="CD58" s="145"/>
      <c r="CE58" s="145"/>
      <c r="CF58" s="145"/>
      <c r="CG58" s="38"/>
      <c r="CH58" s="65" t="s">
        <v>421</v>
      </c>
      <c r="CI58" s="65" t="s">
        <v>21</v>
      </c>
      <c r="CJ58" s="65">
        <v>255</v>
      </c>
      <c r="CK58" s="65" t="s">
        <v>216</v>
      </c>
      <c r="CL58" s="65" t="s">
        <v>83</v>
      </c>
      <c r="CM58" s="65"/>
      <c r="CN58" s="606"/>
      <c r="CO58" s="66" t="s">
        <v>207</v>
      </c>
      <c r="CP58" s="78" t="str">
        <f>LEFT(SUBSTITUTE(記入シート1!I85,CHAR(10),"　"),255)</f>
        <v/>
      </c>
      <c r="CQ58" s="129"/>
      <c r="CR58" s="61"/>
      <c r="CS58" s="61"/>
      <c r="CT58" s="61"/>
      <c r="CU58" s="61"/>
      <c r="CV58" s="60"/>
      <c r="CW58" s="45" t="s">
        <v>88</v>
      </c>
      <c r="CX58" s="45" t="s">
        <v>629</v>
      </c>
      <c r="CY58" s="53" t="s">
        <v>743</v>
      </c>
      <c r="CZ58" s="54" t="s">
        <v>349</v>
      </c>
      <c r="DA58" s="53"/>
      <c r="DB58" s="45" t="str">
        <f>LEFT(DC56,3)</f>
        <v>101</v>
      </c>
      <c r="DC58" s="108" t="s">
        <v>165</v>
      </c>
      <c r="DD58" s="131"/>
      <c r="DE58" s="118"/>
      <c r="DF58" s="90"/>
      <c r="DG58" s="90"/>
      <c r="DH58" s="543" t="s">
        <v>2151</v>
      </c>
      <c r="DI58" s="547" t="s">
        <v>3243</v>
      </c>
      <c r="DJ58" s="771" t="s">
        <v>3262</v>
      </c>
      <c r="DK58" s="101" t="str">
        <f t="shared" si="2"/>
        <v>93101PV5</v>
      </c>
      <c r="DL58" s="105" t="s">
        <v>2065</v>
      </c>
      <c r="DM58" s="105" t="s">
        <v>3253</v>
      </c>
      <c r="DN58" s="546">
        <f>AV116*1</f>
        <v>1</v>
      </c>
      <c r="DO58" s="41"/>
      <c r="DP58" s="41"/>
      <c r="DQ58" s="465"/>
      <c r="DR58" s="465"/>
      <c r="DS58" s="465"/>
      <c r="DT58" s="465"/>
      <c r="DU58" s="465"/>
      <c r="DV58" s="38"/>
      <c r="DX58" s="115"/>
      <c r="DY58" s="115"/>
    </row>
    <row r="59" spans="1:129" ht="19.5" customHeight="1">
      <c r="A59" s="447"/>
      <c r="B59" s="249"/>
      <c r="C59" s="2166" t="s">
        <v>2245</v>
      </c>
      <c r="D59" s="2167"/>
      <c r="E59" s="2167"/>
      <c r="F59" s="2167"/>
      <c r="G59" s="2167"/>
      <c r="H59" s="2167"/>
      <c r="I59" s="2167"/>
      <c r="J59" s="864"/>
      <c r="K59" s="864"/>
      <c r="L59" s="487"/>
      <c r="M59" s="861"/>
      <c r="N59" s="475"/>
      <c r="O59" s="475"/>
      <c r="P59" s="475"/>
      <c r="Q59" s="475"/>
      <c r="R59" s="475"/>
      <c r="S59" s="475"/>
      <c r="T59" s="475"/>
      <c r="U59" s="476"/>
      <c r="V59" s="474"/>
      <c r="W59" s="474"/>
      <c r="X59" s="474"/>
      <c r="Y59" s="474"/>
      <c r="Z59" s="474"/>
      <c r="AA59" s="474"/>
      <c r="AB59" s="474"/>
      <c r="AC59" s="474"/>
      <c r="AD59" s="474"/>
      <c r="AE59" s="474"/>
      <c r="AF59" s="474"/>
      <c r="AG59" s="474"/>
      <c r="AH59" s="474"/>
      <c r="AI59" s="474"/>
      <c r="AJ59" s="474"/>
      <c r="AK59" s="474"/>
      <c r="AL59" s="474"/>
      <c r="AM59" s="474"/>
      <c r="AN59" s="474"/>
      <c r="AO59" s="474"/>
      <c r="AP59" s="474"/>
      <c r="AQ59" s="474"/>
      <c r="AR59" s="474"/>
      <c r="AS59" s="474"/>
      <c r="AT59" s="647"/>
      <c r="AU59" s="234"/>
      <c r="AV59" s="651" t="b">
        <f>IF(OR(AV60=TRUE,AV64=TRUE,AV65=TRUE,AV67=TRUE,AV68=TRUE,AV69=TRUE,AV70=TRUE),TRUE,FALSE)</f>
        <v>1</v>
      </c>
      <c r="AW59" s="618" t="s">
        <v>2069</v>
      </c>
      <c r="AY59" s="489" t="s">
        <v>7</v>
      </c>
      <c r="AZ59" s="489" t="s">
        <v>454</v>
      </c>
      <c r="BA59" s="202" t="s">
        <v>908</v>
      </c>
      <c r="BB59" s="202" t="s">
        <v>0</v>
      </c>
      <c r="BC59" s="202" t="s">
        <v>455</v>
      </c>
      <c r="BD59" s="202" t="s">
        <v>975</v>
      </c>
      <c r="BE59" s="202"/>
      <c r="BF59" s="202"/>
      <c r="BG59" s="202"/>
      <c r="BH59" s="202"/>
      <c r="BI59" s="202" t="s">
        <v>456</v>
      </c>
      <c r="BJ59" s="202" t="s">
        <v>457</v>
      </c>
      <c r="BK59" s="202" t="s">
        <v>458</v>
      </c>
      <c r="BL59" s="202" t="s">
        <v>973</v>
      </c>
      <c r="BM59" s="202" t="s">
        <v>974</v>
      </c>
      <c r="BN59" s="202" t="s">
        <v>459</v>
      </c>
      <c r="BO59" s="202" t="s">
        <v>460</v>
      </c>
      <c r="BP59" s="202" t="s">
        <v>461</v>
      </c>
      <c r="BQ59" s="202"/>
      <c r="BR59" s="202" t="s">
        <v>7</v>
      </c>
      <c r="BT59" s="21"/>
      <c r="BU59" s="21"/>
      <c r="BV59" s="21"/>
      <c r="BZ59" s="469" t="s">
        <v>956</v>
      </c>
      <c r="CA59" s="725" t="str">
        <f t="shared" si="0"/>
        <v>1608566</v>
      </c>
      <c r="CB59" s="614" t="s">
        <v>962</v>
      </c>
      <c r="CD59" s="145"/>
      <c r="CE59" s="145"/>
      <c r="CF59" s="145"/>
      <c r="CG59" s="38"/>
      <c r="CH59" s="282" t="s">
        <v>890</v>
      </c>
      <c r="CI59" s="65" t="s">
        <v>19</v>
      </c>
      <c r="CJ59" s="282">
        <v>13</v>
      </c>
      <c r="CK59" s="65" t="s">
        <v>216</v>
      </c>
      <c r="CL59" s="65" t="s">
        <v>20</v>
      </c>
      <c r="CM59" s="282"/>
      <c r="CN59" s="283"/>
      <c r="CO59" s="82" t="s">
        <v>889</v>
      </c>
      <c r="CP59" s="83" t="str">
        <f>ASC(記入シート1!I89)</f>
        <v/>
      </c>
      <c r="CQ59" s="129"/>
      <c r="CR59" s="61"/>
      <c r="CS59" s="61"/>
      <c r="CT59" s="61"/>
      <c r="CU59" s="61"/>
      <c r="CV59" s="60"/>
      <c r="CW59" s="45" t="s">
        <v>162</v>
      </c>
      <c r="CX59" s="45"/>
      <c r="CY59" s="130"/>
      <c r="CZ59" s="130" t="s">
        <v>359</v>
      </c>
      <c r="DA59" s="130"/>
      <c r="DB59" s="45" t="str">
        <f t="shared" si="3"/>
        <v>101</v>
      </c>
      <c r="DC59" s="108" t="s">
        <v>163</v>
      </c>
      <c r="DD59" s="131"/>
      <c r="DE59" s="118"/>
      <c r="DF59" s="90"/>
      <c r="DG59" s="90"/>
      <c r="DH59" s="543" t="s">
        <v>2151</v>
      </c>
      <c r="DI59" s="547" t="s">
        <v>3244</v>
      </c>
      <c r="DJ59" s="771"/>
      <c r="DK59" s="101" t="str">
        <f t="shared" si="2"/>
        <v>93101PV6</v>
      </c>
      <c r="DL59" s="105" t="s">
        <v>2065</v>
      </c>
      <c r="DM59" s="105" t="s">
        <v>3254</v>
      </c>
      <c r="DN59" s="546" t="str">
        <f>IF(AV115=TRUE,ASC(Q112),0)</f>
        <v/>
      </c>
      <c r="DO59" s="41"/>
      <c r="DP59" s="41"/>
      <c r="DQ59" s="465"/>
      <c r="DR59" s="465"/>
      <c r="DS59" s="465"/>
      <c r="DT59" s="465"/>
      <c r="DU59" s="465"/>
      <c r="DV59" s="38"/>
      <c r="DX59" s="115"/>
      <c r="DY59" s="115"/>
    </row>
    <row r="60" spans="1:129" ht="19.5" customHeight="1" thickBot="1">
      <c r="A60" s="447"/>
      <c r="B60" s="249"/>
      <c r="C60" s="1952" t="s">
        <v>2070</v>
      </c>
      <c r="D60" s="1953"/>
      <c r="E60" s="1953"/>
      <c r="F60" s="1953"/>
      <c r="G60" s="1953"/>
      <c r="H60" s="1953"/>
      <c r="I60" s="1954"/>
      <c r="J60" s="1169"/>
      <c r="K60" s="1169"/>
      <c r="L60" s="2309" t="s">
        <v>2243</v>
      </c>
      <c r="M60" s="2295"/>
      <c r="N60" s="2296"/>
      <c r="O60" s="2032" t="s">
        <v>1071</v>
      </c>
      <c r="P60" s="2032"/>
      <c r="Q60" s="1995">
        <v>0</v>
      </c>
      <c r="R60" s="1995"/>
      <c r="S60" s="1995"/>
      <c r="T60" s="1995"/>
      <c r="U60" s="1996">
        <v>0</v>
      </c>
      <c r="V60" s="1996"/>
      <c r="W60" s="1996"/>
      <c r="X60" s="1996"/>
      <c r="Y60" s="1997">
        <v>0</v>
      </c>
      <c r="Z60" s="1997"/>
      <c r="AA60" s="1997"/>
      <c r="AB60" s="1997"/>
      <c r="AC60" s="1997">
        <v>0</v>
      </c>
      <c r="AD60" s="1997"/>
      <c r="AE60" s="1997"/>
      <c r="AF60" s="1997"/>
      <c r="AG60" s="1996">
        <v>0</v>
      </c>
      <c r="AH60" s="1996"/>
      <c r="AI60" s="1996"/>
      <c r="AJ60" s="1996"/>
      <c r="AK60" s="854"/>
      <c r="AL60" s="855"/>
      <c r="AM60" s="855"/>
      <c r="AN60" s="856"/>
      <c r="AO60" s="856"/>
      <c r="AP60" s="856"/>
      <c r="AQ60" s="856"/>
      <c r="AR60" s="857" t="s">
        <v>3355</v>
      </c>
      <c r="AS60" s="2310" t="s">
        <v>3356</v>
      </c>
      <c r="AT60" s="2311"/>
      <c r="AU60" s="234"/>
      <c r="AV60" s="488" t="b">
        <v>1</v>
      </c>
      <c r="AW60" s="490">
        <f>IF(AV60=TRUE,AV60*1,0)</f>
        <v>1</v>
      </c>
      <c r="AX60" s="490" t="s">
        <v>2070</v>
      </c>
      <c r="AY60" s="490" t="str">
        <f>TEXT(BR60,"000")</f>
        <v>936</v>
      </c>
      <c r="AZ60" s="490">
        <f>AW60</f>
        <v>1</v>
      </c>
      <c r="BA60" s="470" t="str">
        <f>IF(O60="2回入金","92",IF(O60="早期2回","R2",IF(O60="早期3回","R3",IF(O60="早期4回","R4",IF(O60="早期6回","R6","")))))</f>
        <v>92</v>
      </c>
      <c r="BB60" s="71" t="s">
        <v>995</v>
      </c>
      <c r="BC60" s="470" t="s">
        <v>2067</v>
      </c>
      <c r="BD60" s="470">
        <f>ROW(C60)</f>
        <v>60</v>
      </c>
      <c r="BE60" s="470">
        <f>IF(AY60&amp;BC60=AY59&amp;BC59,BE59+1,1)</f>
        <v>1</v>
      </c>
      <c r="BF60" s="470" t="str">
        <f>AY60&amp;BC60&amp;BE60</f>
        <v>936000001</v>
      </c>
      <c r="BG60" s="470"/>
      <c r="BH60" s="470"/>
      <c r="BI60" s="470" t="str">
        <f>BR60&amp;"01"</f>
        <v>93601</v>
      </c>
      <c r="BJ60" s="470">
        <f>IF(L60=$BC$2,1,0)</f>
        <v>1</v>
      </c>
      <c r="BK60" s="470">
        <f>AZ60</f>
        <v>1</v>
      </c>
      <c r="BL60" s="865">
        <f ca="1">IF($AW60=0,"",INDIRECT(ADDRESS($BD60,BL$16)))</f>
        <v>0</v>
      </c>
      <c r="BM60" s="865">
        <f ca="1">IF($AW60=0,"",INDIRECT(ADDRESS($BD60,BM$16)))</f>
        <v>0</v>
      </c>
      <c r="BN60" s="494">
        <f ca="1">IF($AW60=0,"",INDIRECT(ADDRESS($BD60,BN$16)))</f>
        <v>0</v>
      </c>
      <c r="BO60" s="494">
        <f ca="1">IF($AW60=0,"",INDIRECT(ADDRESS($BD60,BO$16)))</f>
        <v>0</v>
      </c>
      <c r="BP60" s="491">
        <f ca="1">IF($AW60=0,"",INDIRECT(ADDRESS($BD60,BP$16)))</f>
        <v>0</v>
      </c>
      <c r="BQ60" s="470"/>
      <c r="BR60" s="470">
        <v>936</v>
      </c>
      <c r="BT60" s="21"/>
      <c r="BU60" s="21"/>
      <c r="BV60" s="21"/>
      <c r="BZ60" s="469" t="s">
        <v>957</v>
      </c>
      <c r="CA60" s="725" t="str">
        <f t="shared" si="0"/>
        <v>1608567</v>
      </c>
      <c r="CB60" s="614" t="s">
        <v>963</v>
      </c>
      <c r="CD60" s="145"/>
      <c r="CE60" s="145"/>
      <c r="CF60" s="145"/>
      <c r="CG60" s="38"/>
      <c r="CH60" s="65" t="s">
        <v>423</v>
      </c>
      <c r="CI60" s="65" t="s">
        <v>19</v>
      </c>
      <c r="CJ60" s="65">
        <v>9</v>
      </c>
      <c r="CK60" s="65" t="s">
        <v>216</v>
      </c>
      <c r="CL60" s="65" t="s">
        <v>83</v>
      </c>
      <c r="CM60" s="65"/>
      <c r="CN60" s="65"/>
      <c r="CO60" s="82" t="s">
        <v>203</v>
      </c>
      <c r="CP60" s="83" t="str">
        <f>ASC(記入シート1!Z89)</f>
        <v/>
      </c>
      <c r="CQ60" s="129"/>
      <c r="CR60" s="61"/>
      <c r="CS60" s="61"/>
      <c r="CT60" s="61"/>
      <c r="CU60" s="61"/>
      <c r="CV60" s="60"/>
      <c r="CW60" s="45" t="s">
        <v>699</v>
      </c>
      <c r="CX60" s="45"/>
      <c r="CY60" s="130"/>
      <c r="CZ60" s="130"/>
      <c r="DA60" s="130"/>
      <c r="DB60" s="45" t="str">
        <f t="shared" si="3"/>
        <v>101</v>
      </c>
      <c r="DC60" s="108" t="s">
        <v>702</v>
      </c>
      <c r="DD60" s="131"/>
      <c r="DE60" s="118"/>
      <c r="DF60" s="90"/>
      <c r="DG60" s="90"/>
      <c r="DH60" s="543" t="s">
        <v>2151</v>
      </c>
      <c r="DI60" s="547" t="s">
        <v>3245</v>
      </c>
      <c r="DJ60" s="771"/>
      <c r="DK60" s="101" t="str">
        <f t="shared" si="2"/>
        <v>93101PV7</v>
      </c>
      <c r="DL60" s="105" t="s">
        <v>2065</v>
      </c>
      <c r="DM60" s="105" t="s">
        <v>3255</v>
      </c>
      <c r="DN60" s="847" t="str">
        <f>""</f>
        <v/>
      </c>
      <c r="DO60" s="41"/>
      <c r="DP60" s="41"/>
      <c r="DQ60" s="465"/>
      <c r="DR60" s="465"/>
      <c r="DS60" s="465"/>
      <c r="DT60" s="465"/>
      <c r="DU60" s="465"/>
      <c r="DV60" s="38"/>
      <c r="DX60" s="115"/>
      <c r="DY60" s="115"/>
    </row>
    <row r="61" spans="1:129" ht="19.5" customHeight="1" thickTop="1">
      <c r="A61" s="447"/>
      <c r="B61" s="249"/>
      <c r="C61" s="2297"/>
      <c r="D61" s="2298"/>
      <c r="E61" s="2298"/>
      <c r="F61" s="2298"/>
      <c r="G61" s="2298"/>
      <c r="H61" s="2298"/>
      <c r="I61" s="2299"/>
      <c r="J61" s="2312" t="s">
        <v>4864</v>
      </c>
      <c r="K61" s="2313"/>
      <c r="L61" s="2313"/>
      <c r="M61" s="2313"/>
      <c r="N61" s="2314"/>
      <c r="O61" s="2315" t="s">
        <v>2072</v>
      </c>
      <c r="P61" s="2316"/>
      <c r="Q61" s="2317" t="s">
        <v>2265</v>
      </c>
      <c r="R61" s="2318"/>
      <c r="S61" s="2318"/>
      <c r="T61" s="2318"/>
      <c r="U61" s="2318"/>
      <c r="V61" s="2318"/>
      <c r="W61" s="2318"/>
      <c r="X61" s="2319"/>
      <c r="Y61" s="2320" t="s">
        <v>2074</v>
      </c>
      <c r="Z61" s="2320"/>
      <c r="AA61" s="2321" t="s">
        <v>2350</v>
      </c>
      <c r="AB61" s="2322"/>
      <c r="AC61" s="2322"/>
      <c r="AD61" s="2322"/>
      <c r="AE61" s="2322"/>
      <c r="AF61" s="2322"/>
      <c r="AG61" s="2322"/>
      <c r="AH61" s="2322"/>
      <c r="AI61" s="2322"/>
      <c r="AJ61" s="2322"/>
      <c r="AK61" s="2322"/>
      <c r="AL61" s="2322"/>
      <c r="AM61" s="2322"/>
      <c r="AN61" s="2322"/>
      <c r="AO61" s="2322"/>
      <c r="AP61" s="2322"/>
      <c r="AQ61" s="2322"/>
      <c r="AR61" s="2322"/>
      <c r="AS61" s="2322"/>
      <c r="AT61" s="324"/>
      <c r="AU61" s="234"/>
      <c r="AV61" s="488" t="str">
        <f>LEFT(Q61,4)</f>
        <v>1000</v>
      </c>
      <c r="AW61" s="656" t="str">
        <f>MID(Q61,6,LEN(Q61)-5)</f>
        <v>小売</v>
      </c>
      <c r="AY61" s="858" t="str">
        <f>IF(AS60="","0",LEFT(AS60,1))</f>
        <v>0</v>
      </c>
      <c r="BT61" s="22"/>
      <c r="BU61" s="22"/>
      <c r="BV61" s="22"/>
      <c r="BW61" s="21"/>
      <c r="BZ61" s="469" t="s">
        <v>1330</v>
      </c>
      <c r="CA61" s="725" t="str">
        <f t="shared" si="0"/>
        <v>1608568</v>
      </c>
      <c r="CB61" s="614" t="s">
        <v>964</v>
      </c>
      <c r="CD61" s="145"/>
      <c r="CE61" s="145"/>
      <c r="CF61" s="145"/>
      <c r="CG61" s="38"/>
      <c r="CH61" s="65" t="s">
        <v>425</v>
      </c>
      <c r="CI61" s="65" t="s">
        <v>19</v>
      </c>
      <c r="CJ61" s="65">
        <v>9</v>
      </c>
      <c r="CK61" s="65" t="s">
        <v>216</v>
      </c>
      <c r="CL61" s="65" t="s">
        <v>83</v>
      </c>
      <c r="CM61" s="65"/>
      <c r="CN61" s="65"/>
      <c r="CO61" s="82" t="s">
        <v>200</v>
      </c>
      <c r="CP61" s="83" t="str">
        <f>ASC(記入シート1!AG89)</f>
        <v/>
      </c>
      <c r="CQ61" s="129"/>
      <c r="CR61" s="61"/>
      <c r="CS61" s="61"/>
      <c r="CT61" s="61"/>
      <c r="CU61" s="61"/>
      <c r="CV61" s="60"/>
      <c r="CW61" s="45" t="s">
        <v>700</v>
      </c>
      <c r="CX61" s="45"/>
      <c r="CY61" s="130"/>
      <c r="CZ61" s="130"/>
      <c r="DA61" s="130"/>
      <c r="DB61" s="45" t="str">
        <f t="shared" si="3"/>
        <v>101</v>
      </c>
      <c r="DC61" s="108" t="s">
        <v>703</v>
      </c>
      <c r="DD61" s="131"/>
      <c r="DE61" s="118"/>
      <c r="DF61" s="90"/>
      <c r="DG61" s="90"/>
      <c r="DH61" s="543" t="s">
        <v>2151</v>
      </c>
      <c r="DI61" s="547" t="s">
        <v>3246</v>
      </c>
      <c r="DJ61" s="771"/>
      <c r="DK61" s="101" t="str">
        <f t="shared" si="2"/>
        <v>93101PV8</v>
      </c>
      <c r="DL61" s="105" t="s">
        <v>2065</v>
      </c>
      <c r="DM61" s="105" t="s">
        <v>3256</v>
      </c>
      <c r="DN61" s="847" t="str">
        <f>""</f>
        <v/>
      </c>
      <c r="DO61" s="41"/>
      <c r="DP61" s="41"/>
      <c r="DQ61" s="465"/>
      <c r="DR61" s="465"/>
      <c r="DS61" s="465"/>
      <c r="DT61" s="465"/>
      <c r="DU61" s="465"/>
      <c r="DV61" s="38"/>
      <c r="DX61" s="115"/>
      <c r="DY61" s="115"/>
    </row>
    <row r="62" spans="1:129" ht="19.5" customHeight="1" thickBot="1">
      <c r="A62" s="447"/>
      <c r="B62" s="249"/>
      <c r="C62" s="1955"/>
      <c r="D62" s="1956"/>
      <c r="E62" s="1956"/>
      <c r="F62" s="1956"/>
      <c r="G62" s="1956"/>
      <c r="H62" s="1956"/>
      <c r="I62" s="1957"/>
      <c r="J62" s="2300" t="s">
        <v>4858</v>
      </c>
      <c r="K62" s="2301"/>
      <c r="L62" s="2301"/>
      <c r="M62" s="2301"/>
      <c r="N62" s="2302"/>
      <c r="O62" s="657"/>
      <c r="P62" s="2303" t="s">
        <v>3770</v>
      </c>
      <c r="Q62" s="2303"/>
      <c r="R62" s="2303"/>
      <c r="S62" s="2303"/>
      <c r="T62" s="477"/>
      <c r="U62" s="2304" t="s">
        <v>2075</v>
      </c>
      <c r="V62" s="2304"/>
      <c r="W62" s="2304"/>
      <c r="X62" s="2305"/>
      <c r="Y62" s="1170"/>
      <c r="Z62" s="1171"/>
      <c r="AA62" s="1171"/>
      <c r="AB62" s="1171"/>
      <c r="AC62" s="1171"/>
      <c r="AD62" s="1171"/>
      <c r="AE62" s="1171"/>
      <c r="AF62" s="1171"/>
      <c r="AG62" s="1171"/>
      <c r="AH62" s="1171"/>
      <c r="AI62" s="1171"/>
      <c r="AJ62" s="1171"/>
      <c r="AK62" s="1171"/>
      <c r="AL62" s="1171"/>
      <c r="AM62" s="1171"/>
      <c r="AN62" s="1171"/>
      <c r="AO62" s="1171"/>
      <c r="AP62" s="1171"/>
      <c r="AQ62" s="1171"/>
      <c r="AR62" s="1171"/>
      <c r="AS62" s="1171"/>
      <c r="AT62" s="1172"/>
      <c r="AU62" s="234"/>
      <c r="AV62" s="488" t="str">
        <f>LEFT(AA61,4)</f>
        <v>1009</v>
      </c>
      <c r="AW62" s="201" t="str">
        <f>MID(AA61,6,LEN(AA61)-5)</f>
        <v>電気店・家電量販店（古物の取扱いなし）</v>
      </c>
      <c r="BT62" s="22"/>
      <c r="BU62" s="22"/>
      <c r="BV62" s="22"/>
      <c r="BW62" s="21"/>
      <c r="BZ62" s="469" t="s">
        <v>966</v>
      </c>
      <c r="CA62" s="725" t="str">
        <f t="shared" si="0"/>
        <v>9999992</v>
      </c>
      <c r="CB62" s="614" t="s">
        <v>967</v>
      </c>
      <c r="CC62" s="331"/>
      <c r="CD62" s="145"/>
      <c r="CE62" s="145"/>
      <c r="CF62" s="145"/>
      <c r="CG62" s="38"/>
      <c r="CH62" s="65" t="s">
        <v>426</v>
      </c>
      <c r="CI62" s="65" t="s">
        <v>19</v>
      </c>
      <c r="CJ62" s="65">
        <v>9</v>
      </c>
      <c r="CK62" s="65" t="s">
        <v>216</v>
      </c>
      <c r="CL62" s="65" t="s">
        <v>83</v>
      </c>
      <c r="CM62" s="65"/>
      <c r="CN62" s="65"/>
      <c r="CO62" s="82" t="s">
        <v>427</v>
      </c>
      <c r="CP62" s="83" t="str">
        <f>ASC(記入シート1!AP89)</f>
        <v/>
      </c>
      <c r="CQ62" s="129"/>
      <c r="CR62" s="61"/>
      <c r="CS62" s="61"/>
      <c r="CT62" s="61"/>
      <c r="CU62" s="61"/>
      <c r="CV62" s="60"/>
      <c r="CW62" s="45" t="s">
        <v>701</v>
      </c>
      <c r="CX62" s="45"/>
      <c r="CY62" s="130"/>
      <c r="CZ62" s="130"/>
      <c r="DA62" s="130"/>
      <c r="DB62" s="45" t="str">
        <f t="shared" si="3"/>
        <v>101</v>
      </c>
      <c r="DC62" s="108" t="s">
        <v>704</v>
      </c>
      <c r="DD62" s="131"/>
      <c r="DE62" s="118"/>
      <c r="DF62" s="90"/>
      <c r="DG62" s="90"/>
      <c r="DH62" s="543" t="s">
        <v>2151</v>
      </c>
      <c r="DI62" s="547" t="s">
        <v>3247</v>
      </c>
      <c r="DJ62" s="771"/>
      <c r="DK62" s="101" t="str">
        <f t="shared" si="2"/>
        <v>93101PV9</v>
      </c>
      <c r="DL62" s="105" t="s">
        <v>2065</v>
      </c>
      <c r="DM62" s="105" t="s">
        <v>3257</v>
      </c>
      <c r="DN62" s="847" t="str">
        <f>""</f>
        <v/>
      </c>
      <c r="DO62" s="41"/>
      <c r="DP62" s="41"/>
      <c r="DQ62" s="465"/>
      <c r="DR62" s="465"/>
      <c r="DS62" s="465"/>
      <c r="DT62" s="465"/>
      <c r="DU62" s="465"/>
      <c r="DV62" s="38"/>
      <c r="DX62" s="115"/>
      <c r="DY62" s="115"/>
    </row>
    <row r="63" spans="1:129" ht="19.5" customHeight="1" thickTop="1" thickBot="1">
      <c r="A63" s="447"/>
      <c r="B63" s="249"/>
      <c r="C63" s="2332" t="s">
        <v>2244</v>
      </c>
      <c r="D63" s="2333"/>
      <c r="E63" s="2333"/>
      <c r="F63" s="2333"/>
      <c r="G63" s="2333"/>
      <c r="H63" s="2333"/>
      <c r="I63" s="2334"/>
      <c r="J63" s="1092"/>
      <c r="K63" s="1093"/>
      <c r="L63" s="2338" t="s">
        <v>642</v>
      </c>
      <c r="M63" s="2339"/>
      <c r="N63" s="2340"/>
      <c r="O63" s="2341" t="s">
        <v>1071</v>
      </c>
      <c r="P63" s="2341"/>
      <c r="Q63" s="2342">
        <v>0</v>
      </c>
      <c r="R63" s="2343"/>
      <c r="S63" s="2343"/>
      <c r="T63" s="2344"/>
      <c r="U63" s="2342">
        <v>0</v>
      </c>
      <c r="V63" s="2343"/>
      <c r="W63" s="2343"/>
      <c r="X63" s="2344"/>
      <c r="Y63" s="2345">
        <v>0</v>
      </c>
      <c r="Z63" s="2345"/>
      <c r="AA63" s="2345"/>
      <c r="AB63" s="2345"/>
      <c r="AC63" s="2346">
        <v>0</v>
      </c>
      <c r="AD63" s="2347"/>
      <c r="AE63" s="2347"/>
      <c r="AF63" s="2348"/>
      <c r="AG63" s="2342">
        <v>0</v>
      </c>
      <c r="AH63" s="2343"/>
      <c r="AI63" s="2343"/>
      <c r="AJ63" s="2344"/>
      <c r="AK63" s="2306"/>
      <c r="AL63" s="2307"/>
      <c r="AM63" s="2307"/>
      <c r="AN63" s="2307"/>
      <c r="AO63" s="2307"/>
      <c r="AP63" s="2307"/>
      <c r="AQ63" s="2307"/>
      <c r="AR63" s="2307"/>
      <c r="AS63" s="2307"/>
      <c r="AT63" s="2308"/>
      <c r="AU63" s="234"/>
      <c r="AV63" s="488">
        <v>1</v>
      </c>
      <c r="AW63" s="658" t="str">
        <f>IF(AV60=TRUE,IF(AND(AV63&lt;&gt;0,AV61&lt;&gt;"0000",AV62&lt;&gt;"0000",LEFT(AV61,2)=LEFT(AV62,2)),"OK","NG"),"OK")</f>
        <v>OK</v>
      </c>
      <c r="AX63" s="618" t="s">
        <v>2076</v>
      </c>
      <c r="BT63" s="22"/>
      <c r="BU63" s="22"/>
      <c r="BV63" s="22"/>
      <c r="BW63" s="22"/>
      <c r="BZ63" s="469" t="s">
        <v>1331</v>
      </c>
      <c r="CA63" s="725" t="str">
        <f>TEXT(BZ63,"0000000")</f>
        <v>9999999</v>
      </c>
      <c r="CB63" s="614" t="s">
        <v>969</v>
      </c>
      <c r="CC63" s="331"/>
      <c r="CD63" s="145"/>
      <c r="CE63" s="145"/>
      <c r="CF63" s="145"/>
      <c r="CG63" s="38"/>
      <c r="CH63" s="65" t="s">
        <v>428</v>
      </c>
      <c r="CI63" s="65" t="s">
        <v>63</v>
      </c>
      <c r="CJ63" s="65">
        <v>1</v>
      </c>
      <c r="CK63" s="65" t="s">
        <v>216</v>
      </c>
      <c r="CL63" s="65" t="s">
        <v>83</v>
      </c>
      <c r="CM63" s="65" t="s">
        <v>429</v>
      </c>
      <c r="CN63" s="65" t="s">
        <v>596</v>
      </c>
      <c r="CO63" s="66" t="s">
        <v>430</v>
      </c>
      <c r="CP63" s="78">
        <f>IF(CP62&lt;1000,2,1)</f>
        <v>1</v>
      </c>
      <c r="CQ63" s="129"/>
      <c r="CR63" s="61"/>
      <c r="CS63" s="61"/>
      <c r="CT63" s="61"/>
      <c r="CU63" s="61"/>
      <c r="CV63" s="60"/>
      <c r="CW63" s="45" t="s">
        <v>728</v>
      </c>
      <c r="CX63" s="45"/>
      <c r="CY63" s="130"/>
      <c r="CZ63" s="291"/>
      <c r="DA63" s="130"/>
      <c r="DB63" s="45" t="str">
        <f t="shared" si="3"/>
        <v>101</v>
      </c>
      <c r="DC63" s="108" t="s">
        <v>159</v>
      </c>
      <c r="DD63" s="131"/>
      <c r="DE63" s="118"/>
      <c r="DF63" s="90"/>
      <c r="DG63" s="90"/>
      <c r="DH63" s="543" t="s">
        <v>2151</v>
      </c>
      <c r="DI63" s="547" t="s">
        <v>3248</v>
      </c>
      <c r="DJ63" s="771"/>
      <c r="DK63" s="101" t="str">
        <f t="shared" si="2"/>
        <v>93101PVA</v>
      </c>
      <c r="DL63" s="105" t="s">
        <v>2065</v>
      </c>
      <c r="DM63" s="105" t="s">
        <v>3258</v>
      </c>
      <c r="DN63" s="847" t="str">
        <f>""</f>
        <v/>
      </c>
      <c r="DO63" s="41"/>
      <c r="DP63" s="41"/>
      <c r="DQ63" s="465"/>
      <c r="DR63" s="465"/>
      <c r="DS63" s="465"/>
      <c r="DT63" s="465"/>
      <c r="DU63" s="465"/>
      <c r="DV63" s="38"/>
      <c r="DX63" s="115"/>
      <c r="DY63" s="115"/>
    </row>
    <row r="64" spans="1:129" ht="19.5" customHeight="1" thickTop="1" thickBot="1">
      <c r="A64" s="447"/>
      <c r="B64" s="249"/>
      <c r="C64" s="2335"/>
      <c r="D64" s="2336"/>
      <c r="E64" s="2336"/>
      <c r="F64" s="2336"/>
      <c r="G64" s="2336"/>
      <c r="H64" s="2336"/>
      <c r="I64" s="2337"/>
      <c r="J64" s="2349" t="s">
        <v>1087</v>
      </c>
      <c r="K64" s="1894"/>
      <c r="L64" s="2350"/>
      <c r="M64" s="2350"/>
      <c r="N64" s="2351"/>
      <c r="O64" s="2352" t="s">
        <v>4542</v>
      </c>
      <c r="P64" s="2352"/>
      <c r="Q64" s="2352"/>
      <c r="R64" s="2352"/>
      <c r="S64" s="2352"/>
      <c r="T64" s="2352"/>
      <c r="U64" s="2352"/>
      <c r="V64" s="2352"/>
      <c r="W64" s="2352"/>
      <c r="X64" s="2352"/>
      <c r="Y64" s="2353" t="s">
        <v>3194</v>
      </c>
      <c r="Z64" s="2354"/>
      <c r="AA64" s="2355" t="s">
        <v>4535</v>
      </c>
      <c r="AB64" s="2356"/>
      <c r="AC64" s="2356"/>
      <c r="AD64" s="2356"/>
      <c r="AE64" s="2356"/>
      <c r="AF64" s="2356"/>
      <c r="AG64" s="2356"/>
      <c r="AH64" s="2356"/>
      <c r="AI64" s="2356"/>
      <c r="AJ64" s="2356"/>
      <c r="AK64" s="2356"/>
      <c r="AL64" s="2357"/>
      <c r="AM64" s="1175"/>
      <c r="AN64" s="1176"/>
      <c r="AO64" s="1176"/>
      <c r="AP64" s="1176"/>
      <c r="AQ64" s="1176"/>
      <c r="AR64" s="1176"/>
      <c r="AS64" s="1176"/>
      <c r="AT64" s="1177"/>
      <c r="AU64" s="234"/>
      <c r="AV64" s="199" t="b">
        <v>1</v>
      </c>
      <c r="AW64" s="490">
        <f>IF(AV64=TRUE,AV64*1,0)</f>
        <v>1</v>
      </c>
      <c r="AX64" s="490" t="s">
        <v>2244</v>
      </c>
      <c r="AY64" s="125" t="str">
        <f>TEXT(BR64,"000")</f>
        <v>937</v>
      </c>
      <c r="AZ64" s="125">
        <f>AW64</f>
        <v>1</v>
      </c>
      <c r="BA64" s="470" t="str">
        <f>IF(O64="2回入金","92",IF(O64="早期2回","R2",IF(O64="早期3回","R3",IF(O64="早期4回","R4",IF(O64="早期6回","R6","")))))</f>
        <v/>
      </c>
      <c r="BB64" s="71" t="s">
        <v>995</v>
      </c>
      <c r="BC64" s="496" t="s">
        <v>2109</v>
      </c>
      <c r="BD64" s="26">
        <f>ROW(C64)</f>
        <v>64</v>
      </c>
      <c r="BE64" s="26">
        <f>IF(AY64&amp;BC64=AY63&amp;BC63,BE63+1,1)</f>
        <v>1</v>
      </c>
      <c r="BF64" s="753" t="str">
        <f>AY64&amp;BC64&amp;BE64</f>
        <v>937000001</v>
      </c>
      <c r="BG64" s="754"/>
      <c r="BH64" s="755"/>
      <c r="BI64" s="754" t="str">
        <f>BR64&amp;"01"</f>
        <v>93701</v>
      </c>
      <c r="BJ64" s="754">
        <f>IF(L64=$BC$2,1,0)</f>
        <v>0</v>
      </c>
      <c r="BK64" s="26">
        <f>AZ64</f>
        <v>1</v>
      </c>
      <c r="BL64" s="756">
        <f>IF(AW64=1,Q64,"")</f>
        <v>0</v>
      </c>
      <c r="BM64" s="756">
        <f>IF(AW64=1,U64,"")</f>
        <v>0</v>
      </c>
      <c r="BN64" s="757" t="str">
        <f>IF(AW64=0,"",Y64)</f>
        <v>詳細</v>
      </c>
      <c r="BO64" s="757">
        <f>IF(AW64=0,"",AC64)</f>
        <v>0</v>
      </c>
      <c r="BP64" s="756">
        <f>IF(AW64=0,"",AG64)</f>
        <v>0</v>
      </c>
      <c r="BR64" s="26">
        <v>937</v>
      </c>
      <c r="BT64" s="22"/>
      <c r="BU64" s="22"/>
      <c r="BV64" s="22"/>
      <c r="BW64" s="22"/>
      <c r="BZ64" s="332" t="s">
        <v>1333</v>
      </c>
      <c r="CA64" s="332" t="str">
        <f>TEXT(BZ64,"0000000")</f>
        <v>1610861</v>
      </c>
      <c r="CB64" s="726" t="s">
        <v>1380</v>
      </c>
      <c r="CC64" s="333"/>
      <c r="CD64" s="145"/>
      <c r="CE64" s="145"/>
      <c r="CF64" s="145"/>
      <c r="CG64" s="38"/>
      <c r="CH64" s="65" t="s">
        <v>431</v>
      </c>
      <c r="CI64" s="65" t="s">
        <v>63</v>
      </c>
      <c r="CJ64" s="65">
        <v>1</v>
      </c>
      <c r="CK64" s="65" t="s">
        <v>216</v>
      </c>
      <c r="CL64" s="65" t="s">
        <v>83</v>
      </c>
      <c r="CM64" s="65" t="s">
        <v>433</v>
      </c>
      <c r="CN64" s="65" t="s">
        <v>602</v>
      </c>
      <c r="CO64" s="66" t="s">
        <v>196</v>
      </c>
      <c r="CP64" s="78">
        <f>IF(記入シート1!AV91=TRUE,1,0)</f>
        <v>0</v>
      </c>
      <c r="CQ64" s="129"/>
      <c r="CR64" s="61"/>
      <c r="CS64" s="61"/>
      <c r="CT64" s="61"/>
      <c r="CU64" s="61"/>
      <c r="CV64" s="60"/>
      <c r="CW64" s="45" t="s">
        <v>5</v>
      </c>
      <c r="CX64" s="45" t="s">
        <v>629</v>
      </c>
      <c r="CY64" s="53" t="s">
        <v>736</v>
      </c>
      <c r="CZ64" s="54" t="s">
        <v>349</v>
      </c>
      <c r="DA64" s="53"/>
      <c r="DB64" s="45" t="str">
        <f t="shared" si="3"/>
        <v>101</v>
      </c>
      <c r="DC64" s="108" t="s">
        <v>156</v>
      </c>
      <c r="DD64" s="131"/>
      <c r="DE64" s="118"/>
      <c r="DF64" s="90"/>
      <c r="DG64" s="90"/>
      <c r="DH64" s="543" t="s">
        <v>2151</v>
      </c>
      <c r="DI64" s="547" t="s">
        <v>3249</v>
      </c>
      <c r="DJ64" s="771"/>
      <c r="DK64" s="101" t="str">
        <f t="shared" si="2"/>
        <v>93101PVB</v>
      </c>
      <c r="DL64" s="105" t="s">
        <v>2065</v>
      </c>
      <c r="DM64" s="105" t="s">
        <v>3259</v>
      </c>
      <c r="DN64" s="546" t="str">
        <f>"+81"&amp;MID(SUBSTITUTE(ASC(CP52),"-",""),2,15)</f>
        <v>+81</v>
      </c>
      <c r="DO64" s="41"/>
      <c r="DP64" s="41"/>
      <c r="DQ64" s="465"/>
      <c r="DR64" s="465"/>
      <c r="DS64" s="465"/>
      <c r="DT64" s="465"/>
      <c r="DU64" s="465"/>
      <c r="DV64" s="38"/>
      <c r="DX64" s="115"/>
      <c r="DY64" s="115"/>
    </row>
    <row r="65" spans="1:129" ht="19.5" customHeight="1" thickTop="1" thickBot="1">
      <c r="A65" s="447"/>
      <c r="B65" s="249"/>
      <c r="C65" s="2323" t="s">
        <v>2110</v>
      </c>
      <c r="D65" s="2324"/>
      <c r="E65" s="2324"/>
      <c r="F65" s="2324"/>
      <c r="G65" s="2324"/>
      <c r="H65" s="2324"/>
      <c r="I65" s="2325"/>
      <c r="J65" s="750"/>
      <c r="K65" s="751"/>
      <c r="L65" s="1866" t="s">
        <v>642</v>
      </c>
      <c r="M65" s="1867"/>
      <c r="N65" s="1868"/>
      <c r="O65" s="1970" t="s">
        <v>1071</v>
      </c>
      <c r="P65" s="1970"/>
      <c r="Q65" s="2326">
        <v>0</v>
      </c>
      <c r="R65" s="2327"/>
      <c r="S65" s="2327"/>
      <c r="T65" s="2328"/>
      <c r="U65" s="2326">
        <v>0</v>
      </c>
      <c r="V65" s="2327"/>
      <c r="W65" s="2327"/>
      <c r="X65" s="2328"/>
      <c r="Y65" s="2329">
        <v>0</v>
      </c>
      <c r="Z65" s="2330"/>
      <c r="AA65" s="2330"/>
      <c r="AB65" s="2331"/>
      <c r="AC65" s="2329">
        <v>0</v>
      </c>
      <c r="AD65" s="2330"/>
      <c r="AE65" s="2330"/>
      <c r="AF65" s="2331"/>
      <c r="AG65" s="2326">
        <v>0</v>
      </c>
      <c r="AH65" s="2327"/>
      <c r="AI65" s="2327"/>
      <c r="AJ65" s="2328"/>
      <c r="AK65" s="2363" t="s">
        <v>2111</v>
      </c>
      <c r="AL65" s="2364"/>
      <c r="AM65" s="2364"/>
      <c r="AN65" s="2365"/>
      <c r="AO65" s="2365"/>
      <c r="AP65" s="2365"/>
      <c r="AQ65" s="2365"/>
      <c r="AR65" s="2365"/>
      <c r="AS65" s="2365"/>
      <c r="AT65" s="2366"/>
      <c r="AU65" s="234"/>
      <c r="AV65" s="199" t="b">
        <v>1</v>
      </c>
      <c r="AW65" s="490">
        <f>IF(AV65=TRUE,AV65*1,0)</f>
        <v>1</v>
      </c>
      <c r="AX65" s="490" t="s">
        <v>2110</v>
      </c>
      <c r="AY65" s="125" t="str">
        <f>TEXT(BR65,"000")</f>
        <v>938</v>
      </c>
      <c r="AZ65" s="125">
        <f>AW65</f>
        <v>1</v>
      </c>
      <c r="BA65" s="470" t="str">
        <f>IF(O65="2回入金","92",IF(O65="早期2回","R2",IF(O65="早期3回","R3",IF(O65="早期4回","R4",IF(O65="早期6回","R6","")))))</f>
        <v>92</v>
      </c>
      <c r="BB65" s="71" t="s">
        <v>995</v>
      </c>
      <c r="BC65" s="496" t="s">
        <v>2109</v>
      </c>
      <c r="BD65" s="26">
        <f>ROW(C65)</f>
        <v>65</v>
      </c>
      <c r="BE65" s="26">
        <f>IF(AY65&amp;BC65=AY64&amp;BC64,BE64+1,1)</f>
        <v>1</v>
      </c>
      <c r="BF65" s="753" t="str">
        <f>AY65&amp;BC65&amp;BE65</f>
        <v>938000001</v>
      </c>
      <c r="BG65" s="754"/>
      <c r="BH65" s="755"/>
      <c r="BI65" s="754" t="str">
        <f>BR65&amp;"01"</f>
        <v>93801</v>
      </c>
      <c r="BJ65" s="754">
        <f>IF(L65=$BC$2,1,0)</f>
        <v>1</v>
      </c>
      <c r="BK65" s="26">
        <f>AZ65</f>
        <v>1</v>
      </c>
      <c r="BL65" s="756">
        <f>IF(AW65=1,Q65,"")</f>
        <v>0</v>
      </c>
      <c r="BM65" s="756">
        <f>IF(AW65=1,U65,"")</f>
        <v>0</v>
      </c>
      <c r="BN65" s="757">
        <f>IF(AW65=0,"",Y65)</f>
        <v>0</v>
      </c>
      <c r="BO65" s="757">
        <f>IF(AW65=0,"",AC65)</f>
        <v>0</v>
      </c>
      <c r="BP65" s="756">
        <f>IF(AW65=0,"",AG65)</f>
        <v>0</v>
      </c>
      <c r="BR65" s="26">
        <v>938</v>
      </c>
      <c r="BT65" s="22"/>
      <c r="BU65" s="22"/>
      <c r="BV65" s="22"/>
      <c r="BW65" s="22"/>
      <c r="BZ65" s="332" t="s">
        <v>1332</v>
      </c>
      <c r="CA65" s="332" t="str">
        <f>TEXT(BZ65,"0000000")</f>
        <v>1610862</v>
      </c>
      <c r="CB65" s="726" t="s">
        <v>1381</v>
      </c>
      <c r="CC65" s="333"/>
      <c r="CD65" s="145"/>
      <c r="CE65" s="145"/>
      <c r="CF65" s="145"/>
      <c r="CG65" s="38"/>
      <c r="CH65" s="65" t="s">
        <v>434</v>
      </c>
      <c r="CI65" s="65" t="s">
        <v>63</v>
      </c>
      <c r="CJ65" s="65">
        <v>1</v>
      </c>
      <c r="CK65" s="65" t="s">
        <v>216</v>
      </c>
      <c r="CL65" s="65" t="s">
        <v>83</v>
      </c>
      <c r="CM65" s="65" t="s">
        <v>433</v>
      </c>
      <c r="CN65" s="65" t="s">
        <v>602</v>
      </c>
      <c r="CO65" s="66" t="s">
        <v>193</v>
      </c>
      <c r="CP65" s="78">
        <f>IF(記入シート1!AW91=TRUE,1,0)</f>
        <v>0</v>
      </c>
      <c r="CQ65" s="129"/>
      <c r="CR65" s="61"/>
      <c r="CS65" s="61"/>
      <c r="CT65" s="61"/>
      <c r="CU65" s="61"/>
      <c r="CV65" s="60"/>
      <c r="CW65" s="45" t="s">
        <v>153</v>
      </c>
      <c r="CX65" s="45" t="s">
        <v>90</v>
      </c>
      <c r="CY65" s="53" t="s">
        <v>744</v>
      </c>
      <c r="CZ65" s="54" t="s">
        <v>349</v>
      </c>
      <c r="DA65" s="53"/>
      <c r="DB65" s="45" t="str">
        <f t="shared" si="3"/>
        <v>101</v>
      </c>
      <c r="DC65" s="137">
        <v>101014</v>
      </c>
      <c r="DD65" s="131"/>
      <c r="DE65" s="118"/>
      <c r="DF65" s="90"/>
      <c r="DG65" s="90"/>
      <c r="DH65" s="543" t="s">
        <v>2151</v>
      </c>
      <c r="DI65" s="547" t="s">
        <v>3250</v>
      </c>
      <c r="DJ65" s="771"/>
      <c r="DK65" s="101" t="str">
        <f t="shared" si="2"/>
        <v>93101PVC</v>
      </c>
      <c r="DL65" s="105" t="s">
        <v>2065</v>
      </c>
      <c r="DM65" s="105" t="s">
        <v>3260</v>
      </c>
      <c r="DN65" s="546" t="str">
        <f>ASC(AV46)</f>
        <v/>
      </c>
      <c r="DO65" s="41"/>
      <c r="DP65" s="41"/>
      <c r="DQ65" s="465"/>
      <c r="DR65" s="465"/>
      <c r="DS65" s="465"/>
      <c r="DT65" s="465"/>
      <c r="DU65" s="465"/>
      <c r="DV65" s="38"/>
      <c r="DX65" s="115"/>
      <c r="DY65" s="115"/>
    </row>
    <row r="66" spans="1:129" ht="19.5" customHeight="1" thickTop="1" thickBot="1">
      <c r="A66" s="447"/>
      <c r="B66" s="249"/>
      <c r="C66" s="1955"/>
      <c r="D66" s="1956"/>
      <c r="E66" s="1956"/>
      <c r="F66" s="1956"/>
      <c r="G66" s="1956"/>
      <c r="H66" s="1956"/>
      <c r="I66" s="1957"/>
      <c r="J66" s="2367" t="s">
        <v>2112</v>
      </c>
      <c r="K66" s="2368"/>
      <c r="L66" s="2368"/>
      <c r="M66" s="2368"/>
      <c r="N66" s="2369"/>
      <c r="O66" s="2370" t="s">
        <v>2122</v>
      </c>
      <c r="P66" s="2371"/>
      <c r="Q66" s="2371"/>
      <c r="R66" s="2371"/>
      <c r="S66" s="2371"/>
      <c r="T66" s="2371"/>
      <c r="U66" s="2371"/>
      <c r="V66" s="2371"/>
      <c r="W66" s="2371"/>
      <c r="X66" s="2372"/>
      <c r="Y66" s="2373" t="s">
        <v>3191</v>
      </c>
      <c r="Z66" s="2374"/>
      <c r="AA66" s="2374"/>
      <c r="AB66" s="2375"/>
      <c r="AC66" s="1057"/>
      <c r="AD66" s="2374" t="s">
        <v>3192</v>
      </c>
      <c r="AE66" s="2374"/>
      <c r="AF66" s="2374"/>
      <c r="AG66" s="1058"/>
      <c r="AH66" s="2376" t="s">
        <v>3193</v>
      </c>
      <c r="AI66" s="2376"/>
      <c r="AJ66" s="2377"/>
      <c r="AK66" s="1053"/>
      <c r="AL66" s="1054"/>
      <c r="AM66" s="1054"/>
      <c r="AN66" s="1054"/>
      <c r="AO66" s="1054"/>
      <c r="AP66" s="1054"/>
      <c r="AQ66" s="1054"/>
      <c r="AR66" s="1054"/>
      <c r="AS66" s="1054"/>
      <c r="AT66" s="1055"/>
      <c r="AU66" s="234"/>
      <c r="AV66" s="199" t="str">
        <f>LEFT(O66,2)</f>
        <v>05</v>
      </c>
      <c r="AW66" s="824">
        <v>1</v>
      </c>
      <c r="AX66" s="618" t="str">
        <f>IF(AND(AV65=TRUE,OR(AV66="00",AV66="",AW66=0)),"NG","OK")</f>
        <v>OK</v>
      </c>
      <c r="AY66" s="618" t="s">
        <v>2114</v>
      </c>
      <c r="BT66" s="22"/>
      <c r="BU66" s="22"/>
      <c r="BV66" s="22"/>
      <c r="BW66" s="22"/>
      <c r="BZ66" s="469" t="s">
        <v>1334</v>
      </c>
      <c r="CA66" s="469" t="str">
        <f t="shared" ref="CA66:CA84" si="13">TEXT(BZ66,"0000000")</f>
        <v>1611513</v>
      </c>
      <c r="CB66" s="727" t="s">
        <v>1382</v>
      </c>
      <c r="CC66" s="333"/>
      <c r="CD66" s="145"/>
      <c r="CE66" s="145"/>
      <c r="CF66" s="145"/>
      <c r="CG66" s="38"/>
      <c r="CH66" s="65" t="s">
        <v>435</v>
      </c>
      <c r="CI66" s="65" t="s">
        <v>63</v>
      </c>
      <c r="CJ66" s="65">
        <v>1</v>
      </c>
      <c r="CK66" s="65" t="s">
        <v>216</v>
      </c>
      <c r="CL66" s="65" t="s">
        <v>83</v>
      </c>
      <c r="CM66" s="65" t="s">
        <v>433</v>
      </c>
      <c r="CN66" s="65" t="s">
        <v>602</v>
      </c>
      <c r="CO66" s="66" t="s">
        <v>191</v>
      </c>
      <c r="CP66" s="78">
        <f>IF(記入シート1!AX91=TRUE,1,0)</f>
        <v>0</v>
      </c>
      <c r="CQ66" s="129"/>
      <c r="CR66" s="61"/>
      <c r="CS66" s="61"/>
      <c r="CT66" s="61"/>
      <c r="CU66" s="61"/>
      <c r="CV66" s="60"/>
      <c r="CW66" s="45" t="s">
        <v>729</v>
      </c>
      <c r="CX66" s="45" t="s">
        <v>629</v>
      </c>
      <c r="CY66" s="53" t="s">
        <v>736</v>
      </c>
      <c r="CZ66" s="54" t="s">
        <v>343</v>
      </c>
      <c r="DA66" s="53"/>
      <c r="DB66" s="45" t="str">
        <f t="shared" si="3"/>
        <v>101</v>
      </c>
      <c r="DC66" s="108" t="s">
        <v>150</v>
      </c>
      <c r="DD66" s="131"/>
      <c r="DE66" s="118"/>
      <c r="DF66" s="90"/>
      <c r="DG66" s="90"/>
      <c r="DH66" s="543" t="s">
        <v>2151</v>
      </c>
      <c r="DI66" s="547" t="s">
        <v>3251</v>
      </c>
      <c r="DJ66" s="771"/>
      <c r="DK66" s="101" t="str">
        <f t="shared" si="2"/>
        <v>93101PVD</v>
      </c>
      <c r="DL66" s="105" t="s">
        <v>2065</v>
      </c>
      <c r="DM66" s="105" t="s">
        <v>3261</v>
      </c>
      <c r="DN66" s="847" t="str">
        <f>""</f>
        <v/>
      </c>
      <c r="DO66" s="41"/>
      <c r="DP66" s="41"/>
      <c r="DQ66" s="465"/>
      <c r="DR66" s="465"/>
      <c r="DS66" s="465"/>
      <c r="DT66" s="465"/>
      <c r="DU66" s="465"/>
      <c r="DV66" s="38"/>
      <c r="DX66" s="115"/>
      <c r="DY66" s="115"/>
    </row>
    <row r="67" spans="1:129" ht="19.5" hidden="1" customHeight="1" thickTop="1" thickBot="1">
      <c r="A67" s="1048" t="s">
        <v>1234</v>
      </c>
      <c r="B67" s="249"/>
      <c r="C67" s="2323" t="s">
        <v>2115</v>
      </c>
      <c r="D67" s="2324"/>
      <c r="E67" s="2324"/>
      <c r="F67" s="2324"/>
      <c r="G67" s="2324"/>
      <c r="H67" s="2324"/>
      <c r="I67" s="2325"/>
      <c r="J67" s="750"/>
      <c r="K67" s="751"/>
      <c r="L67" s="2359" t="s">
        <v>642</v>
      </c>
      <c r="M67" s="2360"/>
      <c r="N67" s="2361"/>
      <c r="O67" s="1970" t="s">
        <v>1071</v>
      </c>
      <c r="P67" s="1970"/>
      <c r="Q67" s="2326">
        <v>0</v>
      </c>
      <c r="R67" s="2327"/>
      <c r="S67" s="2327"/>
      <c r="T67" s="2328"/>
      <c r="U67" s="2326">
        <v>0</v>
      </c>
      <c r="V67" s="2327"/>
      <c r="W67" s="2327"/>
      <c r="X67" s="2328"/>
      <c r="Y67" s="2362">
        <v>0</v>
      </c>
      <c r="Z67" s="2362"/>
      <c r="AA67" s="2362"/>
      <c r="AB67" s="2362"/>
      <c r="AC67" s="2329">
        <v>0</v>
      </c>
      <c r="AD67" s="2330"/>
      <c r="AE67" s="2330"/>
      <c r="AF67" s="2331"/>
      <c r="AG67" s="2326">
        <v>0</v>
      </c>
      <c r="AH67" s="2327"/>
      <c r="AI67" s="2327"/>
      <c r="AJ67" s="2328"/>
      <c r="AK67" s="2399"/>
      <c r="AL67" s="2400"/>
      <c r="AM67" s="2400"/>
      <c r="AN67" s="2400"/>
      <c r="AO67" s="2400"/>
      <c r="AP67" s="2400"/>
      <c r="AQ67" s="2400"/>
      <c r="AR67" s="2400"/>
      <c r="AS67" s="2400"/>
      <c r="AT67" s="2401"/>
      <c r="AU67" s="234"/>
      <c r="AV67" s="199" t="b">
        <v>1</v>
      </c>
      <c r="AW67" s="490">
        <f>IF(AV67=TRUE,AV67*1,0)</f>
        <v>1</v>
      </c>
      <c r="AX67" s="490" t="s">
        <v>2115</v>
      </c>
      <c r="AY67" s="125" t="str">
        <f>TEXT(BR67,"000")</f>
        <v>939</v>
      </c>
      <c r="AZ67" s="125">
        <f>AW67</f>
        <v>1</v>
      </c>
      <c r="BA67" s="470" t="str">
        <f>IF(O67="2回入金","92",IF(O67="早期2回","R2",IF(O67="早期3回","R3",IF(O67="早期4回","R4",IF(O67="早期6回","R6","")))))</f>
        <v>92</v>
      </c>
      <c r="BB67" s="142" t="s">
        <v>995</v>
      </c>
      <c r="BC67" s="496" t="s">
        <v>2109</v>
      </c>
      <c r="BD67" s="470">
        <f>ROW(C67)</f>
        <v>67</v>
      </c>
      <c r="BE67" s="470">
        <f>IF(AY67&amp;BC67=AY65&amp;BC65,BE65+1,1)</f>
        <v>1</v>
      </c>
      <c r="BF67" s="753" t="str">
        <f>AY67&amp;BC67&amp;BE67</f>
        <v>939000001</v>
      </c>
      <c r="BG67" s="654"/>
      <c r="BH67" s="758"/>
      <c r="BI67" s="654" t="str">
        <f>BR67&amp;"01"</f>
        <v>93901</v>
      </c>
      <c r="BJ67" s="654">
        <f>IF(L67=$BC$2,1,0)</f>
        <v>1</v>
      </c>
      <c r="BK67" s="470">
        <f>AZ67</f>
        <v>1</v>
      </c>
      <c r="BL67" s="756">
        <f>IF(AW67=1,Q67,"")</f>
        <v>0</v>
      </c>
      <c r="BM67" s="756">
        <f>IF(AW67=1,U67,"")</f>
        <v>0</v>
      </c>
      <c r="BN67" s="757">
        <f>IF(AW67=0,"",Y67)</f>
        <v>0</v>
      </c>
      <c r="BO67" s="757">
        <f>IF(AW67=0,"",AC67)</f>
        <v>0</v>
      </c>
      <c r="BP67" s="756">
        <f>IF(AW67=0,"",AG67)</f>
        <v>0</v>
      </c>
      <c r="BR67" s="26">
        <v>939</v>
      </c>
      <c r="BT67" s="22"/>
      <c r="BU67" s="22"/>
      <c r="BV67" s="22"/>
      <c r="BW67" s="22"/>
      <c r="BZ67" s="469" t="s">
        <v>1335</v>
      </c>
      <c r="CA67" s="469" t="str">
        <f t="shared" si="13"/>
        <v>1611514</v>
      </c>
      <c r="CB67" s="727" t="s">
        <v>1383</v>
      </c>
      <c r="CC67" s="333"/>
      <c r="CD67" s="145"/>
      <c r="CE67" s="145"/>
      <c r="CF67" s="145"/>
      <c r="CG67" s="38"/>
      <c r="CH67" s="65" t="s">
        <v>440</v>
      </c>
      <c r="CI67" s="65" t="s">
        <v>63</v>
      </c>
      <c r="CJ67" s="65">
        <v>1</v>
      </c>
      <c r="CK67" s="65" t="s">
        <v>216</v>
      </c>
      <c r="CL67" s="65" t="s">
        <v>83</v>
      </c>
      <c r="CM67" s="65" t="s">
        <v>433</v>
      </c>
      <c r="CN67" s="65" t="s">
        <v>602</v>
      </c>
      <c r="CO67" s="66" t="s">
        <v>189</v>
      </c>
      <c r="CP67" s="78">
        <f>IF(OR(記入シート1!AY91=TRUE,記入シート1!AZ91=TRUE,記入シート1!BA91=TRUE,記入シート1!BB91=TRUE,記入シート1!BC91=TRUE,),1,0)</f>
        <v>0</v>
      </c>
      <c r="CQ67" s="129"/>
      <c r="CR67" s="61"/>
      <c r="CS67" s="61"/>
      <c r="CT67" s="61"/>
      <c r="CU67" s="61"/>
      <c r="CV67" s="60"/>
      <c r="CW67" s="45" t="s">
        <v>146</v>
      </c>
      <c r="CX67" s="45" t="s">
        <v>629</v>
      </c>
      <c r="CY67" s="53" t="s">
        <v>736</v>
      </c>
      <c r="CZ67" s="54" t="s">
        <v>343</v>
      </c>
      <c r="DA67" s="53"/>
      <c r="DB67" s="45" t="str">
        <f t="shared" si="3"/>
        <v>101</v>
      </c>
      <c r="DC67" s="108" t="s">
        <v>147</v>
      </c>
      <c r="DD67" s="131"/>
      <c r="DE67" s="118"/>
      <c r="DF67" s="90"/>
      <c r="DG67" s="90"/>
      <c r="DH67" s="547" t="s">
        <v>2150</v>
      </c>
      <c r="DI67" s="547" t="s">
        <v>2170</v>
      </c>
      <c r="DJ67" s="772"/>
      <c r="DK67" s="101" t="str">
        <f t="shared" ref="DK67:DK113" si="14">DL67&amp;DM67</f>
        <v>93201PW2</v>
      </c>
      <c r="DL67" s="105" t="s">
        <v>2063</v>
      </c>
      <c r="DM67" s="105" t="s">
        <v>2181</v>
      </c>
      <c r="DN67" s="773" t="str">
        <f>T(記入シート1!I67)</f>
        <v/>
      </c>
      <c r="DO67" s="41"/>
      <c r="DP67" s="41"/>
      <c r="DQ67" s="465"/>
      <c r="DR67" s="465"/>
      <c r="DS67" s="465"/>
      <c r="DT67" s="465"/>
      <c r="DU67" s="465"/>
      <c r="DV67" s="38"/>
      <c r="DX67" s="115"/>
      <c r="DY67" s="115"/>
    </row>
    <row r="68" spans="1:129" ht="19.5" hidden="1" customHeight="1" thickTop="1">
      <c r="A68" s="1048" t="s">
        <v>1234</v>
      </c>
      <c r="B68" s="249"/>
      <c r="C68" s="2297"/>
      <c r="D68" s="2298"/>
      <c r="E68" s="2298"/>
      <c r="F68" s="2298"/>
      <c r="G68" s="2298"/>
      <c r="H68" s="2298"/>
      <c r="I68" s="2299"/>
      <c r="J68" s="2349" t="s">
        <v>1028</v>
      </c>
      <c r="K68" s="1894"/>
      <c r="L68" s="2402"/>
      <c r="M68" s="2402"/>
      <c r="N68" s="2403"/>
      <c r="O68" s="2404" t="s">
        <v>3882</v>
      </c>
      <c r="P68" s="2352"/>
      <c r="Q68" s="2352"/>
      <c r="R68" s="2352"/>
      <c r="S68" s="2352"/>
      <c r="T68" s="2352"/>
      <c r="U68" s="2352"/>
      <c r="V68" s="2352"/>
      <c r="W68" s="2352"/>
      <c r="X68" s="2405"/>
      <c r="Y68" s="2353" t="s">
        <v>3194</v>
      </c>
      <c r="Z68" s="2354"/>
      <c r="AA68" s="2406" t="s">
        <v>4048</v>
      </c>
      <c r="AB68" s="2407"/>
      <c r="AC68" s="2407"/>
      <c r="AD68" s="2407"/>
      <c r="AE68" s="2407"/>
      <c r="AF68" s="2407"/>
      <c r="AG68" s="2407"/>
      <c r="AH68" s="2407"/>
      <c r="AI68" s="2407"/>
      <c r="AJ68" s="2407"/>
      <c r="AK68" s="2407"/>
      <c r="AL68" s="2408"/>
      <c r="AM68" s="827"/>
      <c r="AN68" s="827"/>
      <c r="AO68" s="2358" t="s">
        <v>4077</v>
      </c>
      <c r="AP68" s="2358"/>
      <c r="AQ68" s="2358"/>
      <c r="AR68" s="1115"/>
      <c r="AS68" s="1115"/>
      <c r="AT68" s="1116"/>
      <c r="AU68" s="234"/>
      <c r="AV68" s="199" t="str">
        <f>LEFT(O68,4)</f>
        <v>5200</v>
      </c>
      <c r="AW68" s="656" t="str">
        <f>MID(O68,6,LEN(O68)-5)</f>
        <v>ショッピング・小売</v>
      </c>
      <c r="AX68" s="656" t="str">
        <f>IF(AR68="","2",LEFT(AR68,1))</f>
        <v>2</v>
      </c>
      <c r="AY68" s="843" t="str">
        <f>IF(AV67=TRUE,IF(AND(AV68&lt;&gt;"0000",AV69&lt;&gt;"0000",LEFT(AV68,2)=LEFT(AV69,2)),"OK","NG"),"OK")</f>
        <v>OK</v>
      </c>
      <c r="AZ68" s="843" t="s">
        <v>3195</v>
      </c>
      <c r="BA68" s="831"/>
      <c r="BB68" s="831"/>
      <c r="BC68" s="832"/>
      <c r="BD68" s="831"/>
      <c r="BE68" s="831"/>
      <c r="BF68" s="833"/>
      <c r="BG68" s="834"/>
      <c r="BH68" s="835"/>
      <c r="BI68" s="834"/>
      <c r="BJ68" s="834"/>
      <c r="BK68" s="831"/>
      <c r="BL68" s="836"/>
      <c r="BM68" s="836"/>
      <c r="BN68" s="837"/>
      <c r="BO68" s="837"/>
      <c r="BP68" s="836"/>
      <c r="BQ68" s="21"/>
      <c r="BR68" s="831"/>
      <c r="BT68" s="22"/>
      <c r="BU68" s="22"/>
      <c r="BV68" s="22"/>
      <c r="BW68" s="22"/>
      <c r="BZ68" s="469" t="s">
        <v>1336</v>
      </c>
      <c r="CA68" s="469" t="str">
        <f t="shared" si="13"/>
        <v>1611515</v>
      </c>
      <c r="CB68" s="727" t="s">
        <v>1384</v>
      </c>
      <c r="CC68" s="333"/>
      <c r="CD68" s="145"/>
      <c r="CE68" s="145"/>
      <c r="CF68" s="145"/>
      <c r="CG68" s="38"/>
      <c r="CH68" s="65" t="s">
        <v>446</v>
      </c>
      <c r="CI68" s="65" t="s">
        <v>21</v>
      </c>
      <c r="CJ68" s="65">
        <v>60</v>
      </c>
      <c r="CK68" s="65" t="s">
        <v>83</v>
      </c>
      <c r="CL68" s="65" t="s">
        <v>83</v>
      </c>
      <c r="CM68" s="65"/>
      <c r="CN68" s="65" t="s">
        <v>603</v>
      </c>
      <c r="CO68" s="66" t="s">
        <v>186</v>
      </c>
      <c r="CP68" s="78" t="str">
        <f>T(記入シート1!N92)</f>
        <v/>
      </c>
      <c r="CQ68" s="129"/>
      <c r="CR68" s="61"/>
      <c r="CS68" s="61"/>
      <c r="CT68" s="61"/>
      <c r="CU68" s="61"/>
      <c r="CV68" s="60"/>
      <c r="CW68" s="45" t="s">
        <v>145</v>
      </c>
      <c r="CX68" s="45" t="s">
        <v>709</v>
      </c>
      <c r="CY68" s="53" t="s">
        <v>745</v>
      </c>
      <c r="CZ68" s="54" t="s">
        <v>354</v>
      </c>
      <c r="DA68" s="53" t="s">
        <v>755</v>
      </c>
      <c r="DB68" s="45" t="str">
        <f t="shared" si="3"/>
        <v>101</v>
      </c>
      <c r="DC68" s="137">
        <v>101017</v>
      </c>
      <c r="DD68" s="131"/>
      <c r="DE68" s="118"/>
      <c r="DF68" s="90"/>
      <c r="DG68" s="90"/>
      <c r="DH68" s="547" t="s">
        <v>2150</v>
      </c>
      <c r="DI68" s="547" t="s">
        <v>2171</v>
      </c>
      <c r="DJ68" s="772"/>
      <c r="DK68" s="101" t="str">
        <f t="shared" si="14"/>
        <v>93201PW3</v>
      </c>
      <c r="DL68" s="105" t="s">
        <v>2063</v>
      </c>
      <c r="DM68" s="105" t="s">
        <v>2182</v>
      </c>
      <c r="DN68" s="773" t="str">
        <f>"5"</f>
        <v>5</v>
      </c>
      <c r="DO68" s="41"/>
      <c r="DP68" s="41"/>
      <c r="DQ68" s="465"/>
      <c r="DR68" s="465"/>
      <c r="DS68" s="465"/>
      <c r="DT68" s="465"/>
      <c r="DU68" s="465"/>
      <c r="DV68" s="38"/>
      <c r="DX68" s="115"/>
      <c r="DY68" s="115"/>
    </row>
    <row r="69" spans="1:129" ht="19.5" hidden="1" customHeight="1" thickBot="1">
      <c r="A69" s="447" t="s">
        <v>1234</v>
      </c>
      <c r="B69" s="249"/>
      <c r="C69" s="2297"/>
      <c r="D69" s="2298"/>
      <c r="E69" s="2298"/>
      <c r="F69" s="2298"/>
      <c r="G69" s="2298"/>
      <c r="H69" s="2298"/>
      <c r="I69" s="2299"/>
      <c r="J69" s="825"/>
      <c r="K69" s="826"/>
      <c r="L69" s="2394"/>
      <c r="M69" s="2394"/>
      <c r="N69" s="2395"/>
      <c r="O69" s="2205"/>
      <c r="P69" s="2205"/>
      <c r="Q69" s="2269"/>
      <c r="R69" s="2270"/>
      <c r="S69" s="2270"/>
      <c r="T69" s="2271"/>
      <c r="U69" s="2269"/>
      <c r="V69" s="2270"/>
      <c r="W69" s="2270"/>
      <c r="X69" s="2271"/>
      <c r="Y69" s="2378"/>
      <c r="Z69" s="2379"/>
      <c r="AA69" s="2379"/>
      <c r="AB69" s="2380"/>
      <c r="AC69" s="2378"/>
      <c r="AD69" s="2379"/>
      <c r="AE69" s="2379"/>
      <c r="AF69" s="2380"/>
      <c r="AG69" s="2269"/>
      <c r="AH69" s="2270"/>
      <c r="AI69" s="2270"/>
      <c r="AJ69" s="2271"/>
      <c r="AK69" s="2381"/>
      <c r="AL69" s="2382"/>
      <c r="AM69" s="2382"/>
      <c r="AN69" s="2382"/>
      <c r="AO69" s="2382"/>
      <c r="AP69" s="2382"/>
      <c r="AQ69" s="2382"/>
      <c r="AR69" s="2382"/>
      <c r="AS69" s="2382"/>
      <c r="AT69" s="2383"/>
      <c r="AU69" s="234"/>
      <c r="AV69" s="199" t="str">
        <f>LEFT(AA68,4)</f>
        <v>5221</v>
      </c>
      <c r="AW69" s="201" t="str">
        <f>MID(AA68,6,LEN(AA68)-5)</f>
        <v>携帯電話・PHS</v>
      </c>
      <c r="AX69" s="201"/>
      <c r="AY69" s="838"/>
      <c r="AZ69" s="838"/>
      <c r="BA69" s="468"/>
      <c r="BB69" s="468"/>
      <c r="BC69" s="729"/>
      <c r="BD69" s="468"/>
      <c r="BE69" s="468"/>
      <c r="BF69" s="839"/>
      <c r="BG69" s="466"/>
      <c r="BH69" s="840"/>
      <c r="BI69" s="466"/>
      <c r="BJ69" s="466"/>
      <c r="BK69" s="468"/>
      <c r="BL69" s="841"/>
      <c r="BM69" s="841"/>
      <c r="BN69" s="842"/>
      <c r="BO69" s="842"/>
      <c r="BP69" s="841"/>
      <c r="BQ69" s="21"/>
      <c r="BR69" s="468"/>
      <c r="BT69" s="22"/>
      <c r="BU69" s="22"/>
      <c r="BV69" s="22"/>
      <c r="BW69" s="22"/>
      <c r="BZ69" s="469" t="s">
        <v>1337</v>
      </c>
      <c r="CA69" s="469" t="str">
        <f t="shared" si="13"/>
        <v>1611516</v>
      </c>
      <c r="CB69" s="727" t="s">
        <v>1385</v>
      </c>
      <c r="CC69" s="333"/>
      <c r="CD69" s="145"/>
      <c r="CE69" s="145"/>
      <c r="CF69" s="145"/>
      <c r="CG69" s="38"/>
      <c r="CH69" s="65" t="s">
        <v>447</v>
      </c>
      <c r="CI69" s="65" t="s">
        <v>22</v>
      </c>
      <c r="CJ69" s="65">
        <v>30</v>
      </c>
      <c r="CK69" s="65" t="s">
        <v>83</v>
      </c>
      <c r="CL69" s="65" t="s">
        <v>83</v>
      </c>
      <c r="CM69" s="65"/>
      <c r="CN69" s="65" t="s">
        <v>603</v>
      </c>
      <c r="CO69" s="66" t="s">
        <v>183</v>
      </c>
      <c r="CP69" s="78" t="str">
        <f>ASC(記入シート1!AB92)</f>
        <v/>
      </c>
      <c r="CQ69" s="129"/>
      <c r="CR69" s="61"/>
      <c r="CS69" s="61"/>
      <c r="CT69" s="61"/>
      <c r="CU69" s="61"/>
      <c r="CV69" s="60"/>
      <c r="CW69" s="45" t="s">
        <v>730</v>
      </c>
      <c r="CX69" s="45" t="s">
        <v>758</v>
      </c>
      <c r="CY69" s="53" t="s">
        <v>736</v>
      </c>
      <c r="CZ69" s="54" t="s">
        <v>349</v>
      </c>
      <c r="DA69" s="53" t="s">
        <v>713</v>
      </c>
      <c r="DB69" s="45" t="str">
        <f t="shared" si="3"/>
        <v>101</v>
      </c>
      <c r="DC69" s="108" t="s">
        <v>143</v>
      </c>
      <c r="DD69" s="131"/>
      <c r="DE69" s="118"/>
      <c r="DF69" s="90"/>
      <c r="DG69" s="90"/>
      <c r="DH69" s="547" t="s">
        <v>2150</v>
      </c>
      <c r="DI69" s="547" t="s">
        <v>3245</v>
      </c>
      <c r="DJ69" s="772"/>
      <c r="DK69" s="101" t="str">
        <f t="shared" si="14"/>
        <v>93201PW4</v>
      </c>
      <c r="DL69" s="105" t="s">
        <v>2063</v>
      </c>
      <c r="DM69" s="105" t="s">
        <v>3265</v>
      </c>
      <c r="DN69" s="851" t="str">
        <f>""</f>
        <v/>
      </c>
      <c r="DO69" s="41"/>
      <c r="DP69" s="41"/>
      <c r="DQ69" s="465"/>
      <c r="DR69" s="465"/>
      <c r="DS69" s="465"/>
      <c r="DT69" s="465"/>
      <c r="DU69" s="465"/>
      <c r="DV69" s="38"/>
      <c r="DX69" s="115"/>
      <c r="DY69" s="115"/>
    </row>
    <row r="70" spans="1:129" ht="19.5" hidden="1" customHeight="1" thickTop="1" thickBot="1">
      <c r="A70" s="447" t="s">
        <v>1234</v>
      </c>
      <c r="B70" s="249"/>
      <c r="C70" s="1955"/>
      <c r="D70" s="1956"/>
      <c r="E70" s="1956"/>
      <c r="F70" s="1956"/>
      <c r="G70" s="1956"/>
      <c r="H70" s="1956"/>
      <c r="I70" s="1957"/>
      <c r="J70" s="746"/>
      <c r="K70" s="746"/>
      <c r="L70" s="2384"/>
      <c r="M70" s="2385"/>
      <c r="N70" s="2386"/>
      <c r="O70" s="2387"/>
      <c r="P70" s="2387"/>
      <c r="Q70" s="2388"/>
      <c r="R70" s="2389"/>
      <c r="S70" s="2389"/>
      <c r="T70" s="2390"/>
      <c r="U70" s="2388"/>
      <c r="V70" s="2389"/>
      <c r="W70" s="2389"/>
      <c r="X70" s="2390"/>
      <c r="Y70" s="2391"/>
      <c r="Z70" s="2392"/>
      <c r="AA70" s="2392"/>
      <c r="AB70" s="2393"/>
      <c r="AC70" s="2391"/>
      <c r="AD70" s="2392"/>
      <c r="AE70" s="2392"/>
      <c r="AF70" s="2393"/>
      <c r="AG70" s="2388"/>
      <c r="AH70" s="2389"/>
      <c r="AI70" s="2389"/>
      <c r="AJ70" s="2390"/>
      <c r="AK70" s="2396"/>
      <c r="AL70" s="2397"/>
      <c r="AM70" s="2397"/>
      <c r="AN70" s="2397"/>
      <c r="AO70" s="2397"/>
      <c r="AP70" s="2397"/>
      <c r="AQ70" s="2397"/>
      <c r="AR70" s="2397"/>
      <c r="AS70" s="2397"/>
      <c r="AT70" s="2398"/>
      <c r="AU70" s="234"/>
      <c r="AW70" s="838"/>
      <c r="AX70" s="838"/>
      <c r="AY70" s="838"/>
      <c r="AZ70" s="838"/>
      <c r="BA70" s="468"/>
      <c r="BB70" s="729"/>
      <c r="BC70" s="729"/>
      <c r="BD70" s="468"/>
      <c r="BE70" s="468"/>
      <c r="BF70" s="839"/>
      <c r="BG70" s="466"/>
      <c r="BH70" s="840"/>
      <c r="BI70" s="466"/>
      <c r="BJ70" s="466"/>
      <c r="BK70" s="468"/>
      <c r="BL70" s="841"/>
      <c r="BM70" s="841"/>
      <c r="BN70" s="842"/>
      <c r="BO70" s="842"/>
      <c r="BP70" s="841"/>
      <c r="BQ70" s="21"/>
      <c r="BR70" s="468"/>
      <c r="BT70" s="22"/>
      <c r="BU70" s="22"/>
      <c r="BV70" s="22"/>
      <c r="BW70" s="22"/>
      <c r="BZ70" s="469" t="s">
        <v>1338</v>
      </c>
      <c r="CA70" s="469" t="str">
        <f t="shared" si="13"/>
        <v>1611517</v>
      </c>
      <c r="CB70" s="727" t="s">
        <v>1386</v>
      </c>
      <c r="CC70" s="333"/>
      <c r="CD70" s="145"/>
      <c r="CE70" s="145"/>
      <c r="CF70" s="145"/>
      <c r="CG70" s="38"/>
      <c r="CH70" s="65" t="s">
        <v>448</v>
      </c>
      <c r="CI70" s="65" t="s">
        <v>63</v>
      </c>
      <c r="CJ70" s="65">
        <v>8</v>
      </c>
      <c r="CK70" s="65" t="s">
        <v>83</v>
      </c>
      <c r="CL70" s="65" t="s">
        <v>83</v>
      </c>
      <c r="CM70" s="65"/>
      <c r="CN70" s="65" t="s">
        <v>603</v>
      </c>
      <c r="CO70" s="66" t="s">
        <v>180</v>
      </c>
      <c r="CP70" s="78" t="str">
        <f>IF(CP68="","",IF(記入シート1!AN92="","",RIGHT("0000"&amp;記入シート1!AN92,4)&amp;RIGHT("00"&amp;記入シート1!AQ92,2)&amp;RIGHT("00"&amp;記入シート1!AS92,2)))</f>
        <v/>
      </c>
      <c r="CQ70" s="129"/>
      <c r="CR70" s="61"/>
      <c r="CS70" s="61"/>
      <c r="CT70" s="61"/>
      <c r="CU70" s="61"/>
      <c r="CV70" s="60"/>
      <c r="CW70" s="45" t="s">
        <v>54</v>
      </c>
      <c r="CX70" s="45" t="s">
        <v>90</v>
      </c>
      <c r="CY70" s="53" t="s">
        <v>746</v>
      </c>
      <c r="CZ70" s="54" t="s">
        <v>343</v>
      </c>
      <c r="DA70" s="53" t="s">
        <v>466</v>
      </c>
      <c r="DB70" s="45" t="str">
        <f t="shared" ref="DB70:DB95" si="15">LEFT(DC70,3)</f>
        <v>101</v>
      </c>
      <c r="DC70" s="108" t="s">
        <v>141</v>
      </c>
      <c r="DD70" s="131"/>
      <c r="DE70" s="118"/>
      <c r="DF70" s="90"/>
      <c r="DG70" s="90"/>
      <c r="DH70" s="547" t="s">
        <v>2150</v>
      </c>
      <c r="DI70" s="547" t="s">
        <v>3246</v>
      </c>
      <c r="DJ70" s="772"/>
      <c r="DK70" s="101" t="str">
        <f t="shared" si="14"/>
        <v>93201PW5</v>
      </c>
      <c r="DL70" s="105" t="s">
        <v>2063</v>
      </c>
      <c r="DM70" s="105" t="s">
        <v>3266</v>
      </c>
      <c r="DN70" s="851" t="str">
        <f>""</f>
        <v/>
      </c>
      <c r="DO70" s="41"/>
      <c r="DP70" s="41"/>
      <c r="DQ70" s="465"/>
      <c r="DR70" s="465"/>
      <c r="DS70" s="465"/>
      <c r="DT70" s="465"/>
      <c r="DU70" s="465"/>
      <c r="DV70" s="38"/>
      <c r="DX70" s="115"/>
      <c r="DY70" s="115"/>
    </row>
    <row r="71" spans="1:129" ht="19.5" customHeight="1" thickTop="1" thickBot="1">
      <c r="A71" s="447"/>
      <c r="B71" s="249"/>
      <c r="C71" s="1952" t="s">
        <v>3762</v>
      </c>
      <c r="D71" s="1953"/>
      <c r="E71" s="1953"/>
      <c r="F71" s="1953"/>
      <c r="G71" s="1953"/>
      <c r="H71" s="1953"/>
      <c r="I71" s="1954"/>
      <c r="J71" s="1021"/>
      <c r="K71" s="1021"/>
      <c r="L71" s="1866" t="s">
        <v>642</v>
      </c>
      <c r="M71" s="1867"/>
      <c r="N71" s="1868"/>
      <c r="O71" s="1970" t="s">
        <v>1071</v>
      </c>
      <c r="P71" s="1970"/>
      <c r="Q71" s="1951">
        <v>0</v>
      </c>
      <c r="R71" s="1951"/>
      <c r="S71" s="1951"/>
      <c r="T71" s="1951"/>
      <c r="U71" s="1873">
        <v>0</v>
      </c>
      <c r="V71" s="1873"/>
      <c r="W71" s="1873"/>
      <c r="X71" s="1873"/>
      <c r="Y71" s="1893">
        <v>0</v>
      </c>
      <c r="Z71" s="1893"/>
      <c r="AA71" s="1893"/>
      <c r="AB71" s="1893"/>
      <c r="AC71" s="1893">
        <v>0</v>
      </c>
      <c r="AD71" s="1893"/>
      <c r="AE71" s="1893"/>
      <c r="AF71" s="1893"/>
      <c r="AG71" s="1873">
        <v>0</v>
      </c>
      <c r="AH71" s="1873"/>
      <c r="AI71" s="1873"/>
      <c r="AJ71" s="1873"/>
      <c r="AK71" s="745"/>
      <c r="AL71" s="745"/>
      <c r="AM71" s="745"/>
      <c r="AN71" s="745"/>
      <c r="AO71" s="745"/>
      <c r="AP71" s="745"/>
      <c r="AQ71" s="745"/>
      <c r="AR71" s="745"/>
      <c r="AS71" s="745"/>
      <c r="AT71" s="1101"/>
      <c r="AU71" s="234"/>
      <c r="AV71" s="199" t="b">
        <v>1</v>
      </c>
      <c r="AW71" s="490">
        <f>IF(AV71=TRUE,AV71*1,0)</f>
        <v>1</v>
      </c>
      <c r="AX71" s="490" t="s">
        <v>2157</v>
      </c>
      <c r="AY71" s="125" t="str">
        <f>TEXT(BR71,"000")</f>
        <v>942</v>
      </c>
      <c r="AZ71" s="125">
        <f>AW71</f>
        <v>1</v>
      </c>
      <c r="BA71" s="470" t="str">
        <f>IF(O71="2回入金","92",IF(O71="早期2回","R2",IF(O71="早期3回","R3",IF(O71="早期4回","R4",IF(O71="早期6回","R6","")))))</f>
        <v>92</v>
      </c>
      <c r="BB71" s="142" t="s">
        <v>995</v>
      </c>
      <c r="BC71" s="496" t="s">
        <v>2109</v>
      </c>
      <c r="BD71" s="470">
        <f>ROW(C71)</f>
        <v>71</v>
      </c>
      <c r="BE71" s="470">
        <f>IF(AY71&amp;BC71=AY70&amp;BC70,BE70+1,1)</f>
        <v>1</v>
      </c>
      <c r="BF71" s="753" t="str">
        <f>AY71&amp;BC71&amp;BE71</f>
        <v>942000001</v>
      </c>
      <c r="BG71" s="654"/>
      <c r="BH71" s="758"/>
      <c r="BI71" s="654" t="str">
        <f>BR71&amp;"01"</f>
        <v>94201</v>
      </c>
      <c r="BJ71" s="654">
        <f>IF(L71=$BC$2,1,0)</f>
        <v>1</v>
      </c>
      <c r="BK71" s="470">
        <f>AZ71</f>
        <v>1</v>
      </c>
      <c r="BL71" s="756">
        <f>IF(AW71=1,Q71,"")</f>
        <v>0</v>
      </c>
      <c r="BM71" s="756">
        <f>IF(AW71=1,U71,"")</f>
        <v>0</v>
      </c>
      <c r="BN71" s="757">
        <f>IF(AW71=0,"",Y71)</f>
        <v>0</v>
      </c>
      <c r="BO71" s="757">
        <f>IF(AW71=0,"",AC71)</f>
        <v>0</v>
      </c>
      <c r="BP71" s="756">
        <f>IF(AW71=0,"",AG71)</f>
        <v>0</v>
      </c>
      <c r="BR71" s="26">
        <v>942</v>
      </c>
      <c r="BT71" s="22"/>
      <c r="BU71" s="22"/>
      <c r="BV71" s="22"/>
      <c r="BW71" s="22"/>
      <c r="BX71" s="21"/>
      <c r="BZ71" s="469" t="s">
        <v>1339</v>
      </c>
      <c r="CA71" s="469" t="str">
        <f t="shared" si="13"/>
        <v>1611518</v>
      </c>
      <c r="CB71" s="727" t="s">
        <v>1387</v>
      </c>
      <c r="CC71" s="333"/>
      <c r="CD71" s="145"/>
      <c r="CE71" s="145"/>
      <c r="CF71" s="145"/>
      <c r="CG71" s="38"/>
      <c r="CH71" s="65" t="s">
        <v>886</v>
      </c>
      <c r="CI71" s="65" t="s">
        <v>21</v>
      </c>
      <c r="CJ71" s="65">
        <v>60</v>
      </c>
      <c r="CK71" s="65" t="s">
        <v>216</v>
      </c>
      <c r="CL71" s="65" t="s">
        <v>90</v>
      </c>
      <c r="CM71" s="65"/>
      <c r="CN71" s="65"/>
      <c r="CO71" s="66" t="s">
        <v>887</v>
      </c>
      <c r="CP71" s="78" t="str">
        <f>記入シート1!BD80</f>
        <v>：～：  休業日（）</v>
      </c>
      <c r="CQ71" s="129"/>
      <c r="CR71" s="61"/>
      <c r="CS71" s="61"/>
      <c r="CT71" s="61"/>
      <c r="CU71" s="61"/>
      <c r="CV71" s="60"/>
      <c r="CW71" s="45" t="s">
        <v>731</v>
      </c>
      <c r="CX71" s="45"/>
      <c r="CY71" s="53"/>
      <c r="CZ71" s="54"/>
      <c r="DA71" s="53"/>
      <c r="DB71" s="45" t="str">
        <f t="shared" si="15"/>
        <v>101</v>
      </c>
      <c r="DC71" s="108" t="s">
        <v>139</v>
      </c>
      <c r="DD71" s="131"/>
      <c r="DE71" s="118"/>
      <c r="DF71" s="90"/>
      <c r="DG71" s="90"/>
      <c r="DH71" s="547" t="s">
        <v>2150</v>
      </c>
      <c r="DI71" s="547" t="s">
        <v>3247</v>
      </c>
      <c r="DJ71" s="772"/>
      <c r="DK71" s="101" t="str">
        <f t="shared" si="14"/>
        <v>93201PW6</v>
      </c>
      <c r="DL71" s="105" t="s">
        <v>2063</v>
      </c>
      <c r="DM71" s="105" t="s">
        <v>3267</v>
      </c>
      <c r="DN71" s="851" t="str">
        <f>""</f>
        <v/>
      </c>
      <c r="DO71" s="41"/>
      <c r="DP71" s="41"/>
      <c r="DQ71" s="465"/>
      <c r="DR71" s="465"/>
      <c r="DS71" s="465"/>
      <c r="DT71" s="465"/>
      <c r="DU71" s="465"/>
      <c r="DV71" s="38"/>
      <c r="DX71" s="115"/>
      <c r="DY71" s="115"/>
    </row>
    <row r="72" spans="1:129" ht="19.5" customHeight="1" thickTop="1" thickBot="1">
      <c r="A72" s="447"/>
      <c r="B72" s="249"/>
      <c r="C72" s="1955"/>
      <c r="D72" s="1956"/>
      <c r="E72" s="1956"/>
      <c r="F72" s="1956"/>
      <c r="G72" s="1956"/>
      <c r="H72" s="1956"/>
      <c r="I72" s="1957"/>
      <c r="J72" s="1965" t="s">
        <v>3763</v>
      </c>
      <c r="K72" s="1966"/>
      <c r="L72" s="1966"/>
      <c r="M72" s="1966"/>
      <c r="N72" s="1967"/>
      <c r="O72" s="1968" t="s">
        <v>3666</v>
      </c>
      <c r="P72" s="1969"/>
      <c r="Q72" s="1969"/>
      <c r="R72" s="1969"/>
      <c r="S72" s="1969"/>
      <c r="T72" s="1969"/>
      <c r="U72" s="1969"/>
      <c r="V72" s="1969"/>
      <c r="W72" s="1969"/>
      <c r="X72" s="1969"/>
      <c r="Y72" s="1958" t="s">
        <v>3764</v>
      </c>
      <c r="Z72" s="1959"/>
      <c r="AA72" s="1959"/>
      <c r="AB72" s="1960"/>
      <c r="AC72" s="1075"/>
      <c r="AD72" s="1959" t="s">
        <v>3765</v>
      </c>
      <c r="AE72" s="1959"/>
      <c r="AF72" s="1959"/>
      <c r="AG72" s="1075"/>
      <c r="AH72" s="1075"/>
      <c r="AI72" s="1959" t="s">
        <v>3766</v>
      </c>
      <c r="AJ72" s="1959"/>
      <c r="AK72" s="1959"/>
      <c r="AL72" s="1959"/>
      <c r="AM72" s="1959"/>
      <c r="AN72" s="1064"/>
      <c r="AO72" s="1064"/>
      <c r="AP72" s="1961" t="s">
        <v>3767</v>
      </c>
      <c r="AQ72" s="1961"/>
      <c r="AR72" s="1064"/>
      <c r="AS72" s="1064"/>
      <c r="AT72" s="1056"/>
      <c r="AU72" s="234"/>
      <c r="AV72" s="199" t="str">
        <f>LEFT(O72,5)</f>
        <v>05:家具</v>
      </c>
      <c r="AW72" s="656">
        <v>1</v>
      </c>
      <c r="AX72" s="656">
        <v>1</v>
      </c>
      <c r="AY72" s="843" t="str">
        <f>IF(AV71=TRUE,IF(AND(AX72&lt;&gt;0,AV72&lt;&gt;"00000",AV73&lt;&gt;"00000",LEFT(AV72,2)=LEFT(AV73,2)),"OK","NG"),"OK")</f>
        <v>NG</v>
      </c>
      <c r="AZ72" s="843" t="s">
        <v>3196</v>
      </c>
      <c r="BA72" s="831"/>
      <c r="BB72" s="831"/>
      <c r="BC72" s="831"/>
      <c r="BD72" s="831"/>
      <c r="BE72" s="831"/>
      <c r="BF72" s="833"/>
      <c r="BG72" s="834"/>
      <c r="BH72" s="835"/>
      <c r="BI72" s="834"/>
      <c r="BJ72" s="834"/>
      <c r="BK72" s="831"/>
      <c r="BL72" s="836"/>
      <c r="BM72" s="836"/>
      <c r="BN72" s="837"/>
      <c r="BO72" s="837"/>
      <c r="BP72" s="836"/>
      <c r="BQ72" s="21"/>
      <c r="BR72" s="831"/>
      <c r="BT72" s="22"/>
      <c r="BU72" s="22"/>
      <c r="BV72" s="22"/>
      <c r="BW72" s="22"/>
      <c r="BX72" s="21"/>
      <c r="BZ72" s="469" t="s">
        <v>1340</v>
      </c>
      <c r="CA72" s="469" t="str">
        <f t="shared" si="13"/>
        <v>1611519</v>
      </c>
      <c r="CB72" s="727" t="s">
        <v>1388</v>
      </c>
      <c r="CC72" s="333"/>
      <c r="CD72" s="145"/>
      <c r="CE72" s="145"/>
      <c r="CF72" s="145"/>
      <c r="CG72" s="38"/>
      <c r="CH72" s="77" t="s">
        <v>608</v>
      </c>
      <c r="CI72" s="77"/>
      <c r="CJ72" s="77"/>
      <c r="CK72" s="77"/>
      <c r="CL72" s="77"/>
      <c r="CM72" s="77"/>
      <c r="CN72" s="77"/>
      <c r="CO72" s="13"/>
      <c r="CP72" s="80"/>
      <c r="CQ72" s="129"/>
      <c r="CR72" s="61"/>
      <c r="CS72" s="61"/>
      <c r="CT72" s="61"/>
      <c r="CU72" s="61"/>
      <c r="CV72" s="60"/>
      <c r="CW72" s="45" t="s">
        <v>136</v>
      </c>
      <c r="CX72" s="45" t="s">
        <v>698</v>
      </c>
      <c r="CY72" s="53" t="s">
        <v>736</v>
      </c>
      <c r="CZ72" s="54" t="s">
        <v>343</v>
      </c>
      <c r="DA72" s="53"/>
      <c r="DB72" s="45" t="str">
        <f t="shared" si="15"/>
        <v>101</v>
      </c>
      <c r="DC72" s="108" t="s">
        <v>137</v>
      </c>
      <c r="DD72" s="131"/>
      <c r="DE72" s="118"/>
      <c r="DF72" s="90"/>
      <c r="DG72" s="90"/>
      <c r="DH72" s="547" t="s">
        <v>2150</v>
      </c>
      <c r="DI72" s="547" t="s">
        <v>3251</v>
      </c>
      <c r="DJ72" s="772"/>
      <c r="DK72" s="101" t="str">
        <f t="shared" si="14"/>
        <v>93201PW7</v>
      </c>
      <c r="DL72" s="105" t="s">
        <v>2063</v>
      </c>
      <c r="DM72" s="105" t="s">
        <v>3268</v>
      </c>
      <c r="DN72" s="851" t="str">
        <f>""</f>
        <v/>
      </c>
      <c r="DO72" s="41"/>
      <c r="DP72" s="41"/>
      <c r="DQ72" s="465"/>
      <c r="DR72" s="465"/>
      <c r="DS72" s="465"/>
      <c r="DT72" s="465"/>
      <c r="DU72" s="465"/>
      <c r="DV72" s="38"/>
      <c r="DX72" s="115"/>
      <c r="DY72" s="115"/>
    </row>
    <row r="73" spans="1:129" ht="19.5" hidden="1" customHeight="1">
      <c r="A73" s="447"/>
      <c r="B73" s="249"/>
      <c r="C73" s="1081"/>
      <c r="D73" s="1082"/>
      <c r="E73" s="1082"/>
      <c r="F73" s="1082"/>
      <c r="G73" s="1082"/>
      <c r="H73" s="1082"/>
      <c r="I73" s="1083"/>
      <c r="J73" s="1065"/>
      <c r="K73" s="995"/>
      <c r="L73" s="995"/>
      <c r="M73" s="995"/>
      <c r="N73" s="1066"/>
      <c r="O73" s="1059"/>
      <c r="P73" s="998"/>
      <c r="Q73" s="998"/>
      <c r="R73" s="998"/>
      <c r="S73" s="1059"/>
      <c r="T73" s="998"/>
      <c r="U73" s="998"/>
      <c r="V73" s="998"/>
      <c r="W73" s="998"/>
      <c r="X73" s="998"/>
      <c r="Y73" s="998"/>
      <c r="Z73" s="998"/>
      <c r="AA73" s="998"/>
      <c r="AB73" s="998"/>
      <c r="AC73" s="998"/>
      <c r="AD73" s="998"/>
      <c r="AE73" s="998"/>
      <c r="AF73" s="998"/>
      <c r="AG73" s="998"/>
      <c r="AH73" s="998"/>
      <c r="AI73" s="998"/>
      <c r="AJ73" s="998"/>
      <c r="AK73" s="998"/>
      <c r="AL73" s="998"/>
      <c r="AM73" s="998"/>
      <c r="AN73" s="998"/>
      <c r="AO73" s="998"/>
      <c r="AP73" s="998"/>
      <c r="AQ73" s="998"/>
      <c r="AR73" s="998"/>
      <c r="AS73" s="998"/>
      <c r="AT73" s="1067"/>
      <c r="AU73" s="845"/>
      <c r="AV73" s="488" t="str">
        <f>LEFT(AA72,5)</f>
        <v/>
      </c>
      <c r="AW73" s="201" t="e">
        <f>MID(AA72,7,LEN(AA72)-6)</f>
        <v>#VALUE!</v>
      </c>
      <c r="AX73" s="201"/>
      <c r="AY73" s="201"/>
      <c r="AZ73" s="201"/>
      <c r="BA73" s="468"/>
      <c r="BB73" s="468"/>
      <c r="BC73" s="468"/>
      <c r="BD73" s="468"/>
      <c r="BE73" s="468"/>
      <c r="BF73" s="468"/>
      <c r="BG73" s="468"/>
      <c r="BH73" s="468"/>
      <c r="BI73" s="468"/>
      <c r="BJ73" s="468"/>
      <c r="BK73" s="468"/>
      <c r="BL73" s="841"/>
      <c r="BM73" s="841"/>
      <c r="BN73" s="468"/>
      <c r="BO73" s="468"/>
      <c r="BP73" s="468"/>
      <c r="BQ73" s="468"/>
      <c r="BR73" s="468"/>
      <c r="BT73" s="22"/>
      <c r="BU73" s="22"/>
      <c r="BV73" s="22"/>
      <c r="BW73" s="22"/>
      <c r="BX73" s="21"/>
      <c r="BZ73" s="728" t="s">
        <v>1341</v>
      </c>
      <c r="CA73" s="469" t="str">
        <f t="shared" si="13"/>
        <v>1611520</v>
      </c>
      <c r="CB73" s="727" t="s">
        <v>1389</v>
      </c>
      <c r="CC73" s="333"/>
      <c r="CD73" s="145"/>
      <c r="CE73" s="145"/>
      <c r="CF73" s="145"/>
      <c r="CG73" s="38"/>
      <c r="CH73" s="62" t="s">
        <v>323</v>
      </c>
      <c r="CI73" s="63" t="s">
        <v>322</v>
      </c>
      <c r="CJ73" s="63" t="s">
        <v>321</v>
      </c>
      <c r="CK73" s="62" t="s">
        <v>320</v>
      </c>
      <c r="CL73" s="62" t="s">
        <v>320</v>
      </c>
      <c r="CM73" s="62" t="s">
        <v>319</v>
      </c>
      <c r="CN73" s="62"/>
      <c r="CO73" s="62" t="s">
        <v>376</v>
      </c>
      <c r="CP73" s="62" t="s">
        <v>328</v>
      </c>
      <c r="CQ73" s="129"/>
      <c r="CR73" s="61"/>
      <c r="CS73" s="61"/>
      <c r="CT73" s="61"/>
      <c r="CU73" s="61"/>
      <c r="CV73" s="60"/>
      <c r="CW73" s="45" t="s">
        <v>732</v>
      </c>
      <c r="CX73" s="45"/>
      <c r="CY73" s="53"/>
      <c r="CZ73" s="54"/>
      <c r="DA73" s="53"/>
      <c r="DB73" s="45" t="str">
        <f t="shared" si="15"/>
        <v>101</v>
      </c>
      <c r="DC73" s="108" t="s">
        <v>134</v>
      </c>
      <c r="DD73" s="131"/>
      <c r="DE73" s="118"/>
      <c r="DF73" s="90"/>
      <c r="DG73" s="90"/>
      <c r="DH73" s="547" t="s">
        <v>2150</v>
      </c>
      <c r="DI73" s="547" t="s">
        <v>3264</v>
      </c>
      <c r="DJ73" s="772"/>
      <c r="DK73" s="101" t="str">
        <f t="shared" si="14"/>
        <v>93201PW8</v>
      </c>
      <c r="DL73" s="105" t="s">
        <v>2063</v>
      </c>
      <c r="DM73" s="105" t="s">
        <v>3269</v>
      </c>
      <c r="DN73" s="851" t="str">
        <f>""</f>
        <v/>
      </c>
      <c r="DO73" s="41"/>
      <c r="DP73" s="41"/>
      <c r="DQ73" s="465"/>
      <c r="DR73" s="465"/>
      <c r="DS73" s="465"/>
      <c r="DT73" s="465"/>
      <c r="DU73" s="465"/>
      <c r="DV73" s="38"/>
      <c r="DX73" s="115"/>
      <c r="DY73" s="115"/>
    </row>
    <row r="74" spans="1:129" ht="19.5" hidden="1" customHeight="1" thickBot="1">
      <c r="A74" s="447"/>
      <c r="B74" s="249"/>
      <c r="C74" s="1084"/>
      <c r="D74" s="1085"/>
      <c r="E74" s="1085"/>
      <c r="F74" s="1085"/>
      <c r="G74" s="1085"/>
      <c r="H74" s="1085"/>
      <c r="I74" s="1086"/>
      <c r="J74" s="1068"/>
      <c r="K74" s="1069"/>
      <c r="L74" s="1070"/>
      <c r="M74" s="1070"/>
      <c r="N74" s="1071"/>
      <c r="O74" s="1060"/>
      <c r="P74" s="1072"/>
      <c r="Q74" s="1072"/>
      <c r="R74" s="1072"/>
      <c r="S74" s="1073"/>
      <c r="T74" s="1072"/>
      <c r="U74" s="1072"/>
      <c r="V74" s="1072"/>
      <c r="W74" s="1072"/>
      <c r="X74" s="1072"/>
      <c r="Y74" s="1072"/>
      <c r="Z74" s="1072"/>
      <c r="AA74" s="1072"/>
      <c r="AB74" s="1072"/>
      <c r="AC74" s="1072"/>
      <c r="AD74" s="1072"/>
      <c r="AE74" s="1072"/>
      <c r="AF74" s="1072"/>
      <c r="AG74" s="1072"/>
      <c r="AH74" s="1072"/>
      <c r="AI74" s="1072"/>
      <c r="AJ74" s="1072"/>
      <c r="AK74" s="1072"/>
      <c r="AL74" s="1072"/>
      <c r="AM74" s="1072"/>
      <c r="AN74" s="1072"/>
      <c r="AO74" s="1072"/>
      <c r="AP74" s="1072"/>
      <c r="AQ74" s="1072"/>
      <c r="AR74" s="1072"/>
      <c r="AS74" s="1072"/>
      <c r="AT74" s="1074"/>
      <c r="AU74" s="845"/>
      <c r="AV74" s="488"/>
      <c r="AW74" s="828"/>
      <c r="AX74" s="828"/>
      <c r="AY74" s="828"/>
      <c r="AZ74" s="828"/>
      <c r="BA74" s="829"/>
      <c r="BB74" s="829"/>
      <c r="BC74" s="829"/>
      <c r="BD74" s="829"/>
      <c r="BE74" s="829"/>
      <c r="BF74" s="829"/>
      <c r="BG74" s="829"/>
      <c r="BH74" s="829"/>
      <c r="BI74" s="829"/>
      <c r="BJ74" s="829"/>
      <c r="BK74" s="829"/>
      <c r="BL74" s="830"/>
      <c r="BM74" s="830"/>
      <c r="BN74" s="829"/>
      <c r="BO74" s="829"/>
      <c r="BP74" s="829"/>
      <c r="BQ74" s="829"/>
      <c r="BR74" s="829"/>
      <c r="BT74" s="22"/>
      <c r="BU74" s="22"/>
      <c r="BV74" s="22"/>
      <c r="BW74" s="22"/>
      <c r="BX74" s="21"/>
      <c r="BZ74" s="469" t="s">
        <v>1342</v>
      </c>
      <c r="CA74" s="469" t="str">
        <f t="shared" si="13"/>
        <v>1611521</v>
      </c>
      <c r="CB74" s="727" t="s">
        <v>1390</v>
      </c>
      <c r="CD74" s="145"/>
      <c r="CE74" s="145"/>
      <c r="CF74" s="145"/>
      <c r="CG74" s="38"/>
      <c r="CH74" s="65" t="s">
        <v>173</v>
      </c>
      <c r="CI74" s="65" t="s">
        <v>21</v>
      </c>
      <c r="CJ74" s="65">
        <v>30</v>
      </c>
      <c r="CK74" s="65" t="s">
        <v>90</v>
      </c>
      <c r="CL74" s="65" t="s">
        <v>90</v>
      </c>
      <c r="CM74" s="65"/>
      <c r="CN74" s="65"/>
      <c r="CO74" s="66" t="s">
        <v>172</v>
      </c>
      <c r="CP74" s="78" t="str">
        <f>T(記入シート1!I104)</f>
        <v/>
      </c>
      <c r="CQ74" s="129"/>
      <c r="CR74" s="61"/>
      <c r="CS74" s="61"/>
      <c r="CT74" s="61"/>
      <c r="CU74" s="61"/>
      <c r="CV74" s="60"/>
      <c r="CW74" s="45" t="s">
        <v>132</v>
      </c>
      <c r="CX74" s="45" t="s">
        <v>698</v>
      </c>
      <c r="CY74" s="53" t="s">
        <v>747</v>
      </c>
      <c r="CZ74" s="54" t="s">
        <v>342</v>
      </c>
      <c r="DA74" s="53"/>
      <c r="DB74" s="45" t="str">
        <f t="shared" si="15"/>
        <v>101</v>
      </c>
      <c r="DC74" s="108" t="s">
        <v>133</v>
      </c>
      <c r="DD74" s="131"/>
      <c r="DE74" s="118"/>
      <c r="DF74" s="90"/>
      <c r="DG74" s="90"/>
      <c r="DH74" s="547" t="s">
        <v>2150</v>
      </c>
      <c r="DI74" s="547" t="s">
        <v>3270</v>
      </c>
      <c r="DJ74" s="772"/>
      <c r="DK74" s="101" t="str">
        <f t="shared" si="14"/>
        <v>93201PW9</v>
      </c>
      <c r="DL74" s="105" t="s">
        <v>2063</v>
      </c>
      <c r="DM74" s="105" t="s">
        <v>3271</v>
      </c>
      <c r="DN74" s="773" t="str">
        <f>"+81"&amp;MID(SUBSTITUTE(ASC(CP22),"-",""),2,15)</f>
        <v>+81</v>
      </c>
      <c r="DO74" s="41"/>
      <c r="DP74" s="41"/>
      <c r="DQ74" s="465"/>
      <c r="DR74" s="465"/>
      <c r="DS74" s="465"/>
      <c r="DT74" s="465"/>
      <c r="DU74" s="465"/>
      <c r="DV74" s="38"/>
      <c r="DX74" s="115"/>
      <c r="DY74" s="115"/>
    </row>
    <row r="75" spans="1:129" ht="19.5" customHeight="1" thickTop="1" thickBot="1">
      <c r="A75" s="447"/>
      <c r="B75" s="249"/>
      <c r="C75" s="2409" t="s">
        <v>3400</v>
      </c>
      <c r="D75" s="2410"/>
      <c r="E75" s="2410"/>
      <c r="F75" s="2410"/>
      <c r="G75" s="2410"/>
      <c r="H75" s="2410"/>
      <c r="I75" s="2411"/>
      <c r="J75" s="1052"/>
      <c r="K75" s="1052"/>
      <c r="L75" s="1866" t="s">
        <v>642</v>
      </c>
      <c r="M75" s="1867"/>
      <c r="N75" s="1868"/>
      <c r="O75" s="1972" t="s">
        <v>1071</v>
      </c>
      <c r="P75" s="1972"/>
      <c r="Q75" s="1951">
        <v>0</v>
      </c>
      <c r="R75" s="1951"/>
      <c r="S75" s="1951"/>
      <c r="T75" s="1951"/>
      <c r="U75" s="1951">
        <v>0</v>
      </c>
      <c r="V75" s="1951"/>
      <c r="W75" s="1951"/>
      <c r="X75" s="1951"/>
      <c r="Y75" s="1983">
        <v>0</v>
      </c>
      <c r="Z75" s="1983"/>
      <c r="AA75" s="1983"/>
      <c r="AB75" s="1983"/>
      <c r="AC75" s="1983">
        <v>0</v>
      </c>
      <c r="AD75" s="1983"/>
      <c r="AE75" s="1983"/>
      <c r="AF75" s="1983"/>
      <c r="AG75" s="1951">
        <v>0</v>
      </c>
      <c r="AH75" s="1951"/>
      <c r="AI75" s="1951"/>
      <c r="AJ75" s="1951"/>
      <c r="AK75" s="1061"/>
      <c r="AL75" s="1061"/>
      <c r="AM75" s="1061"/>
      <c r="AN75" s="1061"/>
      <c r="AO75" s="1061"/>
      <c r="AP75" s="1061"/>
      <c r="AQ75" s="1061"/>
      <c r="AR75" s="1062" t="s">
        <v>3401</v>
      </c>
      <c r="AS75" s="1963" t="s">
        <v>3356</v>
      </c>
      <c r="AT75" s="1964"/>
      <c r="AU75" s="234"/>
      <c r="AV75" s="488" t="b">
        <v>1</v>
      </c>
      <c r="AW75" s="490"/>
      <c r="AX75" s="490"/>
      <c r="AY75" s="490"/>
      <c r="AZ75" s="490"/>
      <c r="BA75" s="470"/>
      <c r="BB75" s="470"/>
      <c r="BC75" s="470"/>
      <c r="BD75" s="470"/>
      <c r="BE75" s="470"/>
      <c r="BF75" s="470"/>
      <c r="BG75" s="470"/>
      <c r="BH75" s="470"/>
      <c r="BI75" s="470"/>
      <c r="BJ75" s="470"/>
      <c r="BK75" s="470"/>
      <c r="BL75" s="865"/>
      <c r="BM75" s="865"/>
      <c r="BN75" s="470"/>
      <c r="BO75" s="470"/>
      <c r="BP75" s="470"/>
      <c r="BQ75" s="470"/>
      <c r="BR75" s="470"/>
      <c r="BT75" s="22"/>
      <c r="BU75" s="22"/>
      <c r="BV75" s="22"/>
      <c r="BW75" s="22"/>
      <c r="BZ75" s="469" t="s">
        <v>1343</v>
      </c>
      <c r="CA75" s="469" t="str">
        <f t="shared" si="13"/>
        <v>1612020</v>
      </c>
      <c r="CB75" s="729" t="s">
        <v>1391</v>
      </c>
      <c r="CD75" s="145"/>
      <c r="CE75" s="145"/>
      <c r="CF75" s="145"/>
      <c r="CG75" s="38"/>
      <c r="CH75" s="65" t="s">
        <v>475</v>
      </c>
      <c r="CI75" s="65" t="s">
        <v>63</v>
      </c>
      <c r="CJ75" s="65">
        <v>1</v>
      </c>
      <c r="CK75" s="65" t="s">
        <v>90</v>
      </c>
      <c r="CL75" s="65" t="s">
        <v>90</v>
      </c>
      <c r="CM75" s="65" t="s">
        <v>476</v>
      </c>
      <c r="CN75" s="65"/>
      <c r="CO75" s="66" t="s">
        <v>169</v>
      </c>
      <c r="CP75" s="78">
        <f>記入シート1!AV104</f>
        <v>0</v>
      </c>
      <c r="CQ75" s="129"/>
      <c r="CR75" s="61"/>
      <c r="CS75" s="61"/>
      <c r="CT75" s="61"/>
      <c r="CU75" s="61"/>
      <c r="CV75" s="60"/>
      <c r="CW75" s="45" t="s">
        <v>129</v>
      </c>
      <c r="CX75" s="45" t="s">
        <v>698</v>
      </c>
      <c r="CY75" s="53"/>
      <c r="CZ75" s="53" t="s">
        <v>359</v>
      </c>
      <c r="DA75" s="53" t="s">
        <v>756</v>
      </c>
      <c r="DB75" s="45" t="str">
        <f t="shared" si="15"/>
        <v>101</v>
      </c>
      <c r="DC75" s="108" t="s">
        <v>130</v>
      </c>
      <c r="DD75" s="131"/>
      <c r="DE75" s="118"/>
      <c r="DF75" s="90"/>
      <c r="DG75" s="90"/>
      <c r="DH75" s="547" t="s">
        <v>938</v>
      </c>
      <c r="DI75" s="547" t="s">
        <v>2172</v>
      </c>
      <c r="DJ75" s="772"/>
      <c r="DK75" s="101" t="str">
        <f t="shared" si="14"/>
        <v>93501PZ4</v>
      </c>
      <c r="DL75" s="105" t="s">
        <v>2183</v>
      </c>
      <c r="DM75" s="105" t="s">
        <v>2184</v>
      </c>
      <c r="DN75" s="773" t="str">
        <f>ASC(記入シート1!AW73)</f>
        <v/>
      </c>
      <c r="DO75" s="41"/>
      <c r="DP75" s="41"/>
      <c r="DQ75" s="465"/>
      <c r="DR75" s="465"/>
      <c r="DS75" s="465"/>
      <c r="DT75" s="465"/>
      <c r="DU75" s="465"/>
      <c r="DV75" s="38"/>
      <c r="DX75" s="115"/>
      <c r="DY75" s="115"/>
    </row>
    <row r="76" spans="1:129" ht="19.5" customHeight="1" thickTop="1">
      <c r="A76" s="447"/>
      <c r="B76" s="249"/>
      <c r="C76" s="2412"/>
      <c r="D76" s="2413"/>
      <c r="E76" s="2413"/>
      <c r="F76" s="2413"/>
      <c r="G76" s="2413"/>
      <c r="H76" s="2413"/>
      <c r="I76" s="2414"/>
      <c r="J76" s="1973" t="s">
        <v>1028</v>
      </c>
      <c r="K76" s="1974"/>
      <c r="L76" s="1966"/>
      <c r="M76" s="1966"/>
      <c r="N76" s="1967"/>
      <c r="O76" s="1975" t="s">
        <v>3402</v>
      </c>
      <c r="P76" s="1976"/>
      <c r="Q76" s="1976"/>
      <c r="R76" s="1976"/>
      <c r="S76" s="1976"/>
      <c r="T76" s="1976"/>
      <c r="U76" s="1976"/>
      <c r="V76" s="1976"/>
      <c r="W76" s="1976"/>
      <c r="X76" s="1977"/>
      <c r="Y76" s="1978" t="s">
        <v>2999</v>
      </c>
      <c r="Z76" s="1979"/>
      <c r="AA76" s="1980" t="s">
        <v>3404</v>
      </c>
      <c r="AB76" s="1981"/>
      <c r="AC76" s="1981"/>
      <c r="AD76" s="1981"/>
      <c r="AE76" s="1981"/>
      <c r="AF76" s="1981"/>
      <c r="AG76" s="1981"/>
      <c r="AH76" s="1981"/>
      <c r="AI76" s="1981"/>
      <c r="AJ76" s="1981"/>
      <c r="AK76" s="1981"/>
      <c r="AL76" s="1982"/>
      <c r="AM76" s="1060"/>
      <c r="AN76" s="1060"/>
      <c r="AO76" s="1060"/>
      <c r="AP76" s="1060"/>
      <c r="AQ76" s="1060"/>
      <c r="AR76" s="1060"/>
      <c r="AS76" s="1060"/>
      <c r="AT76" s="1063"/>
      <c r="AU76" s="234"/>
      <c r="AV76" s="488"/>
      <c r="AW76" s="490"/>
      <c r="AX76" s="490"/>
      <c r="AY76" s="490"/>
      <c r="AZ76" s="490"/>
      <c r="BA76" s="470"/>
      <c r="BB76" s="470"/>
      <c r="BC76" s="470"/>
      <c r="BD76" s="470"/>
      <c r="BE76" s="470"/>
      <c r="BF76" s="470"/>
      <c r="BG76" s="470"/>
      <c r="BH76" s="470"/>
      <c r="BI76" s="470"/>
      <c r="BJ76" s="470"/>
      <c r="BK76" s="470"/>
      <c r="BL76" s="865"/>
      <c r="BM76" s="865"/>
      <c r="BN76" s="470"/>
      <c r="BO76" s="470"/>
      <c r="BP76" s="470"/>
      <c r="BQ76" s="470"/>
      <c r="BR76" s="470"/>
      <c r="BT76" s="22"/>
      <c r="BU76" s="22"/>
      <c r="BV76" s="22"/>
      <c r="BW76" s="22"/>
      <c r="BX76" s="21"/>
      <c r="BZ76" s="469" t="s">
        <v>1344</v>
      </c>
      <c r="CA76" s="469" t="str">
        <f t="shared" si="13"/>
        <v>1612406</v>
      </c>
      <c r="CB76" s="727" t="s">
        <v>1392</v>
      </c>
      <c r="CD76" s="145"/>
      <c r="CE76" s="145"/>
      <c r="CF76" s="145"/>
      <c r="CG76" s="38"/>
      <c r="CH76" s="65" t="s">
        <v>478</v>
      </c>
      <c r="CI76" s="65" t="s">
        <v>152</v>
      </c>
      <c r="CJ76" s="65">
        <v>30</v>
      </c>
      <c r="CK76" s="65" t="s">
        <v>90</v>
      </c>
      <c r="CL76" s="65" t="s">
        <v>90</v>
      </c>
      <c r="CM76" s="65"/>
      <c r="CN76" s="65"/>
      <c r="CO76" s="66" t="s">
        <v>164</v>
      </c>
      <c r="CP76" s="78" t="str">
        <f>T(記入シート1!AG104)</f>
        <v/>
      </c>
      <c r="CQ76" s="129"/>
      <c r="CR76" s="61"/>
      <c r="CS76" s="61"/>
      <c r="CT76" s="61"/>
      <c r="CU76" s="61"/>
      <c r="CV76" s="60"/>
      <c r="CW76" s="45" t="s">
        <v>126</v>
      </c>
      <c r="CX76" s="45" t="s">
        <v>698</v>
      </c>
      <c r="CY76" s="53"/>
      <c r="CZ76" s="53" t="s">
        <v>359</v>
      </c>
      <c r="DA76" s="53" t="s">
        <v>756</v>
      </c>
      <c r="DB76" s="45" t="str">
        <f t="shared" si="15"/>
        <v>101</v>
      </c>
      <c r="DC76" s="108" t="s">
        <v>127</v>
      </c>
      <c r="DD76" s="131"/>
      <c r="DE76" s="118"/>
      <c r="DF76" s="90"/>
      <c r="DG76" s="90"/>
      <c r="DH76" s="547" t="s">
        <v>938</v>
      </c>
      <c r="DI76" s="547" t="s">
        <v>2171</v>
      </c>
      <c r="DJ76" s="772"/>
      <c r="DK76" s="101" t="str">
        <f t="shared" si="14"/>
        <v>93501PZ5</v>
      </c>
      <c r="DL76" s="105" t="s">
        <v>2183</v>
      </c>
      <c r="DM76" s="105" t="s">
        <v>2185</v>
      </c>
      <c r="DN76" s="773" t="str">
        <f>"6"</f>
        <v>6</v>
      </c>
      <c r="DO76" s="41"/>
      <c r="DP76" s="41"/>
      <c r="DQ76" s="465"/>
      <c r="DR76" s="465"/>
      <c r="DS76" s="465"/>
      <c r="DT76" s="465"/>
      <c r="DU76" s="465"/>
      <c r="DV76" s="38"/>
      <c r="DX76" s="115"/>
      <c r="DY76" s="115"/>
    </row>
    <row r="77" spans="1:129" ht="19.5" customHeight="1" thickBot="1">
      <c r="A77" s="447"/>
      <c r="B77" s="249"/>
      <c r="C77" s="2432"/>
      <c r="D77" s="2433"/>
      <c r="E77" s="2433"/>
      <c r="F77" s="2433"/>
      <c r="G77" s="2433"/>
      <c r="H77" s="2433"/>
      <c r="I77" s="2434"/>
      <c r="J77" s="2435" t="s">
        <v>3769</v>
      </c>
      <c r="K77" s="2436"/>
      <c r="L77" s="2437"/>
      <c r="M77" s="2437"/>
      <c r="N77" s="2438"/>
      <c r="O77" s="1024"/>
      <c r="P77" s="1962" t="s">
        <v>3770</v>
      </c>
      <c r="Q77" s="1962"/>
      <c r="R77" s="1962"/>
      <c r="S77" s="1962"/>
      <c r="T77" s="1024"/>
      <c r="U77" s="1962" t="s">
        <v>2075</v>
      </c>
      <c r="V77" s="1962"/>
      <c r="W77" s="1962"/>
      <c r="X77" s="1971"/>
      <c r="Y77" s="1076"/>
      <c r="Z77" s="1010"/>
      <c r="AA77" s="1010"/>
      <c r="AB77" s="1010"/>
      <c r="AC77" s="1010"/>
      <c r="AD77" s="1010"/>
      <c r="AE77" s="1010"/>
      <c r="AF77" s="1010"/>
      <c r="AG77" s="1010"/>
      <c r="AH77" s="1010"/>
      <c r="AI77" s="1010"/>
      <c r="AJ77" s="1010"/>
      <c r="AK77" s="1010"/>
      <c r="AL77" s="1010"/>
      <c r="AM77" s="1010"/>
      <c r="AN77" s="1010"/>
      <c r="AO77" s="1010"/>
      <c r="AP77" s="1010"/>
      <c r="AQ77" s="1010"/>
      <c r="AR77" s="1010"/>
      <c r="AS77" s="1010"/>
      <c r="AT77" s="1077"/>
      <c r="AU77" s="234"/>
      <c r="AV77" s="488"/>
      <c r="AW77" s="490"/>
      <c r="AX77" s="490"/>
      <c r="AY77" s="490">
        <v>1</v>
      </c>
      <c r="AZ77" s="490"/>
      <c r="BA77" s="470"/>
      <c r="BB77" s="470"/>
      <c r="BC77" s="470"/>
      <c r="BD77" s="470"/>
      <c r="BE77" s="470"/>
      <c r="BF77" s="470"/>
      <c r="BG77" s="470"/>
      <c r="BH77" s="470"/>
      <c r="BI77" s="470"/>
      <c r="BJ77" s="470"/>
      <c r="BK77" s="470"/>
      <c r="BL77" s="865"/>
      <c r="BM77" s="865"/>
      <c r="BN77" s="470"/>
      <c r="BO77" s="470"/>
      <c r="BP77" s="470"/>
      <c r="BQ77" s="470"/>
      <c r="BR77" s="470"/>
      <c r="BT77" s="22"/>
      <c r="BU77" s="22"/>
      <c r="BV77" s="22"/>
      <c r="BW77" s="22"/>
      <c r="BZ77" s="469" t="s">
        <v>1345</v>
      </c>
      <c r="CA77" s="469" t="str">
        <f t="shared" si="13"/>
        <v>1613162</v>
      </c>
      <c r="CB77" s="727" t="s">
        <v>1393</v>
      </c>
      <c r="CD77" s="145"/>
      <c r="CE77" s="145"/>
      <c r="CF77" s="145"/>
      <c r="CG77" s="38"/>
      <c r="CH77" s="65" t="s">
        <v>161</v>
      </c>
      <c r="CI77" s="65" t="s">
        <v>63</v>
      </c>
      <c r="CJ77" s="65">
        <v>1</v>
      </c>
      <c r="CK77" s="65" t="s">
        <v>90</v>
      </c>
      <c r="CL77" s="65" t="s">
        <v>90</v>
      </c>
      <c r="CM77" s="65" t="s">
        <v>479</v>
      </c>
      <c r="CN77" s="65"/>
      <c r="CO77" s="66" t="s">
        <v>160</v>
      </c>
      <c r="CP77" s="78">
        <f>記入シート1!AV105</f>
        <v>0</v>
      </c>
      <c r="CQ77" s="129"/>
      <c r="CR77" s="61"/>
      <c r="CS77" s="61"/>
      <c r="CT77" s="61"/>
      <c r="CU77" s="61"/>
      <c r="CV77" s="60"/>
      <c r="CW77" s="45" t="s">
        <v>18</v>
      </c>
      <c r="CX77" s="45"/>
      <c r="CY77" s="53" t="s">
        <v>736</v>
      </c>
      <c r="CZ77" s="54" t="s">
        <v>349</v>
      </c>
      <c r="DA77" s="53"/>
      <c r="DB77" s="45" t="str">
        <f t="shared" si="15"/>
        <v>102</v>
      </c>
      <c r="DC77" s="137">
        <v>102001</v>
      </c>
      <c r="DD77" s="131"/>
      <c r="DE77" s="118"/>
      <c r="DF77" s="90"/>
      <c r="DG77" s="90"/>
      <c r="DH77" s="547" t="s">
        <v>938</v>
      </c>
      <c r="DI77" s="547" t="s">
        <v>3245</v>
      </c>
      <c r="DJ77" s="772"/>
      <c r="DK77" s="101" t="str">
        <f t="shared" si="14"/>
        <v>93501PZ6</v>
      </c>
      <c r="DL77" s="105" t="s">
        <v>2183</v>
      </c>
      <c r="DM77" s="105" t="s">
        <v>3274</v>
      </c>
      <c r="DN77" s="851" t="str">
        <f>""</f>
        <v/>
      </c>
      <c r="DO77" s="41"/>
      <c r="DP77" s="41"/>
      <c r="DQ77" s="465"/>
      <c r="DR77" s="465"/>
      <c r="DS77" s="465"/>
      <c r="DT77" s="465"/>
      <c r="DU77" s="465"/>
      <c r="DV77" s="38"/>
      <c r="DX77" s="115"/>
      <c r="DY77" s="115"/>
    </row>
    <row r="78" spans="1:129" ht="19.5" customHeight="1" thickTop="1" thickBot="1">
      <c r="A78" s="447"/>
      <c r="B78" s="249"/>
      <c r="C78" s="2409" t="s">
        <v>3768</v>
      </c>
      <c r="D78" s="2410"/>
      <c r="E78" s="2410"/>
      <c r="F78" s="2410"/>
      <c r="G78" s="2410"/>
      <c r="H78" s="2410"/>
      <c r="I78" s="2411"/>
      <c r="J78" s="1278"/>
      <c r="K78" s="962"/>
      <c r="L78" s="1866" t="s">
        <v>642</v>
      </c>
      <c r="M78" s="1867"/>
      <c r="N78" s="1868"/>
      <c r="O78" s="1869" t="s">
        <v>1071</v>
      </c>
      <c r="P78" s="1869"/>
      <c r="Q78" s="1951">
        <v>0</v>
      </c>
      <c r="R78" s="1951"/>
      <c r="S78" s="1951"/>
      <c r="T78" s="1951"/>
      <c r="U78" s="1951">
        <v>0</v>
      </c>
      <c r="V78" s="1951"/>
      <c r="W78" s="1951"/>
      <c r="X78" s="1951"/>
      <c r="Y78" s="1893">
        <v>0</v>
      </c>
      <c r="Z78" s="1893"/>
      <c r="AA78" s="1893"/>
      <c r="AB78" s="1893"/>
      <c r="AC78" s="1893">
        <v>0</v>
      </c>
      <c r="AD78" s="1893"/>
      <c r="AE78" s="1893"/>
      <c r="AF78" s="1893"/>
      <c r="AG78" s="1873">
        <v>0</v>
      </c>
      <c r="AH78" s="1873"/>
      <c r="AI78" s="1873"/>
      <c r="AJ78" s="1873"/>
      <c r="AK78" s="1288"/>
      <c r="AL78" s="1279"/>
      <c r="AM78" s="1279"/>
      <c r="AN78" s="1279"/>
      <c r="AO78" s="1279"/>
      <c r="AP78" s="2415" t="s">
        <v>5128</v>
      </c>
      <c r="AQ78" s="2415"/>
      <c r="AR78" s="2415"/>
      <c r="AS78" s="2416" t="s">
        <v>3652</v>
      </c>
      <c r="AT78" s="2417"/>
      <c r="AU78" s="234"/>
      <c r="AV78" s="488" t="b">
        <v>1</v>
      </c>
      <c r="AW78" s="490"/>
      <c r="AX78" s="490"/>
      <c r="AY78" s="490"/>
      <c r="AZ78" s="490"/>
      <c r="BA78" s="470"/>
      <c r="BB78" s="470"/>
      <c r="BC78" s="470"/>
      <c r="BD78" s="470"/>
      <c r="BE78" s="470"/>
      <c r="BF78" s="470"/>
      <c r="BG78" s="470"/>
      <c r="BH78" s="470"/>
      <c r="BI78" s="470"/>
      <c r="BJ78" s="470"/>
      <c r="BK78" s="470"/>
      <c r="BL78" s="865"/>
      <c r="BM78" s="865"/>
      <c r="BN78" s="470"/>
      <c r="BO78" s="470"/>
      <c r="BP78" s="470"/>
      <c r="BQ78" s="470"/>
      <c r="BR78" s="470"/>
      <c r="BT78" s="22"/>
      <c r="BU78" s="22"/>
      <c r="BV78" s="22"/>
      <c r="BW78" s="22"/>
      <c r="BZ78" s="469" t="s">
        <v>1065</v>
      </c>
      <c r="CA78" s="469" t="str">
        <f t="shared" si="13"/>
        <v>1621421</v>
      </c>
      <c r="CB78" s="614" t="s">
        <v>1394</v>
      </c>
      <c r="CD78" s="145"/>
      <c r="CE78" s="145"/>
      <c r="CF78" s="145"/>
      <c r="CG78" s="38"/>
      <c r="CH78" s="65" t="s">
        <v>177</v>
      </c>
      <c r="CI78" s="65" t="s">
        <v>63</v>
      </c>
      <c r="CJ78" s="65">
        <v>4</v>
      </c>
      <c r="CK78" s="65" t="s">
        <v>90</v>
      </c>
      <c r="CL78" s="65" t="s">
        <v>90</v>
      </c>
      <c r="CM78" s="65"/>
      <c r="CN78" s="65"/>
      <c r="CO78" s="66" t="s">
        <v>176</v>
      </c>
      <c r="CP78" s="78" t="str">
        <f>IF(OR(記入シート1!I106="",記入シート1!K106="",記入シート1!M106="",記入シート1!O106=""),"",記入シート1!I106&amp;記入シート1!K106&amp;記入シート1!M106&amp;記入シート1!O106)</f>
        <v/>
      </c>
      <c r="CQ78" s="129"/>
      <c r="CR78" s="61"/>
      <c r="CS78" s="61"/>
      <c r="CT78" s="61"/>
      <c r="CU78" s="61"/>
      <c r="CV78" s="60"/>
      <c r="CW78" s="45" t="s">
        <v>123</v>
      </c>
      <c r="CX78" s="45"/>
      <c r="CY78" s="53" t="s">
        <v>736</v>
      </c>
      <c r="CZ78" s="54" t="s">
        <v>349</v>
      </c>
      <c r="DA78" s="53"/>
      <c r="DB78" s="45" t="str">
        <f t="shared" si="15"/>
        <v>105</v>
      </c>
      <c r="DC78" s="137">
        <v>105001</v>
      </c>
      <c r="DD78" s="131"/>
      <c r="DE78" s="118"/>
      <c r="DF78" s="90"/>
      <c r="DG78" s="90"/>
      <c r="DH78" s="547" t="s">
        <v>938</v>
      </c>
      <c r="DI78" s="547" t="s">
        <v>3246</v>
      </c>
      <c r="DJ78" s="772"/>
      <c r="DK78" s="101" t="str">
        <f t="shared" si="14"/>
        <v>93501PZ7</v>
      </c>
      <c r="DL78" s="105" t="s">
        <v>2183</v>
      </c>
      <c r="DM78" s="105" t="s">
        <v>3275</v>
      </c>
      <c r="DN78" s="851" t="str">
        <f>""</f>
        <v/>
      </c>
      <c r="DO78" s="41"/>
      <c r="DP78" s="41"/>
      <c r="DQ78" s="465"/>
      <c r="DR78" s="465"/>
      <c r="DS78" s="465"/>
      <c r="DT78" s="465"/>
      <c r="DU78" s="465"/>
      <c r="DV78" s="38"/>
      <c r="DX78" s="115"/>
      <c r="DY78" s="115"/>
    </row>
    <row r="79" spans="1:129" ht="19.5" customHeight="1" thickTop="1" thickBot="1">
      <c r="A79" s="1048"/>
      <c r="B79" s="249"/>
      <c r="C79" s="2412"/>
      <c r="D79" s="2413"/>
      <c r="E79" s="2413"/>
      <c r="F79" s="2413"/>
      <c r="G79" s="2413"/>
      <c r="H79" s="2413"/>
      <c r="I79" s="2414"/>
      <c r="J79" s="2418" t="s">
        <v>5151</v>
      </c>
      <c r="K79" s="2419"/>
      <c r="L79" s="1986"/>
      <c r="M79" s="1986"/>
      <c r="N79" s="1987"/>
      <c r="O79" s="2420" t="s">
        <v>5231</v>
      </c>
      <c r="P79" s="2421"/>
      <c r="Q79" s="2421"/>
      <c r="R79" s="2421"/>
      <c r="S79" s="2421"/>
      <c r="T79" s="2421"/>
      <c r="U79" s="2421"/>
      <c r="V79" s="2421"/>
      <c r="W79" s="2422" t="s">
        <v>5499</v>
      </c>
      <c r="X79" s="2423"/>
      <c r="Y79" s="2423"/>
      <c r="Z79" s="2424"/>
      <c r="AA79" s="2425" t="s">
        <v>5220</v>
      </c>
      <c r="AB79" s="2426"/>
      <c r="AC79" s="2426"/>
      <c r="AD79" s="2426"/>
      <c r="AE79" s="2426"/>
      <c r="AF79" s="2426"/>
      <c r="AG79" s="2426"/>
      <c r="AH79" s="2427"/>
      <c r="AI79" s="2428" t="s">
        <v>5483</v>
      </c>
      <c r="AJ79" s="2429"/>
      <c r="AK79" s="2429"/>
      <c r="AL79" s="2430"/>
      <c r="AM79" s="1289"/>
      <c r="AN79" s="2429" t="s">
        <v>3192</v>
      </c>
      <c r="AO79" s="2429"/>
      <c r="AP79" s="2429"/>
      <c r="AQ79" s="1289"/>
      <c r="AR79" s="2429" t="s">
        <v>3193</v>
      </c>
      <c r="AS79" s="2429"/>
      <c r="AT79" s="2431"/>
      <c r="AU79" s="234"/>
      <c r="AV79" s="488" t="b">
        <v>1</v>
      </c>
      <c r="AW79" s="490"/>
      <c r="AX79" s="490"/>
      <c r="AY79" s="490"/>
      <c r="AZ79" s="490"/>
      <c r="BA79" s="470">
        <v>1</v>
      </c>
      <c r="BB79" s="470"/>
      <c r="BC79" s="470"/>
      <c r="BD79" s="470"/>
      <c r="BE79" s="470"/>
      <c r="BF79" s="470"/>
      <c r="BG79" s="470"/>
      <c r="BH79" s="470"/>
      <c r="BI79" s="470"/>
      <c r="BJ79" s="470"/>
      <c r="BK79" s="470"/>
      <c r="BL79" s="865"/>
      <c r="BM79" s="865"/>
      <c r="BN79" s="470"/>
      <c r="BO79" s="470"/>
      <c r="BP79" s="470"/>
      <c r="BQ79" s="470"/>
      <c r="BR79" s="470"/>
      <c r="BU79" s="22"/>
      <c r="BV79" s="22"/>
      <c r="BW79" s="22"/>
      <c r="BZ79" s="469" t="s">
        <v>1066</v>
      </c>
      <c r="CA79" s="469" t="str">
        <f t="shared" si="13"/>
        <v>1621420</v>
      </c>
      <c r="CB79" s="614" t="s">
        <v>1395</v>
      </c>
      <c r="CD79" s="145"/>
      <c r="CE79" s="145"/>
      <c r="CF79" s="145"/>
      <c r="CG79" s="38"/>
      <c r="CH79" s="65" t="s">
        <v>480</v>
      </c>
      <c r="CI79" s="65" t="s">
        <v>63</v>
      </c>
      <c r="CJ79" s="65">
        <v>3</v>
      </c>
      <c r="CK79" s="65" t="s">
        <v>90</v>
      </c>
      <c r="CL79" s="65" t="s">
        <v>90</v>
      </c>
      <c r="CM79" s="65"/>
      <c r="CN79" s="65"/>
      <c r="CO79" s="66" t="s">
        <v>166</v>
      </c>
      <c r="CP79" s="78" t="str">
        <f>IF(OR(記入シート1!V106="",記入シート1!X106="",記入シート1!Z106=""),"",記入シート1!V106&amp;記入シート1!X106&amp;記入シート1!Z106)</f>
        <v/>
      </c>
      <c r="CQ79" s="129"/>
      <c r="CR79" s="61"/>
      <c r="CS79" s="61"/>
      <c r="CT79" s="61"/>
      <c r="CU79" s="61"/>
      <c r="CV79" s="60"/>
      <c r="CW79" s="9" t="s">
        <v>2022</v>
      </c>
      <c r="CX79" s="9"/>
      <c r="CY79" s="761" t="s">
        <v>2023</v>
      </c>
      <c r="CZ79" s="762" t="s">
        <v>349</v>
      </c>
      <c r="DA79" s="761"/>
      <c r="DB79" s="97" t="str">
        <f t="shared" si="15"/>
        <v>001</v>
      </c>
      <c r="DC79" s="104" t="s">
        <v>2021</v>
      </c>
      <c r="DD79" s="98">
        <f>IF(AV82=TRUE,1,0)</f>
        <v>0</v>
      </c>
      <c r="DE79" s="118"/>
      <c r="DF79" s="90"/>
      <c r="DG79" s="90"/>
      <c r="DH79" s="547" t="s">
        <v>938</v>
      </c>
      <c r="DI79" s="547" t="s">
        <v>3247</v>
      </c>
      <c r="DJ79" s="772"/>
      <c r="DK79" s="101" t="str">
        <f t="shared" si="14"/>
        <v>93501PZ8</v>
      </c>
      <c r="DL79" s="105" t="s">
        <v>2183</v>
      </c>
      <c r="DM79" s="105" t="s">
        <v>3276</v>
      </c>
      <c r="DN79" s="851" t="str">
        <f>""</f>
        <v/>
      </c>
      <c r="DO79" s="41"/>
      <c r="DP79" s="41"/>
      <c r="DQ79" s="465"/>
      <c r="DR79" s="465"/>
      <c r="DS79" s="465"/>
      <c r="DT79" s="465"/>
      <c r="DU79" s="465"/>
      <c r="DV79" s="38"/>
      <c r="DX79" s="115"/>
      <c r="DY79" s="115"/>
    </row>
    <row r="80" spans="1:129" ht="19.5" customHeight="1" thickTop="1" thickBot="1">
      <c r="A80" s="447"/>
      <c r="B80" s="249"/>
      <c r="C80" s="1863" t="s">
        <v>5130</v>
      </c>
      <c r="D80" s="1864"/>
      <c r="E80" s="1864"/>
      <c r="F80" s="1864"/>
      <c r="G80" s="1864"/>
      <c r="H80" s="1864"/>
      <c r="I80" s="1865"/>
      <c r="J80" s="1301"/>
      <c r="K80" s="1089"/>
      <c r="L80" s="1866" t="s">
        <v>642</v>
      </c>
      <c r="M80" s="1867"/>
      <c r="N80" s="1868"/>
      <c r="O80" s="1869" t="s">
        <v>1071</v>
      </c>
      <c r="P80" s="1869"/>
      <c r="Q80" s="1951">
        <v>0</v>
      </c>
      <c r="R80" s="1951"/>
      <c r="S80" s="1951"/>
      <c r="T80" s="1951"/>
      <c r="U80" s="1951">
        <v>0</v>
      </c>
      <c r="V80" s="1951"/>
      <c r="W80" s="1951"/>
      <c r="X80" s="1951"/>
      <c r="Y80" s="1893">
        <v>0</v>
      </c>
      <c r="Z80" s="1893"/>
      <c r="AA80" s="1893"/>
      <c r="AB80" s="1893"/>
      <c r="AC80" s="1893">
        <v>0</v>
      </c>
      <c r="AD80" s="1893"/>
      <c r="AE80" s="1893"/>
      <c r="AF80" s="1893"/>
      <c r="AG80" s="1873">
        <v>0</v>
      </c>
      <c r="AH80" s="1873"/>
      <c r="AI80" s="1873"/>
      <c r="AJ80" s="1873"/>
      <c r="AK80" s="1281"/>
      <c r="AL80" s="1281"/>
      <c r="AM80" s="1281"/>
      <c r="AN80" s="1281"/>
      <c r="AO80" s="1281"/>
      <c r="AP80" s="1870" t="s">
        <v>3651</v>
      </c>
      <c r="AQ80" s="1870"/>
      <c r="AR80" s="1870"/>
      <c r="AS80" s="1871" t="s">
        <v>3652</v>
      </c>
      <c r="AT80" s="1872"/>
      <c r="AU80" s="234"/>
      <c r="AV80" s="488" t="b">
        <v>1</v>
      </c>
      <c r="AW80" s="490"/>
      <c r="AX80" s="490"/>
      <c r="AY80" s="490"/>
      <c r="AZ80" s="490"/>
      <c r="BA80" s="470"/>
      <c r="BB80" s="470"/>
      <c r="BC80" s="470"/>
      <c r="BD80" s="470"/>
      <c r="BE80" s="470"/>
      <c r="BF80" s="470"/>
      <c r="BG80" s="470"/>
      <c r="BH80" s="470"/>
      <c r="BI80" s="470"/>
      <c r="BJ80" s="470"/>
      <c r="BK80" s="470"/>
      <c r="BL80" s="865"/>
      <c r="BM80" s="865"/>
      <c r="BN80" s="470"/>
      <c r="BO80" s="470"/>
      <c r="BP80" s="470"/>
      <c r="BQ80" s="470"/>
      <c r="BR80" s="470"/>
      <c r="BU80" s="22"/>
      <c r="BV80" s="22"/>
      <c r="BW80" s="22"/>
      <c r="BX80" s="21"/>
      <c r="BZ80" s="469" t="s">
        <v>1067</v>
      </c>
      <c r="CA80" s="469" t="str">
        <f t="shared" si="13"/>
        <v>1621422</v>
      </c>
      <c r="CB80" s="614" t="s">
        <v>1396</v>
      </c>
      <c r="CD80" s="145"/>
      <c r="CE80" s="145"/>
      <c r="CF80" s="145"/>
      <c r="CG80" s="38"/>
      <c r="CH80" s="65" t="s">
        <v>158</v>
      </c>
      <c r="CI80" s="65" t="s">
        <v>63</v>
      </c>
      <c r="CJ80" s="65">
        <v>1</v>
      </c>
      <c r="CK80" s="65" t="s">
        <v>90</v>
      </c>
      <c r="CL80" s="65" t="s">
        <v>90</v>
      </c>
      <c r="CM80" s="65" t="s">
        <v>481</v>
      </c>
      <c r="CN80" s="65"/>
      <c r="CO80" s="66" t="s">
        <v>157</v>
      </c>
      <c r="CP80" s="78">
        <f>記入シート1!AV108</f>
        <v>0</v>
      </c>
      <c r="CQ80" s="129"/>
      <c r="CR80" s="61"/>
      <c r="CS80" s="61"/>
      <c r="CT80" s="61"/>
      <c r="CU80" s="61"/>
      <c r="CV80" s="60"/>
      <c r="CW80" s="9" t="s">
        <v>891</v>
      </c>
      <c r="CX80" s="9"/>
      <c r="CY80" s="761" t="s">
        <v>736</v>
      </c>
      <c r="CZ80" s="762" t="s">
        <v>349</v>
      </c>
      <c r="DA80" s="761"/>
      <c r="DB80" s="97" t="str">
        <f t="shared" si="15"/>
        <v>106</v>
      </c>
      <c r="DC80" s="104" t="s">
        <v>930</v>
      </c>
      <c r="DD80" s="98">
        <v>1</v>
      </c>
      <c r="DE80" s="118"/>
      <c r="DF80" s="90"/>
      <c r="DG80" s="90"/>
      <c r="DH80" s="547" t="s">
        <v>938</v>
      </c>
      <c r="DI80" s="547" t="s">
        <v>3251</v>
      </c>
      <c r="DJ80" s="772"/>
      <c r="DK80" s="101" t="str">
        <f t="shared" si="14"/>
        <v>93501PZ9</v>
      </c>
      <c r="DL80" s="105" t="s">
        <v>2183</v>
      </c>
      <c r="DM80" s="105" t="s">
        <v>3277</v>
      </c>
      <c r="DN80" s="851" t="str">
        <f>""</f>
        <v/>
      </c>
      <c r="DO80" s="41"/>
      <c r="DP80" s="41"/>
      <c r="DQ80" s="465"/>
      <c r="DR80" s="465"/>
      <c r="DS80" s="465"/>
      <c r="DT80" s="465"/>
      <c r="DU80" s="465"/>
      <c r="DV80" s="38"/>
      <c r="DX80" s="115"/>
      <c r="DY80" s="115"/>
    </row>
    <row r="81" spans="1:129" ht="19.5" customHeight="1" thickBot="1">
      <c r="A81" s="447"/>
      <c r="B81" s="249"/>
      <c r="C81" s="615"/>
      <c r="D81" s="615"/>
      <c r="E81" s="615"/>
      <c r="F81" s="615"/>
      <c r="G81" s="615"/>
      <c r="H81" s="615"/>
      <c r="I81" s="615"/>
      <c r="J81" s="615"/>
      <c r="K81" s="615"/>
      <c r="L81" s="872"/>
      <c r="M81" s="872"/>
      <c r="N81" s="873"/>
      <c r="O81" s="873"/>
      <c r="P81" s="873"/>
      <c r="Q81" s="873"/>
      <c r="R81" s="873"/>
      <c r="S81" s="873"/>
      <c r="T81" s="873"/>
      <c r="U81" s="616"/>
      <c r="V81" s="616"/>
      <c r="W81" s="616"/>
      <c r="X81" s="616"/>
      <c r="Y81" s="616"/>
      <c r="Z81" s="616"/>
      <c r="AA81" s="616"/>
      <c r="AB81" s="616"/>
      <c r="AC81" s="616"/>
      <c r="AD81" s="616"/>
      <c r="AE81" s="616"/>
      <c r="AF81" s="616"/>
      <c r="AG81" s="616"/>
      <c r="AH81" s="616"/>
      <c r="AI81" s="616"/>
      <c r="AJ81" s="616"/>
      <c r="AK81" s="616"/>
      <c r="AL81" s="616"/>
      <c r="AM81" s="616"/>
      <c r="AN81" s="616"/>
      <c r="AO81" s="616"/>
      <c r="AP81" s="616"/>
      <c r="AQ81" s="616"/>
      <c r="AR81" s="616"/>
      <c r="AS81" s="616"/>
      <c r="AT81" s="616"/>
      <c r="AU81" s="234"/>
      <c r="AV81" s="200"/>
      <c r="BV81" s="22"/>
      <c r="BW81" s="22"/>
      <c r="BX81" s="22"/>
      <c r="BZ81" s="469" t="s">
        <v>1068</v>
      </c>
      <c r="CA81" s="469" t="str">
        <f t="shared" si="13"/>
        <v>1621424</v>
      </c>
      <c r="CB81" s="614" t="s">
        <v>1397</v>
      </c>
      <c r="CD81" s="145"/>
      <c r="CE81" s="145"/>
      <c r="CF81" s="145"/>
      <c r="CG81" s="38"/>
      <c r="CH81" s="65" t="s">
        <v>155</v>
      </c>
      <c r="CI81" s="65" t="s">
        <v>63</v>
      </c>
      <c r="CJ81" s="65">
        <v>7</v>
      </c>
      <c r="CK81" s="65" t="s">
        <v>90</v>
      </c>
      <c r="CL81" s="65" t="s">
        <v>90</v>
      </c>
      <c r="CM81" s="65"/>
      <c r="CN81" s="65"/>
      <c r="CO81" s="66" t="s">
        <v>154</v>
      </c>
      <c r="CP81" s="78" t="str">
        <f>IF(OR(記入シート1!Z108="",記入シート1!AB108="",記入シート1!AD108="",記入シート1!AF108="",記入シート1!AH108=""),"",RIGHT("0" &amp; 記入シート1!V108&amp;記入シート1!X108&amp;記入シート1!Z108&amp;記入シート1!AB108&amp;記入シート1!AD108&amp;記入シート1!AF108&amp;記入シート1!AH108,7))</f>
        <v/>
      </c>
      <c r="CQ81" s="129"/>
      <c r="CR81" s="61"/>
      <c r="CS81" s="61"/>
      <c r="CT81" s="61"/>
      <c r="CU81" s="61"/>
      <c r="CV81" s="60"/>
      <c r="CW81" s="9" t="s">
        <v>1007</v>
      </c>
      <c r="CX81" s="9"/>
      <c r="CY81" s="761" t="s">
        <v>624</v>
      </c>
      <c r="CZ81" s="762" t="s">
        <v>1009</v>
      </c>
      <c r="DA81" s="761"/>
      <c r="DB81" s="97" t="str">
        <f t="shared" si="15"/>
        <v>707</v>
      </c>
      <c r="DC81" s="104" t="s">
        <v>1008</v>
      </c>
      <c r="DD81" s="98">
        <f>IF(AV97=TRUE,1,0)</f>
        <v>0</v>
      </c>
      <c r="DE81" s="118"/>
      <c r="DF81" s="90"/>
      <c r="DG81" s="90"/>
      <c r="DH81" s="547" t="s">
        <v>938</v>
      </c>
      <c r="DI81" s="547" t="s">
        <v>3272</v>
      </c>
      <c r="DJ81" s="772"/>
      <c r="DK81" s="101" t="str">
        <f t="shared" si="14"/>
        <v>93501PZA</v>
      </c>
      <c r="DL81" s="105" t="s">
        <v>2183</v>
      </c>
      <c r="DM81" s="105" t="s">
        <v>3273</v>
      </c>
      <c r="DN81" s="773" t="str">
        <f>ASC(SUBSTITUTE(CP48," ","_"))</f>
        <v/>
      </c>
      <c r="DO81" s="41"/>
      <c r="DP81" s="41"/>
      <c r="DQ81" s="465"/>
      <c r="DR81" s="465"/>
      <c r="DS81" s="465"/>
      <c r="DT81" s="465"/>
      <c r="DU81" s="465"/>
      <c r="DV81" s="38"/>
      <c r="DX81" s="115"/>
      <c r="DY81" s="115"/>
    </row>
    <row r="82" spans="1:129" ht="19.5" customHeight="1">
      <c r="A82" s="447"/>
      <c r="B82" s="249"/>
      <c r="C82" s="1998" t="s">
        <v>5085</v>
      </c>
      <c r="D82" s="1999"/>
      <c r="E82" s="1999"/>
      <c r="F82" s="1999"/>
      <c r="G82" s="1999"/>
      <c r="H82" s="1999"/>
      <c r="I82" s="2000"/>
      <c r="J82" s="1878" t="s">
        <v>4373</v>
      </c>
      <c r="K82" s="1879"/>
      <c r="L82" s="1879"/>
      <c r="M82" s="1879"/>
      <c r="N82" s="1880"/>
      <c r="O82" s="1148"/>
      <c r="P82" s="1148"/>
      <c r="Q82" s="1881" t="s">
        <v>4346</v>
      </c>
      <c r="R82" s="1881"/>
      <c r="S82" s="1881"/>
      <c r="T82" s="1149"/>
      <c r="U82" s="1150"/>
      <c r="V82" s="1882" t="s">
        <v>4347</v>
      </c>
      <c r="W82" s="1882"/>
      <c r="X82" s="1882"/>
      <c r="Y82" s="1883" t="s">
        <v>4375</v>
      </c>
      <c r="Z82" s="1884"/>
      <c r="AA82" s="1884"/>
      <c r="AB82" s="1884"/>
      <c r="AC82" s="1884"/>
      <c r="AD82" s="1884"/>
      <c r="AE82" s="1884"/>
      <c r="AF82" s="1884"/>
      <c r="AG82" s="1884"/>
      <c r="AH82" s="1884"/>
      <c r="AI82" s="1884"/>
      <c r="AJ82" s="1884"/>
      <c r="AK82" s="1884"/>
      <c r="AL82" s="1884"/>
      <c r="AM82" s="1884"/>
      <c r="AN82" s="1884"/>
      <c r="AO82" s="1884"/>
      <c r="AP82" s="1884"/>
      <c r="AQ82" s="1884"/>
      <c r="AR82" s="1884"/>
      <c r="AS82" s="1884"/>
      <c r="AT82" s="1885"/>
      <c r="AU82" s="234"/>
      <c r="AV82" s="488">
        <v>1</v>
      </c>
      <c r="BV82" s="22"/>
      <c r="BW82" s="22"/>
      <c r="BX82" s="22"/>
      <c r="BZ82" s="469" t="s">
        <v>1069</v>
      </c>
      <c r="CA82" s="469" t="str">
        <f t="shared" si="13"/>
        <v>1621423</v>
      </c>
      <c r="CB82" s="614" t="s">
        <v>1398</v>
      </c>
      <c r="CD82" s="145"/>
      <c r="CE82" s="145"/>
      <c r="CF82" s="145"/>
      <c r="CG82" s="38"/>
      <c r="CH82" s="65" t="s">
        <v>483</v>
      </c>
      <c r="CI82" s="65" t="s">
        <v>152</v>
      </c>
      <c r="CJ82" s="65">
        <v>100</v>
      </c>
      <c r="CK82" s="65" t="s">
        <v>90</v>
      </c>
      <c r="CL82" s="65" t="s">
        <v>90</v>
      </c>
      <c r="CM82" s="65"/>
      <c r="CN82" s="65"/>
      <c r="CO82" s="66" t="s">
        <v>151</v>
      </c>
      <c r="CP82" s="78" t="str">
        <f>DBCS(記入シート1!I112)</f>
        <v/>
      </c>
      <c r="CQ82" s="129"/>
      <c r="CR82" s="61"/>
      <c r="CS82" s="61"/>
      <c r="CT82" s="61"/>
      <c r="CU82" s="61"/>
      <c r="CV82" s="60"/>
      <c r="CW82" s="9" t="s">
        <v>1959</v>
      </c>
      <c r="CX82" s="9"/>
      <c r="CY82" s="761" t="s">
        <v>736</v>
      </c>
      <c r="CZ82" s="762" t="s">
        <v>349</v>
      </c>
      <c r="DA82" s="761"/>
      <c r="DB82" s="97" t="str">
        <f t="shared" si="15"/>
        <v>107</v>
      </c>
      <c r="DC82" s="104" t="s">
        <v>1961</v>
      </c>
      <c r="DD82" s="98">
        <f>IF(AV29=TRUE,1,0)</f>
        <v>1</v>
      </c>
      <c r="DE82" s="118"/>
      <c r="DF82" s="90"/>
      <c r="DG82" s="90"/>
      <c r="DH82" s="547" t="s">
        <v>2152</v>
      </c>
      <c r="DI82" s="547" t="s">
        <v>2173</v>
      </c>
      <c r="DJ82" s="772"/>
      <c r="DK82" s="101" t="str">
        <f t="shared" si="14"/>
        <v>93601Q07</v>
      </c>
      <c r="DL82" s="105" t="s">
        <v>2186</v>
      </c>
      <c r="DM82" s="105" t="s">
        <v>2187</v>
      </c>
      <c r="DN82" s="773" t="str">
        <f>T(記入シート1!I67)</f>
        <v/>
      </c>
      <c r="DO82" s="41"/>
      <c r="DP82" s="41"/>
      <c r="DQ82" s="465"/>
      <c r="DR82" s="465"/>
      <c r="DS82" s="465"/>
      <c r="DT82" s="465"/>
      <c r="DU82" s="465"/>
      <c r="DV82" s="38"/>
      <c r="DX82" s="115"/>
      <c r="DY82" s="115"/>
    </row>
    <row r="83" spans="1:129" ht="19.5" hidden="1" customHeight="1" thickBot="1">
      <c r="A83" s="447"/>
      <c r="B83" s="249"/>
      <c r="C83" s="2443"/>
      <c r="D83" s="2444"/>
      <c r="E83" s="2444"/>
      <c r="F83" s="2444"/>
      <c r="G83" s="2444"/>
      <c r="H83" s="2444"/>
      <c r="I83" s="2445"/>
      <c r="J83" s="1886" t="s">
        <v>4149</v>
      </c>
      <c r="K83" s="1887"/>
      <c r="L83" s="1887"/>
      <c r="M83" s="1887"/>
      <c r="N83" s="1888"/>
      <c r="O83" s="1151"/>
      <c r="P83" s="1151"/>
      <c r="Q83" s="1889" t="s">
        <v>4348</v>
      </c>
      <c r="R83" s="1889"/>
      <c r="S83" s="1889"/>
      <c r="T83" s="1151"/>
      <c r="U83" s="1151"/>
      <c r="V83" s="1889" t="s">
        <v>3594</v>
      </c>
      <c r="W83" s="1889"/>
      <c r="X83" s="1889"/>
      <c r="Y83" s="1890" t="s">
        <v>4374</v>
      </c>
      <c r="Z83" s="1891"/>
      <c r="AA83" s="1891"/>
      <c r="AB83" s="1891"/>
      <c r="AC83" s="1891"/>
      <c r="AD83" s="1891"/>
      <c r="AE83" s="1891"/>
      <c r="AF83" s="1891"/>
      <c r="AG83" s="1891"/>
      <c r="AH83" s="1891"/>
      <c r="AI83" s="1891"/>
      <c r="AJ83" s="1891"/>
      <c r="AK83" s="1891"/>
      <c r="AL83" s="1891"/>
      <c r="AM83" s="1891"/>
      <c r="AN83" s="1891"/>
      <c r="AO83" s="1891"/>
      <c r="AP83" s="1891"/>
      <c r="AQ83" s="1891"/>
      <c r="AR83" s="1891"/>
      <c r="AS83" s="1891"/>
      <c r="AT83" s="1892"/>
      <c r="AU83" s="234"/>
      <c r="AV83" s="200">
        <v>4</v>
      </c>
      <c r="AW83" s="488"/>
      <c r="BV83" s="22"/>
      <c r="BW83" s="22"/>
      <c r="BX83" s="22"/>
      <c r="BZ83" s="469" t="s">
        <v>1070</v>
      </c>
      <c r="CA83" s="469" t="str">
        <f t="shared" si="13"/>
        <v>0107746</v>
      </c>
      <c r="CB83" s="614" t="s">
        <v>1399</v>
      </c>
      <c r="CD83" s="145"/>
      <c r="CE83" s="145"/>
      <c r="CF83" s="145"/>
      <c r="CG83" s="38"/>
      <c r="CH83" s="65" t="s">
        <v>149</v>
      </c>
      <c r="CI83" s="65" t="s">
        <v>22</v>
      </c>
      <c r="CJ83" s="65">
        <v>100</v>
      </c>
      <c r="CK83" s="65" t="s">
        <v>90</v>
      </c>
      <c r="CL83" s="65" t="s">
        <v>90</v>
      </c>
      <c r="CM83" s="65"/>
      <c r="CN83" s="65"/>
      <c r="CO83" s="66" t="s">
        <v>148</v>
      </c>
      <c r="CP83" s="78" t="str">
        <f>ASC(LEFT(IF(LEFT(T(記入シート1!I110),8)="カブシキガイシャ",SUBSTITUTE(T(記入シート1!I110),"カブシキガイシャ","カ)"),IF(RIGHT(T(記入シート1!I110),8)="カブシキガイシャ",SUBSTITUTE(T(記入シート1!I110),"カブシキガイシャ","(カ"),IF(LEFT(T(記入シート1!I110),8)="ユウゲンガイシャ",SUBSTITUTE(T(記入シート1!I110),"ユウゲンガイシャ","ユ)"),IF(RIGHT(T(記入シート1!I110),8)="ユウゲンガイシャ",SUBSTITUTE(T(記入シート1!I110),"ユウゲンガイシャ","(ユ"),T(SUBSTITUTE(SUBSTITUTE(記入シート1!I110,"ヴ","ウﾞ"),"・",".")))))),35))</f>
        <v/>
      </c>
      <c r="CQ83" s="129"/>
      <c r="CR83" s="61"/>
      <c r="CS83" s="61"/>
      <c r="CT83" s="61"/>
      <c r="CU83" s="61"/>
      <c r="CV83" s="60"/>
      <c r="CW83" s="9" t="s">
        <v>1960</v>
      </c>
      <c r="CX83" s="9"/>
      <c r="CY83" s="761" t="s">
        <v>624</v>
      </c>
      <c r="CZ83" s="762" t="s">
        <v>1009</v>
      </c>
      <c r="DA83" s="761"/>
      <c r="DB83" s="97" t="str">
        <f t="shared" si="15"/>
        <v>108</v>
      </c>
      <c r="DC83" s="104" t="s">
        <v>1962</v>
      </c>
      <c r="DD83" s="98">
        <f>IF(AV30=TRUE,1,0)</f>
        <v>1</v>
      </c>
      <c r="DE83" s="118"/>
      <c r="DF83" s="90"/>
      <c r="DG83" s="90"/>
      <c r="DH83" s="547" t="s">
        <v>2152</v>
      </c>
      <c r="DI83" s="547" t="s">
        <v>2174</v>
      </c>
      <c r="DJ83" s="772"/>
      <c r="DK83" s="101" t="str">
        <f t="shared" si="14"/>
        <v>93601Q08</v>
      </c>
      <c r="DL83" s="105" t="s">
        <v>2186</v>
      </c>
      <c r="DM83" s="105" t="s">
        <v>2188</v>
      </c>
      <c r="DN83" s="773" t="str">
        <f>IF(記入シート1!AV88="00","",TEXT(記入シート1!AZ88,0))</f>
        <v/>
      </c>
      <c r="DO83" s="41"/>
      <c r="DP83" s="27"/>
      <c r="DQ83" s="466"/>
      <c r="DR83" s="466"/>
      <c r="DS83" s="466"/>
      <c r="DT83" s="466"/>
      <c r="DU83" s="466"/>
      <c r="DV83" s="38"/>
      <c r="DX83" s="115"/>
      <c r="DY83" s="115"/>
    </row>
    <row r="84" spans="1:129" ht="19.5" customHeight="1">
      <c r="A84" s="210"/>
      <c r="B84" s="249"/>
      <c r="C84" s="2440" t="s">
        <v>5040</v>
      </c>
      <c r="D84" s="2441"/>
      <c r="E84" s="2441"/>
      <c r="F84" s="2441"/>
      <c r="G84" s="2441"/>
      <c r="H84" s="2441"/>
      <c r="I84" s="2442"/>
      <c r="J84" s="2446" t="s">
        <v>4876</v>
      </c>
      <c r="K84" s="2447"/>
      <c r="L84" s="2447"/>
      <c r="M84" s="2447"/>
      <c r="N84" s="2448"/>
      <c r="O84" s="1205"/>
      <c r="P84" s="1206"/>
      <c r="Q84" s="2449" t="s">
        <v>4348</v>
      </c>
      <c r="R84" s="2449"/>
      <c r="S84" s="2449"/>
      <c r="T84" s="1206"/>
      <c r="U84" s="1217"/>
      <c r="V84" s="2450" t="s">
        <v>5045</v>
      </c>
      <c r="W84" s="2450"/>
      <c r="X84" s="2450"/>
      <c r="Y84" s="2450"/>
      <c r="Z84" s="2450"/>
      <c r="AA84" s="2450"/>
      <c r="AB84" s="2450"/>
      <c r="AC84" s="2450"/>
      <c r="AD84" s="1217"/>
      <c r="AE84" s="1218"/>
      <c r="AF84" s="2450" t="s">
        <v>5046</v>
      </c>
      <c r="AG84" s="2450"/>
      <c r="AH84" s="2450"/>
      <c r="AI84" s="2450"/>
      <c r="AJ84" s="2450"/>
      <c r="AK84" s="2450"/>
      <c r="AL84" s="2450"/>
      <c r="AM84" s="2451"/>
      <c r="AN84" s="1217"/>
      <c r="AO84" s="1217"/>
      <c r="AP84" s="1217"/>
      <c r="AQ84" s="1217"/>
      <c r="AR84" s="1217"/>
      <c r="AS84" s="1217"/>
      <c r="AT84" s="1208"/>
      <c r="AU84" s="234"/>
      <c r="AV84" s="200">
        <v>2</v>
      </c>
      <c r="BV84" s="22"/>
      <c r="BW84" s="22"/>
      <c r="BX84" s="22"/>
      <c r="BZ84" s="469" t="s">
        <v>2103</v>
      </c>
      <c r="CA84" s="469" t="str">
        <f t="shared" si="13"/>
        <v>9999995</v>
      </c>
      <c r="CB84" s="614" t="s">
        <v>2104</v>
      </c>
      <c r="CD84" s="145"/>
      <c r="CE84" s="145"/>
      <c r="CF84" s="145"/>
      <c r="CG84" s="38"/>
      <c r="CH84" s="77" t="s">
        <v>599</v>
      </c>
      <c r="CI84" s="77"/>
      <c r="CJ84" s="77"/>
      <c r="CK84" s="77"/>
      <c r="CL84" s="77"/>
      <c r="CM84" s="77"/>
      <c r="CN84" s="77"/>
      <c r="CO84" s="13"/>
      <c r="CP84" s="80"/>
      <c r="CQ84" s="129"/>
      <c r="CR84" s="61"/>
      <c r="CS84" s="61"/>
      <c r="CT84" s="61"/>
      <c r="CU84" s="61"/>
      <c r="CV84" s="60"/>
      <c r="CW84" s="9" t="s">
        <v>1976</v>
      </c>
      <c r="CX84" s="9"/>
      <c r="CY84" s="761" t="s">
        <v>624</v>
      </c>
      <c r="CZ84" s="762" t="s">
        <v>1009</v>
      </c>
      <c r="DA84" s="761"/>
      <c r="DB84" s="97" t="str">
        <f t="shared" si="15"/>
        <v>109</v>
      </c>
      <c r="DC84" s="104" t="s">
        <v>1990</v>
      </c>
      <c r="DD84" s="98">
        <f>IF(AV31=TRUE,1,0)</f>
        <v>1</v>
      </c>
      <c r="DE84" s="118"/>
      <c r="DF84" s="90"/>
      <c r="DG84" s="90"/>
      <c r="DH84" s="547" t="s">
        <v>2152</v>
      </c>
      <c r="DI84" s="547" t="s">
        <v>2175</v>
      </c>
      <c r="DJ84" s="772"/>
      <c r="DK84" s="101" t="str">
        <f t="shared" si="14"/>
        <v>93601Q09</v>
      </c>
      <c r="DL84" s="105" t="s">
        <v>2186</v>
      </c>
      <c r="DM84" s="105" t="s">
        <v>2189</v>
      </c>
      <c r="DN84" s="773" t="str">
        <f>IF(AV61="0000","",AV61)</f>
        <v>1000</v>
      </c>
      <c r="DO84" s="41"/>
      <c r="DP84" s="27"/>
      <c r="DQ84" s="466"/>
      <c r="DR84" s="466"/>
      <c r="DS84" s="466"/>
      <c r="DT84" s="466"/>
      <c r="DU84" s="466"/>
      <c r="DV84" s="38"/>
      <c r="DX84" s="115"/>
      <c r="DY84" s="115"/>
    </row>
    <row r="85" spans="1:129" ht="19.5" customHeight="1">
      <c r="A85" s="210"/>
      <c r="B85" s="249"/>
      <c r="C85" s="2125"/>
      <c r="D85" s="2126"/>
      <c r="E85" s="2126"/>
      <c r="F85" s="2126"/>
      <c r="G85" s="2126"/>
      <c r="H85" s="2126"/>
      <c r="I85" s="2127"/>
      <c r="J85" s="2452" t="s">
        <v>5044</v>
      </c>
      <c r="K85" s="2453"/>
      <c r="L85" s="2453"/>
      <c r="M85" s="2453"/>
      <c r="N85" s="2453"/>
      <c r="O85" s="2349" t="s">
        <v>5047</v>
      </c>
      <c r="P85" s="1895"/>
      <c r="Q85" s="1896">
        <v>123</v>
      </c>
      <c r="R85" s="1897"/>
      <c r="S85" s="1897">
        <v>123</v>
      </c>
      <c r="T85" s="1897"/>
      <c r="U85" s="1897">
        <v>123</v>
      </c>
      <c r="V85" s="1897"/>
      <c r="W85" s="1897">
        <v>123</v>
      </c>
      <c r="X85" s="1898"/>
      <c r="Y85" s="1894" t="s">
        <v>4874</v>
      </c>
      <c r="Z85" s="1895"/>
      <c r="AA85" s="1896"/>
      <c r="AB85" s="1897"/>
      <c r="AC85" s="1897"/>
      <c r="AD85" s="1897"/>
      <c r="AE85" s="1897"/>
      <c r="AF85" s="1897"/>
      <c r="AG85" s="1897"/>
      <c r="AH85" s="1898"/>
      <c r="AI85" s="1894" t="s">
        <v>5050</v>
      </c>
      <c r="AJ85" s="1895"/>
      <c r="AK85" s="1896"/>
      <c r="AL85" s="1897"/>
      <c r="AM85" s="1897"/>
      <c r="AN85" s="1897"/>
      <c r="AO85" s="1897"/>
      <c r="AP85" s="1897"/>
      <c r="AQ85" s="1897"/>
      <c r="AR85" s="1898"/>
      <c r="AS85" s="1213"/>
      <c r="AT85" s="1214"/>
      <c r="AU85" s="234"/>
      <c r="BV85" s="22"/>
      <c r="BW85" s="22"/>
      <c r="BX85" s="22"/>
      <c r="BZ85" s="469">
        <v>1626031</v>
      </c>
      <c r="CA85" s="469" t="s">
        <v>2246</v>
      </c>
      <c r="CB85" s="614" t="s">
        <v>2247</v>
      </c>
      <c r="CD85" s="145"/>
      <c r="CE85" s="145"/>
      <c r="CF85" s="145"/>
      <c r="CG85" s="38"/>
      <c r="CH85" s="62" t="s">
        <v>323</v>
      </c>
      <c r="CI85" s="63" t="s">
        <v>586</v>
      </c>
      <c r="CJ85" s="63" t="s">
        <v>321</v>
      </c>
      <c r="CK85" s="62" t="s">
        <v>320</v>
      </c>
      <c r="CL85" s="62" t="s">
        <v>587</v>
      </c>
      <c r="CM85" s="62" t="s">
        <v>326</v>
      </c>
      <c r="CN85" s="62" t="s">
        <v>327</v>
      </c>
      <c r="CO85" s="62" t="s">
        <v>376</v>
      </c>
      <c r="CP85" s="62" t="s">
        <v>328</v>
      </c>
      <c r="CQ85" s="129"/>
      <c r="CR85" s="61"/>
      <c r="CS85" s="61"/>
      <c r="CT85" s="61"/>
      <c r="CU85" s="61"/>
      <c r="CV85" s="60"/>
      <c r="CW85" s="9" t="s">
        <v>1972</v>
      </c>
      <c r="CX85" s="9"/>
      <c r="CY85" s="761" t="s">
        <v>624</v>
      </c>
      <c r="CZ85" s="762" t="s">
        <v>1009</v>
      </c>
      <c r="DA85" s="761"/>
      <c r="DB85" s="97" t="str">
        <f t="shared" si="15"/>
        <v>110</v>
      </c>
      <c r="DC85" s="104" t="s">
        <v>1991</v>
      </c>
      <c r="DD85" s="98">
        <f>IF(AV32=TRUE,1,0)</f>
        <v>1</v>
      </c>
      <c r="DE85" s="118"/>
      <c r="DF85" s="90"/>
      <c r="DG85" s="90"/>
      <c r="DH85" s="547" t="s">
        <v>2152</v>
      </c>
      <c r="DI85" s="547" t="s">
        <v>2176</v>
      </c>
      <c r="DJ85" s="772"/>
      <c r="DK85" s="101" t="str">
        <f t="shared" si="14"/>
        <v>93601Q0A</v>
      </c>
      <c r="DL85" s="105" t="s">
        <v>2186</v>
      </c>
      <c r="DM85" s="105" t="s">
        <v>2190</v>
      </c>
      <c r="DN85" s="773" t="str">
        <f>IF(AV62="0000","",AV62)</f>
        <v>1009</v>
      </c>
      <c r="DO85" s="41"/>
      <c r="DP85" s="27"/>
      <c r="DQ85" s="466"/>
      <c r="DR85" s="466"/>
      <c r="DS85" s="466"/>
      <c r="DT85" s="466"/>
      <c r="DU85" s="466"/>
      <c r="DV85" s="38"/>
      <c r="DX85" s="115"/>
      <c r="DY85" s="115"/>
    </row>
    <row r="86" spans="1:129" s="22" customFormat="1" ht="19.5" customHeight="1">
      <c r="A86" s="210"/>
      <c r="B86" s="249"/>
      <c r="C86" s="2125"/>
      <c r="D86" s="2126"/>
      <c r="E86" s="2126"/>
      <c r="F86" s="2126"/>
      <c r="G86" s="2126"/>
      <c r="H86" s="2126"/>
      <c r="I86" s="2127"/>
      <c r="J86" s="2454"/>
      <c r="K86" s="2453"/>
      <c r="L86" s="2453"/>
      <c r="M86" s="2453"/>
      <c r="N86" s="2453"/>
      <c r="O86" s="2349" t="s">
        <v>5048</v>
      </c>
      <c r="P86" s="1895"/>
      <c r="Q86" s="1896"/>
      <c r="R86" s="1897"/>
      <c r="S86" s="1897"/>
      <c r="T86" s="1897"/>
      <c r="U86" s="1897"/>
      <c r="V86" s="1897"/>
      <c r="W86" s="1897"/>
      <c r="X86" s="1898"/>
      <c r="Y86" s="1894" t="s">
        <v>5052</v>
      </c>
      <c r="Z86" s="1895"/>
      <c r="AA86" s="1896"/>
      <c r="AB86" s="1897"/>
      <c r="AC86" s="1897"/>
      <c r="AD86" s="1897"/>
      <c r="AE86" s="1897"/>
      <c r="AF86" s="1897"/>
      <c r="AG86" s="1897"/>
      <c r="AH86" s="1898"/>
      <c r="AI86" s="1894" t="s">
        <v>5051</v>
      </c>
      <c r="AJ86" s="1895"/>
      <c r="AK86" s="1896"/>
      <c r="AL86" s="1897"/>
      <c r="AM86" s="1897"/>
      <c r="AN86" s="1897"/>
      <c r="AO86" s="1897"/>
      <c r="AP86" s="1897"/>
      <c r="AQ86" s="1897"/>
      <c r="AR86" s="1898"/>
      <c r="AS86" s="1215"/>
      <c r="AT86" s="1216"/>
      <c r="AU86" s="234"/>
      <c r="AV86" s="199"/>
      <c r="AW86" s="200"/>
      <c r="AX86" s="200"/>
      <c r="AY86" s="200"/>
      <c r="AZ86" s="200"/>
      <c r="BA86" s="24"/>
      <c r="BB86" s="24"/>
      <c r="BC86" s="24"/>
      <c r="BD86" s="24"/>
      <c r="BE86" s="24"/>
      <c r="BF86" s="24"/>
      <c r="BG86" s="24"/>
      <c r="BH86" s="24"/>
      <c r="BI86" s="24"/>
      <c r="BJ86" s="24"/>
      <c r="BK86" s="24"/>
      <c r="BL86" s="24"/>
      <c r="BM86" s="24"/>
      <c r="BN86" s="24"/>
      <c r="BO86" s="24"/>
      <c r="BP86" s="24"/>
      <c r="BQ86" s="24"/>
      <c r="BR86" s="24"/>
      <c r="BS86" s="24"/>
      <c r="BT86" s="24"/>
      <c r="BU86" s="24"/>
      <c r="BY86" s="24"/>
      <c r="BZ86" s="469">
        <v>1626033</v>
      </c>
      <c r="CA86" s="469" t="s">
        <v>2248</v>
      </c>
      <c r="CB86" s="614" t="s">
        <v>2249</v>
      </c>
      <c r="CC86" s="24"/>
      <c r="CD86" s="145"/>
      <c r="CE86" s="145"/>
      <c r="CF86" s="145"/>
      <c r="CG86" s="38"/>
      <c r="CH86" s="65" t="s">
        <v>121</v>
      </c>
      <c r="CI86" s="65" t="s">
        <v>22</v>
      </c>
      <c r="CJ86" s="65">
        <v>40</v>
      </c>
      <c r="CK86" s="65" t="s">
        <v>216</v>
      </c>
      <c r="CL86" s="65" t="s">
        <v>90</v>
      </c>
      <c r="CM86" s="65"/>
      <c r="CN86" s="65"/>
      <c r="CO86" s="66" t="s">
        <v>120</v>
      </c>
      <c r="CP86" s="78" t="str">
        <f>ASC(SUBSTITUTE(SUBSTITUTE(記入シート1!I117,"ヴ","ウﾞ"),"・",""))</f>
        <v/>
      </c>
      <c r="CQ86" s="129"/>
      <c r="CR86" s="61"/>
      <c r="CS86" s="61"/>
      <c r="CT86" s="61"/>
      <c r="CU86" s="61"/>
      <c r="CV86" s="60"/>
      <c r="CW86" s="9" t="s">
        <v>1974</v>
      </c>
      <c r="CX86" s="9"/>
      <c r="CY86" s="761" t="s">
        <v>624</v>
      </c>
      <c r="CZ86" s="762" t="s">
        <v>1009</v>
      </c>
      <c r="DA86" s="761"/>
      <c r="DB86" s="97" t="str">
        <f t="shared" si="15"/>
        <v>111</v>
      </c>
      <c r="DC86" s="104" t="s">
        <v>1992</v>
      </c>
      <c r="DD86" s="98">
        <f>IF(AV33=TRUE,1,0)</f>
        <v>1</v>
      </c>
      <c r="DE86" s="118"/>
      <c r="DF86" s="90"/>
      <c r="DG86" s="90"/>
      <c r="DH86" s="547" t="s">
        <v>2152</v>
      </c>
      <c r="DI86" s="547" t="s">
        <v>2177</v>
      </c>
      <c r="DJ86" s="771" t="s">
        <v>3350</v>
      </c>
      <c r="DK86" s="101" t="str">
        <f t="shared" si="14"/>
        <v>93601Q0B</v>
      </c>
      <c r="DL86" s="105" t="s">
        <v>2186</v>
      </c>
      <c r="DM86" s="105" t="s">
        <v>2191</v>
      </c>
      <c r="DN86" s="773" t="str">
        <f>IF(AV63=1,"0",IF(AV63=2,"1",""))</f>
        <v>0</v>
      </c>
      <c r="DO86" s="27"/>
      <c r="DP86" s="27"/>
      <c r="DQ86" s="466"/>
      <c r="DR86" s="466"/>
      <c r="DS86" s="466"/>
      <c r="DT86" s="466"/>
      <c r="DU86" s="466"/>
      <c r="DV86" s="38"/>
      <c r="DX86" s="115"/>
      <c r="DY86" s="115"/>
    </row>
    <row r="87" spans="1:129" ht="19.5" customHeight="1" thickBot="1">
      <c r="A87" s="1048"/>
      <c r="B87" s="249"/>
      <c r="C87" s="2443"/>
      <c r="D87" s="2444"/>
      <c r="E87" s="2444"/>
      <c r="F87" s="2444"/>
      <c r="G87" s="2444"/>
      <c r="H87" s="2444"/>
      <c r="I87" s="2445"/>
      <c r="J87" s="2794" t="s">
        <v>5043</v>
      </c>
      <c r="K87" s="2795"/>
      <c r="L87" s="2795"/>
      <c r="M87" s="2795"/>
      <c r="N87" s="2796"/>
      <c r="O87" s="1191"/>
      <c r="P87" s="1191"/>
      <c r="Q87" s="2797" t="s">
        <v>4348</v>
      </c>
      <c r="R87" s="2797"/>
      <c r="S87" s="2797"/>
      <c r="T87" s="1191"/>
      <c r="U87" s="1191"/>
      <c r="V87" s="2798" t="s">
        <v>3594</v>
      </c>
      <c r="W87" s="2798"/>
      <c r="X87" s="2799"/>
      <c r="Y87" s="1209"/>
      <c r="Z87" s="1209"/>
      <c r="AA87" s="1209"/>
      <c r="AB87" s="1209"/>
      <c r="AC87" s="1209"/>
      <c r="AD87" s="1209"/>
      <c r="AE87" s="1209"/>
      <c r="AF87" s="1209"/>
      <c r="AG87" s="1210"/>
      <c r="AH87" s="1210"/>
      <c r="AI87" s="1210"/>
      <c r="AJ87" s="1210"/>
      <c r="AK87" s="1210"/>
      <c r="AL87" s="1211"/>
      <c r="AM87" s="1211"/>
      <c r="AN87" s="1211"/>
      <c r="AO87" s="1211"/>
      <c r="AP87" s="1211"/>
      <c r="AQ87" s="1211"/>
      <c r="AR87" s="1211"/>
      <c r="AS87" s="1209"/>
      <c r="AT87" s="1212"/>
      <c r="AU87" s="234"/>
      <c r="AV87" s="199">
        <v>1</v>
      </c>
      <c r="BV87" s="22"/>
      <c r="BW87" s="22"/>
      <c r="BX87" s="22"/>
      <c r="BZ87" s="469">
        <v>1626035</v>
      </c>
      <c r="CA87" s="469" t="s">
        <v>2250</v>
      </c>
      <c r="CB87" s="614" t="s">
        <v>2251</v>
      </c>
      <c r="CD87" s="145"/>
      <c r="CE87" s="145"/>
      <c r="CF87" s="145"/>
      <c r="CG87" s="38"/>
      <c r="CH87" s="65" t="s">
        <v>452</v>
      </c>
      <c r="CI87" s="65" t="s">
        <v>21</v>
      </c>
      <c r="CJ87" s="65">
        <v>40</v>
      </c>
      <c r="CK87" s="65" t="s">
        <v>216</v>
      </c>
      <c r="CL87" s="65" t="s">
        <v>90</v>
      </c>
      <c r="CM87" s="65"/>
      <c r="CN87" s="65"/>
      <c r="CO87" s="66" t="s">
        <v>122</v>
      </c>
      <c r="CP87" s="78" t="str">
        <f>T(記入シート1!I118)</f>
        <v/>
      </c>
      <c r="CQ87" s="129"/>
      <c r="CR87" s="61"/>
      <c r="CS87" s="61"/>
      <c r="CT87" s="61"/>
      <c r="CU87" s="61"/>
      <c r="CV87" s="60"/>
      <c r="CW87" s="763" t="s">
        <v>2151</v>
      </c>
      <c r="CX87" s="763"/>
      <c r="CY87" s="761" t="s">
        <v>736</v>
      </c>
      <c r="CZ87" s="762" t="s">
        <v>1112</v>
      </c>
      <c r="DA87" s="761"/>
      <c r="DB87" s="97" t="str">
        <f t="shared" si="15"/>
        <v>931</v>
      </c>
      <c r="DC87" s="764" t="s">
        <v>2160</v>
      </c>
      <c r="DD87" s="98">
        <f>IF(AV45=TRUE,1,0)</f>
        <v>1</v>
      </c>
      <c r="DE87" s="147"/>
      <c r="DF87" s="90"/>
      <c r="DG87" s="90"/>
      <c r="DH87" s="547" t="s">
        <v>2152</v>
      </c>
      <c r="DI87" s="547" t="s">
        <v>2178</v>
      </c>
      <c r="DJ87" s="772"/>
      <c r="DK87" s="101" t="str">
        <f t="shared" si="14"/>
        <v>93601Q0C</v>
      </c>
      <c r="DL87" s="105" t="s">
        <v>2186</v>
      </c>
      <c r="DM87" s="105" t="s">
        <v>2192</v>
      </c>
      <c r="DN87" s="773" t="str">
        <f>ASC(記入シート1!I43)</f>
        <v/>
      </c>
      <c r="DO87" s="27"/>
      <c r="DV87" s="38"/>
      <c r="DX87" s="115"/>
      <c r="DY87" s="115"/>
    </row>
    <row r="88" spans="1:129" ht="19.5" hidden="1" customHeight="1">
      <c r="A88" s="1048" t="s">
        <v>1234</v>
      </c>
      <c r="B88" s="249"/>
      <c r="C88" s="2001" t="s">
        <v>3593</v>
      </c>
      <c r="D88" s="2002"/>
      <c r="E88" s="2002"/>
      <c r="F88" s="2002"/>
      <c r="G88" s="2002"/>
      <c r="H88" s="2002"/>
      <c r="I88" s="2002"/>
      <c r="J88" s="2002"/>
      <c r="K88" s="2002"/>
      <c r="L88" s="2002"/>
      <c r="M88" s="2003"/>
      <c r="N88" s="2006" t="s">
        <v>3594</v>
      </c>
      <c r="O88" s="2002"/>
      <c r="P88" s="2002"/>
      <c r="Q88" s="2003"/>
      <c r="R88" s="2006" t="s">
        <v>3595</v>
      </c>
      <c r="S88" s="2002"/>
      <c r="T88" s="2002"/>
      <c r="U88" s="2002"/>
      <c r="V88" s="2002"/>
      <c r="W88" s="2002"/>
      <c r="X88" s="2002"/>
      <c r="Y88" s="2002"/>
      <c r="Z88" s="2002"/>
      <c r="AA88" s="2002"/>
      <c r="AB88" s="2002"/>
      <c r="AC88" s="2002"/>
      <c r="AD88" s="2002"/>
      <c r="AE88" s="2002"/>
      <c r="AF88" s="2002"/>
      <c r="AG88" s="2002"/>
      <c r="AH88" s="2002"/>
      <c r="AI88" s="2002"/>
      <c r="AJ88" s="2002"/>
      <c r="AK88" s="2002"/>
      <c r="AL88" s="2002"/>
      <c r="AM88" s="2002"/>
      <c r="AN88" s="2002"/>
      <c r="AO88" s="2002"/>
      <c r="AP88" s="2002"/>
      <c r="AQ88" s="2002"/>
      <c r="AR88" s="2002"/>
      <c r="AS88" s="2002"/>
      <c r="AT88" s="2439"/>
      <c r="AU88" s="234"/>
      <c r="BV88" s="22"/>
      <c r="BW88" s="22"/>
      <c r="BX88" s="22"/>
      <c r="BZ88" s="469">
        <v>1300134</v>
      </c>
      <c r="CA88" s="469" t="s">
        <v>2252</v>
      </c>
      <c r="CB88" s="614" t="s">
        <v>2253</v>
      </c>
      <c r="CD88" s="145"/>
      <c r="CE88" s="145"/>
      <c r="CF88" s="145"/>
      <c r="CG88" s="38"/>
      <c r="CH88" s="65" t="s">
        <v>462</v>
      </c>
      <c r="CI88" s="65" t="s">
        <v>21</v>
      </c>
      <c r="CJ88" s="65">
        <v>40</v>
      </c>
      <c r="CK88" s="65" t="s">
        <v>83</v>
      </c>
      <c r="CL88" s="65" t="s">
        <v>83</v>
      </c>
      <c r="CM88" s="65"/>
      <c r="CN88" s="65"/>
      <c r="CO88" s="66" t="s">
        <v>117</v>
      </c>
      <c r="CP88" s="78" t="str">
        <f>T(記入シート1!AE117)</f>
        <v/>
      </c>
      <c r="CQ88" s="129"/>
      <c r="CR88" s="61"/>
      <c r="CS88" s="61"/>
      <c r="CT88" s="61"/>
      <c r="CU88" s="61"/>
      <c r="CV88" s="60"/>
      <c r="CW88" s="763" t="s">
        <v>2159</v>
      </c>
      <c r="CX88" s="763"/>
      <c r="CY88" s="761"/>
      <c r="CZ88" s="762"/>
      <c r="DA88" s="761"/>
      <c r="DB88" s="97" t="str">
        <f t="shared" si="15"/>
        <v>931</v>
      </c>
      <c r="DC88" s="764" t="s">
        <v>2161</v>
      </c>
      <c r="DD88" s="768" t="str">
        <f>""</f>
        <v/>
      </c>
      <c r="DE88" s="147"/>
      <c r="DF88" s="90"/>
      <c r="DG88" s="90"/>
      <c r="DH88" s="547" t="s">
        <v>2152</v>
      </c>
      <c r="DI88" s="547" t="s">
        <v>3238</v>
      </c>
      <c r="DJ88" s="772"/>
      <c r="DK88" s="101" t="str">
        <f t="shared" si="14"/>
        <v>93601Q0D</v>
      </c>
      <c r="DL88" s="105" t="s">
        <v>2186</v>
      </c>
      <c r="DM88" s="105" t="s">
        <v>3351</v>
      </c>
      <c r="DN88" s="773" t="str">
        <f>T(記入シート1!I66)</f>
        <v/>
      </c>
      <c r="DO88" s="27"/>
      <c r="DV88" s="38"/>
      <c r="DX88" s="115"/>
      <c r="DY88" s="115"/>
    </row>
    <row r="89" spans="1:129" ht="19.5" customHeight="1" thickBot="1">
      <c r="A89" s="1048"/>
      <c r="B89" s="249"/>
      <c r="C89" s="2803" t="s">
        <v>5525</v>
      </c>
      <c r="D89" s="2804"/>
      <c r="E89" s="2804"/>
      <c r="F89" s="2804"/>
      <c r="G89" s="2804"/>
      <c r="H89" s="2804"/>
      <c r="I89" s="2805"/>
      <c r="J89" s="1335"/>
      <c r="K89" s="1336"/>
      <c r="L89" s="2806" t="s">
        <v>4348</v>
      </c>
      <c r="M89" s="2806"/>
      <c r="N89" s="2807"/>
      <c r="O89" s="2808" t="s">
        <v>5526</v>
      </c>
      <c r="P89" s="2809"/>
      <c r="Q89" s="2809"/>
      <c r="R89" s="2809"/>
      <c r="S89" s="2809"/>
      <c r="T89" s="2809"/>
      <c r="U89" s="2809"/>
      <c r="V89" s="2809"/>
      <c r="W89" s="2809"/>
      <c r="X89" s="2809"/>
      <c r="Y89" s="2809"/>
      <c r="Z89" s="2809"/>
      <c r="AA89" s="2809"/>
      <c r="AB89" s="2809"/>
      <c r="AC89" s="2809"/>
      <c r="AD89" s="2809"/>
      <c r="AE89" s="2809"/>
      <c r="AF89" s="2809"/>
      <c r="AG89" s="2809"/>
      <c r="AH89" s="2809"/>
      <c r="AI89" s="2809"/>
      <c r="AJ89" s="2809"/>
      <c r="AK89" s="2809"/>
      <c r="AL89" s="2809"/>
      <c r="AM89" s="2809"/>
      <c r="AN89" s="2809"/>
      <c r="AO89" s="2809"/>
      <c r="AP89" s="2809"/>
      <c r="AQ89" s="2809"/>
      <c r="AR89" s="2809"/>
      <c r="AS89" s="2809"/>
      <c r="AT89" s="2810"/>
      <c r="AU89" s="234"/>
      <c r="AV89" s="199" t="b">
        <v>0</v>
      </c>
      <c r="AW89" s="325" t="s">
        <v>550</v>
      </c>
      <c r="AX89" s="776">
        <f>L86</f>
        <v>0</v>
      </c>
      <c r="AY89" s="776">
        <f>Q86</f>
        <v>0</v>
      </c>
      <c r="AZ89" s="327"/>
      <c r="BA89" s="328" t="s">
        <v>643</v>
      </c>
      <c r="BB89" s="316"/>
      <c r="BC89" s="316"/>
      <c r="BD89" s="315"/>
      <c r="BE89" s="315"/>
      <c r="BF89" s="317"/>
      <c r="BG89" s="318"/>
      <c r="BH89" s="319"/>
      <c r="BI89" s="320"/>
      <c r="BJ89" s="318"/>
      <c r="BK89" s="315"/>
      <c r="BL89" s="293"/>
      <c r="BM89" s="293"/>
      <c r="BN89" s="321"/>
      <c r="BO89" s="321"/>
      <c r="BP89" s="322"/>
      <c r="BR89" s="315"/>
      <c r="BV89" s="22"/>
      <c r="BW89" s="22"/>
      <c r="BX89" s="22"/>
      <c r="BZ89" s="469">
        <v>1301064</v>
      </c>
      <c r="CA89" s="469" t="s">
        <v>2254</v>
      </c>
      <c r="CB89" s="614" t="s">
        <v>2255</v>
      </c>
      <c r="CD89" s="145"/>
      <c r="CE89" s="145"/>
      <c r="CF89" s="145"/>
      <c r="CG89" s="38"/>
      <c r="CH89" s="65" t="s">
        <v>116</v>
      </c>
      <c r="CI89" s="65" t="s">
        <v>22</v>
      </c>
      <c r="CJ89" s="65">
        <v>15</v>
      </c>
      <c r="CK89" s="65" t="s">
        <v>216</v>
      </c>
      <c r="CL89" s="65" t="s">
        <v>90</v>
      </c>
      <c r="CM89" s="84"/>
      <c r="CN89" s="84"/>
      <c r="CO89" s="66" t="s">
        <v>115</v>
      </c>
      <c r="CP89" s="78" t="str">
        <f>ASC(記入シート1!AE118)&amp;"-"&amp;ASC(記入シート1!AK118)&amp;"-"&amp;ASC(記入シート1!AP118)</f>
        <v>--</v>
      </c>
      <c r="CQ89" s="129"/>
      <c r="CR89" s="61"/>
      <c r="CS89" s="61"/>
      <c r="CT89" s="61"/>
      <c r="CU89" s="61"/>
      <c r="CV89" s="60"/>
      <c r="CW89" s="763" t="s">
        <v>2150</v>
      </c>
      <c r="CX89" s="763"/>
      <c r="CY89" s="761" t="s">
        <v>736</v>
      </c>
      <c r="CZ89" s="762" t="s">
        <v>1112</v>
      </c>
      <c r="DA89" s="761"/>
      <c r="DB89" s="97" t="str">
        <f t="shared" si="15"/>
        <v>932</v>
      </c>
      <c r="DC89" s="764" t="s">
        <v>2162</v>
      </c>
      <c r="DD89" s="98">
        <f>IF(AV44=TRUE,1,0)</f>
        <v>1</v>
      </c>
      <c r="DE89" s="147"/>
      <c r="DF89" s="90"/>
      <c r="DG89" s="90"/>
      <c r="DH89" s="547" t="s">
        <v>2152</v>
      </c>
      <c r="DI89" s="547" t="s">
        <v>3239</v>
      </c>
      <c r="DJ89" s="771" t="s">
        <v>3348</v>
      </c>
      <c r="DK89" s="101" t="str">
        <f t="shared" si="14"/>
        <v>93601Q0E</v>
      </c>
      <c r="DL89" s="105" t="s">
        <v>2186</v>
      </c>
      <c r="DM89" s="105" t="s">
        <v>3352</v>
      </c>
      <c r="DN89" s="851" t="str">
        <f>""</f>
        <v/>
      </c>
      <c r="DO89" s="27"/>
      <c r="DV89" s="38"/>
      <c r="DX89" s="115"/>
      <c r="DY89" s="115"/>
    </row>
    <row r="90" spans="1:129" ht="19.5" hidden="1" customHeight="1" thickBot="1">
      <c r="A90" s="1048" t="s">
        <v>1234</v>
      </c>
      <c r="B90" s="249"/>
      <c r="C90" s="1307"/>
      <c r="D90" s="1308"/>
      <c r="E90" s="1308"/>
      <c r="F90" s="1308"/>
      <c r="G90" s="1308"/>
      <c r="H90" s="1308"/>
      <c r="I90" s="1308"/>
      <c r="J90" s="1308"/>
      <c r="K90" s="1308"/>
      <c r="L90" s="1308"/>
      <c r="M90" s="1308"/>
      <c r="N90" s="1309"/>
      <c r="O90" s="1309"/>
      <c r="P90" s="1309"/>
      <c r="Q90" s="1309"/>
      <c r="R90" s="1310"/>
      <c r="S90" s="1311"/>
      <c r="T90" s="1311"/>
      <c r="U90" s="1311"/>
      <c r="V90" s="1311"/>
      <c r="W90" s="1311"/>
      <c r="X90" s="1311"/>
      <c r="Y90" s="1311"/>
      <c r="Z90" s="1311"/>
      <c r="AA90" s="1311"/>
      <c r="AB90" s="1311"/>
      <c r="AC90" s="1311"/>
      <c r="AD90" s="1311"/>
      <c r="AE90" s="1311"/>
      <c r="AF90" s="1311"/>
      <c r="AG90" s="1311"/>
      <c r="AH90" s="1311"/>
      <c r="AI90" s="1311"/>
      <c r="AJ90" s="1311"/>
      <c r="AK90" s="1311"/>
      <c r="AL90" s="1311"/>
      <c r="AM90" s="1311"/>
      <c r="AN90" s="1311"/>
      <c r="AO90" s="1311"/>
      <c r="AP90" s="1311"/>
      <c r="AQ90" s="1311"/>
      <c r="AR90" s="1311"/>
      <c r="AS90" s="1311"/>
      <c r="AT90" s="1312"/>
      <c r="AU90" s="234"/>
      <c r="AV90" s="199" t="b">
        <v>1</v>
      </c>
      <c r="AW90" s="325"/>
      <c r="AX90" s="326"/>
      <c r="AY90" s="326"/>
      <c r="AZ90" s="327"/>
      <c r="BA90" s="328"/>
      <c r="BB90" s="316"/>
      <c r="BC90" s="316"/>
      <c r="BD90" s="315"/>
      <c r="BE90" s="315"/>
      <c r="BF90" s="317"/>
      <c r="BG90" s="318"/>
      <c r="BH90" s="319"/>
      <c r="BI90" s="320"/>
      <c r="BJ90" s="318"/>
      <c r="BK90" s="315"/>
      <c r="BL90" s="293"/>
      <c r="BM90" s="293"/>
      <c r="BN90" s="321"/>
      <c r="BO90" s="321"/>
      <c r="BP90" s="322"/>
      <c r="BR90" s="315"/>
      <c r="BV90" s="22"/>
      <c r="BW90" s="22"/>
      <c r="BX90" s="22"/>
      <c r="BZ90" s="469">
        <v>1602184</v>
      </c>
      <c r="CA90" s="469" t="s">
        <v>2256</v>
      </c>
      <c r="CB90" s="614" t="s">
        <v>2257</v>
      </c>
      <c r="CD90" s="145"/>
      <c r="CE90" s="145"/>
      <c r="CF90" s="145"/>
      <c r="CG90" s="38"/>
      <c r="CH90" s="65" t="s">
        <v>463</v>
      </c>
      <c r="CI90" s="65" t="s">
        <v>22</v>
      </c>
      <c r="CJ90" s="65">
        <v>128</v>
      </c>
      <c r="CK90" s="65" t="s">
        <v>216</v>
      </c>
      <c r="CL90" s="65" t="s">
        <v>90</v>
      </c>
      <c r="CM90" s="65"/>
      <c r="CN90" s="65"/>
      <c r="CO90" s="66" t="s">
        <v>113</v>
      </c>
      <c r="CP90" s="78" t="str">
        <f>ASC(記入シート1!AE120)</f>
        <v/>
      </c>
      <c r="CQ90" s="129"/>
      <c r="CR90" s="61"/>
      <c r="CS90" s="61"/>
      <c r="CT90" s="61"/>
      <c r="CU90" s="61"/>
      <c r="CV90" s="60"/>
      <c r="CW90" s="763" t="s">
        <v>938</v>
      </c>
      <c r="CX90" s="763"/>
      <c r="CY90" s="761" t="s">
        <v>736</v>
      </c>
      <c r="CZ90" s="762" t="s">
        <v>1112</v>
      </c>
      <c r="DA90" s="761"/>
      <c r="DB90" s="97" t="str">
        <f t="shared" si="15"/>
        <v>935</v>
      </c>
      <c r="DC90" s="764" t="s">
        <v>2163</v>
      </c>
      <c r="DD90" s="98">
        <f>IF(AV47=TRUE,1,0)</f>
        <v>1</v>
      </c>
      <c r="DE90" s="147"/>
      <c r="DF90" s="90"/>
      <c r="DG90" s="90"/>
      <c r="DH90" s="547" t="s">
        <v>2152</v>
      </c>
      <c r="DI90" s="547" t="s">
        <v>3240</v>
      </c>
      <c r="DJ90" s="771" t="s">
        <v>3349</v>
      </c>
      <c r="DK90" s="101" t="str">
        <f t="shared" si="14"/>
        <v>93601Q0F</v>
      </c>
      <c r="DL90" s="105" t="s">
        <v>2186</v>
      </c>
      <c r="DM90" s="105" t="s">
        <v>3353</v>
      </c>
      <c r="DN90" s="773" t="str">
        <f>IF(OR(CP26&gt;=10000000000,記入シート1!I43&gt;=100),"1","2")</f>
        <v>2</v>
      </c>
      <c r="DV90" s="38"/>
      <c r="DX90" s="115"/>
      <c r="DY90" s="115"/>
    </row>
    <row r="91" spans="1:129" ht="24" hidden="1" customHeight="1">
      <c r="A91" s="1048" t="s">
        <v>3836</v>
      </c>
      <c r="B91" s="249"/>
      <c r="C91" s="2460" t="s">
        <v>3835</v>
      </c>
      <c r="D91" s="2461"/>
      <c r="E91" s="2461"/>
      <c r="F91" s="2461"/>
      <c r="G91" s="2461"/>
      <c r="H91" s="2461"/>
      <c r="I91" s="2461"/>
      <c r="J91" s="2461"/>
      <c r="K91" s="2461"/>
      <c r="L91" s="2461"/>
      <c r="M91" s="2461"/>
      <c r="N91" s="2464"/>
      <c r="O91" s="2464"/>
      <c r="P91" s="2464"/>
      <c r="Q91" s="2464"/>
      <c r="R91" s="2466" t="s">
        <v>3833</v>
      </c>
      <c r="S91" s="2466"/>
      <c r="T91" s="2466"/>
      <c r="U91" s="2466"/>
      <c r="V91" s="2466"/>
      <c r="W91" s="2466"/>
      <c r="X91" s="2466"/>
      <c r="Y91" s="2466"/>
      <c r="Z91" s="2466"/>
      <c r="AA91" s="2466"/>
      <c r="AB91" s="2466"/>
      <c r="AC91" s="2466"/>
      <c r="AD91" s="2466"/>
      <c r="AE91" s="2466"/>
      <c r="AF91" s="2466"/>
      <c r="AG91" s="2466"/>
      <c r="AH91" s="2466"/>
      <c r="AI91" s="2466"/>
      <c r="AJ91" s="2466"/>
      <c r="AK91" s="2466"/>
      <c r="AL91" s="2466"/>
      <c r="AM91" s="2466"/>
      <c r="AN91" s="2466"/>
      <c r="AO91" s="2466"/>
      <c r="AP91" s="2466"/>
      <c r="AQ91" s="2466"/>
      <c r="AR91" s="2466"/>
      <c r="AS91" s="2466"/>
      <c r="AT91" s="2467"/>
      <c r="AU91" s="234"/>
      <c r="AV91" s="199" t="b">
        <v>1</v>
      </c>
      <c r="AW91" s="325"/>
      <c r="AX91" s="326"/>
      <c r="AY91" s="326"/>
      <c r="AZ91" s="327"/>
      <c r="BA91" s="328"/>
      <c r="BB91" s="316"/>
      <c r="BC91" s="316"/>
      <c r="BD91" s="315"/>
      <c r="BE91" s="315"/>
      <c r="BF91" s="317"/>
      <c r="BG91" s="318"/>
      <c r="BH91" s="319"/>
      <c r="BI91" s="320"/>
      <c r="BJ91" s="318"/>
      <c r="BK91" s="315"/>
      <c r="BL91" s="293"/>
      <c r="BM91" s="293"/>
      <c r="BN91" s="321"/>
      <c r="BO91" s="321"/>
      <c r="BP91" s="322"/>
      <c r="BR91" s="315"/>
      <c r="BV91" s="22"/>
      <c r="BW91" s="22"/>
      <c r="BX91" s="22"/>
      <c r="BZ91" s="469">
        <v>1202896</v>
      </c>
      <c r="CA91" s="469" t="s">
        <v>2258</v>
      </c>
      <c r="CB91" s="614" t="s">
        <v>2259</v>
      </c>
      <c r="CD91" s="145"/>
      <c r="CE91" s="145"/>
      <c r="CF91" s="145"/>
      <c r="CG91" s="38"/>
      <c r="CH91" s="586" t="s">
        <v>114</v>
      </c>
      <c r="CI91" s="586" t="s">
        <v>22</v>
      </c>
      <c r="CJ91" s="586">
        <v>15</v>
      </c>
      <c r="CK91" s="586" t="s">
        <v>216</v>
      </c>
      <c r="CL91" s="586" t="s">
        <v>20</v>
      </c>
      <c r="CM91" s="586"/>
      <c r="CN91" s="586"/>
      <c r="CO91" s="66" t="s">
        <v>544</v>
      </c>
      <c r="CP91" s="67" t="str">
        <f>IF(OR(記入シート1!AE119="",記入シート1!AK119="",記入シート1!AP119=""),"00-0000-0000",ASC(記入シート1!AE119)&amp;"-"&amp;ASC(記入シート1!AK119)&amp;"-"&amp;ASC(記入シート1!AP119))</f>
        <v>00-0000-0000</v>
      </c>
      <c r="CQ91" s="129"/>
      <c r="CR91" s="61"/>
      <c r="CS91" s="61"/>
      <c r="CT91" s="61"/>
      <c r="CU91" s="61"/>
      <c r="CV91" s="60"/>
      <c r="CW91" s="763" t="s">
        <v>2152</v>
      </c>
      <c r="CX91" s="763"/>
      <c r="CY91" s="761" t="s">
        <v>736</v>
      </c>
      <c r="CZ91" s="762" t="s">
        <v>1112</v>
      </c>
      <c r="DA91" s="761"/>
      <c r="DB91" s="97" t="str">
        <f t="shared" si="15"/>
        <v>936</v>
      </c>
      <c r="DC91" s="764" t="s">
        <v>2164</v>
      </c>
      <c r="DD91" s="98">
        <f>IF(AV60=TRUE,1,0)</f>
        <v>1</v>
      </c>
      <c r="DE91" s="147"/>
      <c r="DF91" s="90"/>
      <c r="DG91" s="90"/>
      <c r="DH91" s="547" t="s">
        <v>2152</v>
      </c>
      <c r="DI91" s="547" t="s">
        <v>3241</v>
      </c>
      <c r="DJ91" s="771" t="s">
        <v>3262</v>
      </c>
      <c r="DK91" s="101" t="str">
        <f t="shared" si="14"/>
        <v>93601Q0G</v>
      </c>
      <c r="DL91" s="105" t="s">
        <v>2186</v>
      </c>
      <c r="DM91" s="105" t="s">
        <v>3354</v>
      </c>
      <c r="DN91" s="773" t="str">
        <f>ASC(AY61)</f>
        <v>0</v>
      </c>
      <c r="DV91" s="38"/>
      <c r="DX91" s="115"/>
      <c r="DY91" s="115"/>
    </row>
    <row r="92" spans="1:129" ht="24" hidden="1" customHeight="1" thickBot="1">
      <c r="A92" s="1048" t="s">
        <v>3836</v>
      </c>
      <c r="B92" s="249"/>
      <c r="C92" s="2462"/>
      <c r="D92" s="2463"/>
      <c r="E92" s="2463"/>
      <c r="F92" s="2463"/>
      <c r="G92" s="2463"/>
      <c r="H92" s="2463"/>
      <c r="I92" s="2463"/>
      <c r="J92" s="2463"/>
      <c r="K92" s="2463"/>
      <c r="L92" s="2463"/>
      <c r="M92" s="2463"/>
      <c r="N92" s="2465"/>
      <c r="O92" s="2465"/>
      <c r="P92" s="2465"/>
      <c r="Q92" s="2465"/>
      <c r="R92" s="2468"/>
      <c r="S92" s="2468"/>
      <c r="T92" s="2468"/>
      <c r="U92" s="2468"/>
      <c r="V92" s="2468"/>
      <c r="W92" s="2468"/>
      <c r="X92" s="2468"/>
      <c r="Y92" s="2468"/>
      <c r="Z92" s="2468"/>
      <c r="AA92" s="2468"/>
      <c r="AB92" s="2468"/>
      <c r="AC92" s="2468"/>
      <c r="AD92" s="2468"/>
      <c r="AE92" s="2468"/>
      <c r="AF92" s="2468"/>
      <c r="AG92" s="2468"/>
      <c r="AH92" s="2468"/>
      <c r="AI92" s="2468"/>
      <c r="AJ92" s="2468"/>
      <c r="AK92" s="2468"/>
      <c r="AL92" s="2468"/>
      <c r="AM92" s="2468"/>
      <c r="AN92" s="2468"/>
      <c r="AO92" s="2468"/>
      <c r="AP92" s="2468"/>
      <c r="AQ92" s="2468"/>
      <c r="AR92" s="2468"/>
      <c r="AS92" s="2468"/>
      <c r="AT92" s="2469"/>
      <c r="AU92" s="234"/>
      <c r="AV92" s="651" t="b">
        <f>IF(OR($AV$18=FALSE,$AV$31=FALSE,$AV$89=FALSE),FALSE,AV91)</f>
        <v>0</v>
      </c>
      <c r="AW92" s="325"/>
      <c r="AX92" s="326"/>
      <c r="AY92" s="326"/>
      <c r="AZ92" s="327"/>
      <c r="BA92" s="328"/>
      <c r="BB92" s="316"/>
      <c r="BC92" s="316"/>
      <c r="BD92" s="315"/>
      <c r="BE92" s="315"/>
      <c r="BF92" s="317"/>
      <c r="BG92" s="318"/>
      <c r="BH92" s="319"/>
      <c r="BI92" s="320"/>
      <c r="BJ92" s="318"/>
      <c r="BK92" s="315"/>
      <c r="BL92" s="293"/>
      <c r="BM92" s="293"/>
      <c r="BN92" s="321"/>
      <c r="BO92" s="321"/>
      <c r="BP92" s="322"/>
      <c r="BR92" s="315"/>
      <c r="BV92" s="22"/>
      <c r="BW92" s="22"/>
      <c r="BX92" s="22"/>
      <c r="CD92" s="145"/>
      <c r="CE92" s="145"/>
      <c r="CF92" s="145"/>
      <c r="CG92" s="38"/>
      <c r="CH92" s="65" t="s">
        <v>111</v>
      </c>
      <c r="CI92" s="65" t="s">
        <v>22</v>
      </c>
      <c r="CJ92" s="65">
        <v>40</v>
      </c>
      <c r="CK92" s="65" t="s">
        <v>216</v>
      </c>
      <c r="CL92" s="65" t="s">
        <v>90</v>
      </c>
      <c r="CM92" s="65"/>
      <c r="CN92" s="65"/>
      <c r="CO92" s="66" t="s">
        <v>110</v>
      </c>
      <c r="CP92" s="78" t="str">
        <f>ASC(SUBSTITUTE(SUBSTITUTE(記入シート1!I121,"ヴ","ウﾞ"),"・",""))</f>
        <v/>
      </c>
      <c r="CQ92" s="129"/>
      <c r="CR92" s="61"/>
      <c r="CS92" s="61"/>
      <c r="CT92" s="61"/>
      <c r="CU92" s="61"/>
      <c r="CV92" s="60"/>
      <c r="CW92" s="763" t="s">
        <v>2244</v>
      </c>
      <c r="CX92" s="763"/>
      <c r="CY92" s="761" t="s">
        <v>736</v>
      </c>
      <c r="CZ92" s="762" t="s">
        <v>1112</v>
      </c>
      <c r="DA92" s="761"/>
      <c r="DB92" s="97" t="str">
        <f t="shared" si="15"/>
        <v>937</v>
      </c>
      <c r="DC92" s="764" t="s">
        <v>2165</v>
      </c>
      <c r="DD92" s="98">
        <f>IF(AV64=TRUE,1,0)</f>
        <v>1</v>
      </c>
      <c r="DE92" s="147"/>
      <c r="DF92" s="90"/>
      <c r="DG92" s="90"/>
      <c r="DH92" s="547" t="s">
        <v>2244</v>
      </c>
      <c r="DI92" s="547" t="s">
        <v>2173</v>
      </c>
      <c r="DJ92" s="772"/>
      <c r="DK92" s="101" t="str">
        <f t="shared" si="14"/>
        <v>93701Q12</v>
      </c>
      <c r="DL92" s="105" t="s">
        <v>3357</v>
      </c>
      <c r="DM92" s="105" t="s">
        <v>3358</v>
      </c>
      <c r="DN92" s="773" t="str">
        <f>T(記入シート1!I67)</f>
        <v/>
      </c>
      <c r="DV92" s="38"/>
      <c r="DX92" s="115"/>
      <c r="DY92" s="115"/>
    </row>
    <row r="93" spans="1:129" ht="19.5" hidden="1" customHeight="1" thickBot="1">
      <c r="A93" s="1048" t="s">
        <v>3836</v>
      </c>
      <c r="B93" s="361"/>
      <c r="C93" s="869"/>
      <c r="D93" s="246"/>
      <c r="E93" s="869"/>
      <c r="F93" s="869"/>
      <c r="G93" s="869"/>
      <c r="H93" s="869"/>
      <c r="I93" s="869"/>
      <c r="J93" s="869"/>
      <c r="K93" s="869"/>
      <c r="L93" s="212"/>
      <c r="M93" s="212"/>
      <c r="N93" s="212"/>
      <c r="O93" s="733" t="str">
        <f>IF(AV91=FALSE,"",IF(OR($AV$18=FALSE,$AV$31=FALSE,$AV$89=FALSE),"↑QUICpayのお取扱いをご希望の場合、JCB取り扱いブランドおよびiDとあわせてお申し込みいただく必要があります。",""))</f>
        <v>↑QUICpayのお取扱いをご希望の場合、JCB取り扱いブランドおよびiDとあわせてお申し込みいただく必要があります。</v>
      </c>
      <c r="P93" s="254"/>
      <c r="Q93" s="213"/>
      <c r="R93" s="213"/>
      <c r="S93" s="213"/>
      <c r="T93" s="213"/>
      <c r="U93" s="213"/>
      <c r="V93" s="213"/>
      <c r="W93" s="213"/>
      <c r="X93" s="213"/>
      <c r="Y93" s="214"/>
      <c r="Z93" s="214"/>
      <c r="AA93" s="214"/>
      <c r="AB93" s="214"/>
      <c r="AC93" s="214"/>
      <c r="AD93" s="214"/>
      <c r="AE93" s="214"/>
      <c r="AF93" s="214"/>
      <c r="AG93" s="213"/>
      <c r="AH93" s="213"/>
      <c r="AI93" s="213"/>
      <c r="AJ93" s="213"/>
      <c r="AK93" s="253"/>
      <c r="AL93" s="253"/>
      <c r="AM93" s="215"/>
      <c r="AN93" s="215"/>
      <c r="AO93" s="253"/>
      <c r="AP93" s="253"/>
      <c r="AQ93" s="253"/>
      <c r="AR93" s="253"/>
      <c r="AS93" s="253"/>
      <c r="AT93" s="253"/>
      <c r="AU93" s="234"/>
      <c r="AW93" s="325"/>
      <c r="AX93" s="326"/>
      <c r="AY93" s="326"/>
      <c r="AZ93" s="327"/>
      <c r="BA93" s="328"/>
      <c r="BB93" s="316"/>
      <c r="BC93" s="316"/>
      <c r="BD93" s="315"/>
      <c r="BE93" s="315"/>
      <c r="BF93" s="317"/>
      <c r="BG93" s="318"/>
      <c r="BH93" s="319"/>
      <c r="BI93" s="320"/>
      <c r="BJ93" s="318"/>
      <c r="BK93" s="315"/>
      <c r="BL93" s="293"/>
      <c r="BM93" s="293"/>
      <c r="BN93" s="321"/>
      <c r="BO93" s="321"/>
      <c r="BP93" s="322"/>
      <c r="BR93" s="315"/>
      <c r="BV93" s="22"/>
      <c r="BW93" s="22"/>
      <c r="BX93" s="22"/>
      <c r="CD93" s="145"/>
      <c r="CE93" s="145"/>
      <c r="CF93" s="145"/>
      <c r="CG93" s="38"/>
      <c r="CH93" s="65" t="s">
        <v>464</v>
      </c>
      <c r="CI93" s="65" t="s">
        <v>21</v>
      </c>
      <c r="CJ93" s="65">
        <v>40</v>
      </c>
      <c r="CK93" s="65" t="s">
        <v>216</v>
      </c>
      <c r="CL93" s="65" t="s">
        <v>90</v>
      </c>
      <c r="CM93" s="65"/>
      <c r="CN93" s="65"/>
      <c r="CO93" s="66" t="s">
        <v>112</v>
      </c>
      <c r="CP93" s="78" t="str">
        <f>T(記入シート1!I122)</f>
        <v/>
      </c>
      <c r="CQ93" s="129"/>
      <c r="CR93" s="61"/>
      <c r="CS93" s="61"/>
      <c r="CT93" s="61"/>
      <c r="CU93" s="61"/>
      <c r="CV93" s="60"/>
      <c r="CW93" s="763" t="s">
        <v>2153</v>
      </c>
      <c r="CX93" s="763"/>
      <c r="CY93" s="761" t="s">
        <v>736</v>
      </c>
      <c r="CZ93" s="762" t="s">
        <v>1112</v>
      </c>
      <c r="DA93" s="761"/>
      <c r="DB93" s="97" t="str">
        <f t="shared" si="15"/>
        <v>938</v>
      </c>
      <c r="DC93" s="764" t="s">
        <v>2166</v>
      </c>
      <c r="DD93" s="98">
        <f>IF(AV65=TRUE,1,0)</f>
        <v>1</v>
      </c>
      <c r="DE93" s="147"/>
      <c r="DF93" s="90"/>
      <c r="DG93" s="90"/>
      <c r="DH93" s="547" t="s">
        <v>2244</v>
      </c>
      <c r="DI93" s="547" t="s">
        <v>3219</v>
      </c>
      <c r="DJ93" s="772"/>
      <c r="DK93" s="101" t="str">
        <f t="shared" si="14"/>
        <v>93701Q13</v>
      </c>
      <c r="DL93" s="105" t="s">
        <v>3357</v>
      </c>
      <c r="DM93" s="105" t="s">
        <v>3359</v>
      </c>
      <c r="DN93" s="773" t="str">
        <f>ASC(記入シート1!I43)</f>
        <v/>
      </c>
      <c r="DV93" s="38"/>
      <c r="DX93" s="115"/>
      <c r="DY93" s="115"/>
    </row>
    <row r="94" spans="1:129" ht="19.5" hidden="1" customHeight="1" thickTop="1">
      <c r="A94" s="1048" t="s">
        <v>3836</v>
      </c>
      <c r="B94" s="249"/>
      <c r="C94" s="2470" t="s">
        <v>976</v>
      </c>
      <c r="D94" s="2471"/>
      <c r="E94" s="2471"/>
      <c r="F94" s="2471"/>
      <c r="G94" s="2471"/>
      <c r="H94" s="2471"/>
      <c r="I94" s="2472"/>
      <c r="J94" s="2473" t="s">
        <v>972</v>
      </c>
      <c r="K94" s="2473"/>
      <c r="L94" s="2475" t="s">
        <v>980</v>
      </c>
      <c r="M94" s="2476"/>
      <c r="N94" s="2476"/>
      <c r="O94" s="2476"/>
      <c r="P94" s="2477"/>
      <c r="Q94" s="2481" t="s">
        <v>951</v>
      </c>
      <c r="R94" s="2481"/>
      <c r="S94" s="2481"/>
      <c r="T94" s="2481"/>
      <c r="U94" s="2481"/>
      <c r="V94" s="2481"/>
      <c r="W94" s="2481"/>
      <c r="X94" s="2481"/>
      <c r="Y94" s="2482" t="s">
        <v>983</v>
      </c>
      <c r="Z94" s="2482"/>
      <c r="AA94" s="2482"/>
      <c r="AB94" s="2482"/>
      <c r="AC94" s="2482"/>
      <c r="AD94" s="2482"/>
      <c r="AE94" s="2482"/>
      <c r="AF94" s="2483"/>
      <c r="AG94" s="2484" t="s">
        <v>850</v>
      </c>
      <c r="AH94" s="2485"/>
      <c r="AI94" s="2485"/>
      <c r="AJ94" s="2485"/>
      <c r="AK94" s="2485"/>
      <c r="AL94" s="2485"/>
      <c r="AM94" s="2485"/>
      <c r="AN94" s="2485"/>
      <c r="AO94" s="2485"/>
      <c r="AP94" s="2485"/>
      <c r="AQ94" s="2485"/>
      <c r="AR94" s="2485"/>
      <c r="AS94" s="2485"/>
      <c r="AT94" s="2486"/>
      <c r="AU94" s="234"/>
      <c r="AW94" s="334">
        <f>IF(AV96=TRUE,AV96*1,0)</f>
        <v>0</v>
      </c>
      <c r="AX94" s="334" t="str">
        <f>IF(AV96=TRUE,"端末登録月額固定費単価","")</f>
        <v/>
      </c>
      <c r="AY94" s="334"/>
      <c r="AZ94" s="334">
        <f>IF(SUM(AW94:AW95)&gt;0,1,0)</f>
        <v>0</v>
      </c>
      <c r="BA94" s="335"/>
      <c r="BB94" s="336" t="str">
        <f>BB22</f>
        <v>14</v>
      </c>
      <c r="BC94" s="336" t="s">
        <v>970</v>
      </c>
      <c r="BD94" s="335">
        <f>ROW(AV96)</f>
        <v>96</v>
      </c>
      <c r="BE94" s="335"/>
      <c r="BF94" s="337" t="str">
        <f>"106"&amp;BC94&amp;6</f>
        <v>106106066</v>
      </c>
      <c r="BG94" s="338"/>
      <c r="BH94" s="339" t="str">
        <f>AX94&amp;"→"</f>
        <v>→</v>
      </c>
      <c r="BI94" s="340">
        <v>10601</v>
      </c>
      <c r="BJ94" s="341">
        <f>AW94</f>
        <v>0</v>
      </c>
      <c r="BK94" s="71">
        <f>AZ94</f>
        <v>0</v>
      </c>
      <c r="BL94" s="2455">
        <v>0</v>
      </c>
      <c r="BM94" s="2455">
        <v>0</v>
      </c>
      <c r="BN94" s="344">
        <v>0</v>
      </c>
      <c r="BO94" s="344">
        <v>0</v>
      </c>
      <c r="BP94" s="342" t="str">
        <f>IF($AW94=0,"",Q96)</f>
        <v/>
      </c>
      <c r="BR94" s="71">
        <v>106</v>
      </c>
      <c r="BV94" s="22"/>
      <c r="BW94" s="22"/>
      <c r="BX94" s="22"/>
      <c r="BZ94" s="120"/>
      <c r="CD94" s="145"/>
      <c r="CE94" s="145"/>
      <c r="CF94" s="145"/>
      <c r="CG94" s="38"/>
      <c r="CH94" s="65" t="s">
        <v>107</v>
      </c>
      <c r="CI94" s="65" t="s">
        <v>21</v>
      </c>
      <c r="CJ94" s="65">
        <v>40</v>
      </c>
      <c r="CK94" s="65" t="s">
        <v>83</v>
      </c>
      <c r="CL94" s="65" t="s">
        <v>83</v>
      </c>
      <c r="CM94" s="65"/>
      <c r="CN94" s="65"/>
      <c r="CO94" s="66" t="s">
        <v>106</v>
      </c>
      <c r="CP94" s="78" t="str">
        <f>T(記入シート1!AE121)</f>
        <v/>
      </c>
      <c r="CQ94" s="129"/>
      <c r="CR94" s="61"/>
      <c r="CS94" s="61"/>
      <c r="CT94" s="61"/>
      <c r="CU94" s="61"/>
      <c r="CV94" s="60"/>
      <c r="CW94" s="763" t="s">
        <v>2154</v>
      </c>
      <c r="CX94" s="763"/>
      <c r="CY94" s="761" t="s">
        <v>736</v>
      </c>
      <c r="CZ94" s="762" t="s">
        <v>1112</v>
      </c>
      <c r="DA94" s="761"/>
      <c r="DB94" s="97" t="str">
        <f t="shared" si="15"/>
        <v>939</v>
      </c>
      <c r="DC94" s="764" t="s">
        <v>2167</v>
      </c>
      <c r="DD94" s="98">
        <f>IF(AV67=TRUE,1,0)</f>
        <v>1</v>
      </c>
      <c r="DE94" s="147"/>
      <c r="DF94" s="90"/>
      <c r="DG94" s="90"/>
      <c r="DH94" s="547" t="s">
        <v>2153</v>
      </c>
      <c r="DI94" s="547" t="s">
        <v>3220</v>
      </c>
      <c r="DJ94" s="772"/>
      <c r="DK94" s="101" t="str">
        <f t="shared" si="14"/>
        <v>93801Q22</v>
      </c>
      <c r="DL94" s="105" t="s">
        <v>3360</v>
      </c>
      <c r="DM94" s="105" t="s">
        <v>3361</v>
      </c>
      <c r="DN94" s="773" t="str">
        <f>ASC(AN65)</f>
        <v/>
      </c>
      <c r="DV94" s="38"/>
      <c r="DX94" s="115"/>
      <c r="DY94" s="115"/>
    </row>
    <row r="95" spans="1:129" ht="19.5" hidden="1" customHeight="1">
      <c r="A95" s="1048" t="s">
        <v>3836</v>
      </c>
      <c r="B95" s="249"/>
      <c r="C95" s="2432"/>
      <c r="D95" s="2433"/>
      <c r="E95" s="2433"/>
      <c r="F95" s="2433"/>
      <c r="G95" s="2433"/>
      <c r="H95" s="2433"/>
      <c r="I95" s="2434"/>
      <c r="J95" s="2474"/>
      <c r="K95" s="2474"/>
      <c r="L95" s="2478"/>
      <c r="M95" s="2479"/>
      <c r="N95" s="2479"/>
      <c r="O95" s="2479"/>
      <c r="P95" s="2480"/>
      <c r="Q95" s="2456" t="s">
        <v>979</v>
      </c>
      <c r="R95" s="2456"/>
      <c r="S95" s="2456"/>
      <c r="T95" s="2456"/>
      <c r="U95" s="2457" t="s">
        <v>984</v>
      </c>
      <c r="V95" s="2457"/>
      <c r="W95" s="2457"/>
      <c r="X95" s="2457"/>
      <c r="Y95" s="2457" t="s">
        <v>985</v>
      </c>
      <c r="Z95" s="2457"/>
      <c r="AA95" s="2457"/>
      <c r="AB95" s="2457"/>
      <c r="AC95" s="2458" t="s">
        <v>986</v>
      </c>
      <c r="AD95" s="2458"/>
      <c r="AE95" s="2458"/>
      <c r="AF95" s="2459"/>
      <c r="AG95" s="2487"/>
      <c r="AH95" s="2488"/>
      <c r="AI95" s="2488"/>
      <c r="AJ95" s="2488"/>
      <c r="AK95" s="2488"/>
      <c r="AL95" s="2488"/>
      <c r="AM95" s="2488"/>
      <c r="AN95" s="2488"/>
      <c r="AO95" s="2488"/>
      <c r="AP95" s="2488"/>
      <c r="AQ95" s="2488"/>
      <c r="AR95" s="2488"/>
      <c r="AS95" s="2488"/>
      <c r="AT95" s="2489"/>
      <c r="AU95" s="234"/>
      <c r="AW95" s="334">
        <f>$AW$94</f>
        <v>0</v>
      </c>
      <c r="AX95" s="334" t="str">
        <f>IF(AV96=TRUE,"端末登録トランザクション費","")</f>
        <v/>
      </c>
      <c r="AY95" s="334"/>
      <c r="AZ95" s="334">
        <f>AZ94</f>
        <v>0</v>
      </c>
      <c r="BA95" s="335"/>
      <c r="BB95" s="336" t="str">
        <f>BB94</f>
        <v>14</v>
      </c>
      <c r="BC95" s="336" t="s">
        <v>971</v>
      </c>
      <c r="BD95" s="335">
        <f>ROW(AV96)</f>
        <v>96</v>
      </c>
      <c r="BE95" s="335"/>
      <c r="BF95" s="337" t="str">
        <f>"106"&amp;BC95&amp;7</f>
        <v>106106077</v>
      </c>
      <c r="BG95" s="338"/>
      <c r="BH95" s="345" t="str">
        <f>AX95&amp;"→"</f>
        <v>→</v>
      </c>
      <c r="BI95" s="340">
        <v>10601</v>
      </c>
      <c r="BJ95" s="338">
        <f>AW95</f>
        <v>0</v>
      </c>
      <c r="BK95" s="71">
        <f>AZ95</f>
        <v>0</v>
      </c>
      <c r="BL95" s="2455"/>
      <c r="BM95" s="2455"/>
      <c r="BN95" s="344">
        <v>0</v>
      </c>
      <c r="BO95" s="344">
        <v>0</v>
      </c>
      <c r="BP95" s="342" t="str">
        <f>IF($AW95=0,"",Y96)</f>
        <v/>
      </c>
      <c r="BR95" s="71">
        <v>106</v>
      </c>
      <c r="BW95" s="22"/>
      <c r="BX95" s="22"/>
      <c r="BZ95" s="120"/>
      <c r="CD95" s="145"/>
      <c r="CE95" s="145"/>
      <c r="CF95" s="145"/>
      <c r="CG95" s="38"/>
      <c r="CH95" s="65" t="s">
        <v>465</v>
      </c>
      <c r="CI95" s="65" t="s">
        <v>22</v>
      </c>
      <c r="CJ95" s="65">
        <v>15</v>
      </c>
      <c r="CK95" s="65" t="s">
        <v>216</v>
      </c>
      <c r="CL95" s="65" t="s">
        <v>90</v>
      </c>
      <c r="CM95" s="65"/>
      <c r="CN95" s="65"/>
      <c r="CO95" s="66" t="s">
        <v>105</v>
      </c>
      <c r="CP95" s="78" t="str">
        <f>IF(OR(記入シート1!AE122="",記入シート1!AK122="",記入シート1!AP122=""),"",ASC(記入シート1!AE122)&amp;"-"&amp;ASC(記入シート1!AK122)&amp;"-"&amp;ASC(記入シート1!AP122))</f>
        <v/>
      </c>
      <c r="CQ95" s="129"/>
      <c r="CR95" s="61"/>
      <c r="CS95" s="61"/>
      <c r="CT95" s="61"/>
      <c r="CU95" s="61"/>
      <c r="CV95" s="60"/>
      <c r="CW95" s="763" t="s">
        <v>2157</v>
      </c>
      <c r="CX95" s="763"/>
      <c r="CY95" s="761" t="s">
        <v>736</v>
      </c>
      <c r="CZ95" s="762" t="s">
        <v>1112</v>
      </c>
      <c r="DA95" s="761"/>
      <c r="DB95" s="97" t="str">
        <f t="shared" si="15"/>
        <v>942</v>
      </c>
      <c r="DC95" s="764" t="s">
        <v>2168</v>
      </c>
      <c r="DD95" s="98">
        <f>IF(AV71=TRUE,1,0)</f>
        <v>1</v>
      </c>
      <c r="DE95" s="147"/>
      <c r="DF95" s="90"/>
      <c r="DG95" s="90"/>
      <c r="DH95" s="547" t="s">
        <v>2153</v>
      </c>
      <c r="DI95" s="547" t="s">
        <v>3221</v>
      </c>
      <c r="DJ95" s="772"/>
      <c r="DK95" s="101" t="str">
        <f t="shared" si="14"/>
        <v>93801Q23</v>
      </c>
      <c r="DL95" s="105" t="s">
        <v>3360</v>
      </c>
      <c r="DM95" s="105" t="s">
        <v>3362</v>
      </c>
      <c r="DN95" s="773" t="str">
        <f>UPPER(ASC(記入シート1!AE31))</f>
        <v/>
      </c>
      <c r="DV95" s="38"/>
      <c r="DX95" s="115"/>
      <c r="DY95" s="115"/>
    </row>
    <row r="96" spans="1:129" ht="19.5" hidden="1" customHeight="1">
      <c r="A96" s="1048" t="s">
        <v>3836</v>
      </c>
      <c r="B96" s="249"/>
      <c r="C96" s="2129" t="s">
        <v>977</v>
      </c>
      <c r="D96" s="2027"/>
      <c r="E96" s="2027"/>
      <c r="F96" s="2027"/>
      <c r="G96" s="2027"/>
      <c r="H96" s="2027"/>
      <c r="I96" s="2027"/>
      <c r="J96" s="2027"/>
      <c r="K96" s="2027"/>
      <c r="L96" s="2499">
        <v>0</v>
      </c>
      <c r="M96" s="2500"/>
      <c r="N96" s="2500"/>
      <c r="O96" s="2500"/>
      <c r="P96" s="2500"/>
      <c r="Q96" s="2501">
        <v>0</v>
      </c>
      <c r="R96" s="2501"/>
      <c r="S96" s="2501"/>
      <c r="T96" s="2501"/>
      <c r="U96" s="2502">
        <f>Q96*AA126</f>
        <v>0</v>
      </c>
      <c r="V96" s="2502"/>
      <c r="W96" s="2502"/>
      <c r="X96" s="2502"/>
      <c r="Y96" s="2503">
        <v>0</v>
      </c>
      <c r="Z96" s="2504"/>
      <c r="AA96" s="2504"/>
      <c r="AB96" s="2504"/>
      <c r="AC96" s="2504"/>
      <c r="AD96" s="1903" t="s">
        <v>1000</v>
      </c>
      <c r="AE96" s="1903"/>
      <c r="AF96" s="1904"/>
      <c r="AG96" s="1905" t="s">
        <v>1006</v>
      </c>
      <c r="AH96" s="1906"/>
      <c r="AI96" s="1906"/>
      <c r="AJ96" s="1906"/>
      <c r="AK96" s="1906"/>
      <c r="AL96" s="1906"/>
      <c r="AM96" s="1906"/>
      <c r="AN96" s="1906"/>
      <c r="AO96" s="1906"/>
      <c r="AP96" s="1906"/>
      <c r="AQ96" s="1906"/>
      <c r="AR96" s="1906"/>
      <c r="AS96" s="1906"/>
      <c r="AT96" s="1907"/>
      <c r="AU96" s="234"/>
      <c r="AV96" s="199" t="b">
        <v>0</v>
      </c>
      <c r="AW96" s="351">
        <f>IF(AV97=TRUE,AV97*1,0)</f>
        <v>0</v>
      </c>
      <c r="AX96" s="334" t="str">
        <f>IF(AV97=TRUE,"端末登録月額固定費　単価","")</f>
        <v/>
      </c>
      <c r="AY96" s="359" t="str">
        <f>TEXT(BR96,"000")</f>
        <v>707</v>
      </c>
      <c r="AZ96" s="351">
        <f>IF(SUM(AW96:AW97)&gt;0,1,0)</f>
        <v>0</v>
      </c>
      <c r="BA96" s="71"/>
      <c r="BB96" s="142" t="s">
        <v>995</v>
      </c>
      <c r="BC96" s="142" t="s">
        <v>992</v>
      </c>
      <c r="BD96" s="335">
        <f>ROW($AV$97)</f>
        <v>97</v>
      </c>
      <c r="BE96" s="71"/>
      <c r="BF96" s="352" t="str">
        <f>"707"&amp;BC96&amp;8</f>
        <v>707707018</v>
      </c>
      <c r="BG96" s="341"/>
      <c r="BH96" s="339" t="str">
        <f>AX96&amp;"→"</f>
        <v>→</v>
      </c>
      <c r="BI96" s="353">
        <v>70601</v>
      </c>
      <c r="BJ96" s="341">
        <f>AW96</f>
        <v>0</v>
      </c>
      <c r="BK96" s="71">
        <f>AZ96</f>
        <v>0</v>
      </c>
      <c r="BL96" s="2490">
        <v>0</v>
      </c>
      <c r="BM96" s="2490">
        <v>0</v>
      </c>
      <c r="BN96" s="344">
        <v>0</v>
      </c>
      <c r="BO96" s="344">
        <v>0</v>
      </c>
      <c r="BP96" s="342" t="str">
        <f>IF($AW96=0,"",Q97)</f>
        <v/>
      </c>
      <c r="BR96" s="71">
        <v>707</v>
      </c>
      <c r="BW96" s="22"/>
      <c r="BX96" s="22"/>
      <c r="CD96" s="145"/>
      <c r="CE96" s="145"/>
      <c r="CF96" s="145"/>
      <c r="CG96" s="38"/>
      <c r="CH96" s="65" t="s">
        <v>467</v>
      </c>
      <c r="CI96" s="65" t="s">
        <v>22</v>
      </c>
      <c r="CJ96" s="65">
        <v>128</v>
      </c>
      <c r="CK96" s="65" t="s">
        <v>216</v>
      </c>
      <c r="CL96" s="65" t="s">
        <v>90</v>
      </c>
      <c r="CM96" s="65"/>
      <c r="CN96" s="65"/>
      <c r="CO96" s="66" t="s">
        <v>102</v>
      </c>
      <c r="CP96" s="78" t="str">
        <f>ASC(記入シート1!AE123)</f>
        <v/>
      </c>
      <c r="CQ96" s="129"/>
      <c r="CR96" s="61"/>
      <c r="CS96" s="61"/>
      <c r="CT96" s="61"/>
      <c r="CU96" s="61"/>
      <c r="CV96" s="60"/>
      <c r="CW96" s="763" t="s">
        <v>2156</v>
      </c>
      <c r="CX96" s="763"/>
      <c r="CY96" s="761" t="s">
        <v>736</v>
      </c>
      <c r="CZ96" s="762" t="s">
        <v>1112</v>
      </c>
      <c r="DA96" s="761"/>
      <c r="DB96" s="846" t="s">
        <v>2024</v>
      </c>
      <c r="DC96" s="764"/>
      <c r="DD96" s="768"/>
      <c r="DE96" s="147"/>
      <c r="DF96" s="90"/>
      <c r="DG96" s="90"/>
      <c r="DH96" s="547" t="s">
        <v>2153</v>
      </c>
      <c r="DI96" s="547" t="s">
        <v>3222</v>
      </c>
      <c r="DJ96" s="772"/>
      <c r="DK96" s="101" t="str">
        <f t="shared" si="14"/>
        <v>93801Q24</v>
      </c>
      <c r="DL96" s="105" t="s">
        <v>3360</v>
      </c>
      <c r="DM96" s="105" t="s">
        <v>3363</v>
      </c>
      <c r="DN96" s="773" t="str">
        <f>IF(OR(AV66="00",AV66=""),"",ASC(AV66))</f>
        <v>05</v>
      </c>
      <c r="DV96" s="38"/>
      <c r="DX96" s="115"/>
      <c r="DY96" s="115"/>
    </row>
    <row r="97" spans="1:129" ht="19.5" hidden="1" customHeight="1" thickBot="1">
      <c r="A97" s="1048" t="s">
        <v>3836</v>
      </c>
      <c r="B97" s="249"/>
      <c r="C97" s="2129" t="s">
        <v>987</v>
      </c>
      <c r="D97" s="2027"/>
      <c r="E97" s="2027"/>
      <c r="F97" s="2027"/>
      <c r="G97" s="2027"/>
      <c r="H97" s="2027"/>
      <c r="I97" s="2027"/>
      <c r="J97" s="2027"/>
      <c r="K97" s="2027"/>
      <c r="L97" s="2493">
        <v>0</v>
      </c>
      <c r="M97" s="2494"/>
      <c r="N97" s="2494"/>
      <c r="O97" s="2494"/>
      <c r="P97" s="2494"/>
      <c r="Q97" s="2495">
        <v>0</v>
      </c>
      <c r="R97" s="2495"/>
      <c r="S97" s="2495"/>
      <c r="T97" s="2495"/>
      <c r="U97" s="2496">
        <f>Q97*AA126</f>
        <v>0</v>
      </c>
      <c r="V97" s="2496"/>
      <c r="W97" s="2496"/>
      <c r="X97" s="2496"/>
      <c r="Y97" s="2497">
        <v>0</v>
      </c>
      <c r="Z97" s="2498"/>
      <c r="AA97" s="2498"/>
      <c r="AB97" s="358" t="s">
        <v>1000</v>
      </c>
      <c r="AC97" s="2505">
        <v>0</v>
      </c>
      <c r="AD97" s="2506"/>
      <c r="AE97" s="2506"/>
      <c r="AF97" s="357" t="s">
        <v>1000</v>
      </c>
      <c r="AG97" s="1908"/>
      <c r="AH97" s="1909"/>
      <c r="AI97" s="1909"/>
      <c r="AJ97" s="1909"/>
      <c r="AK97" s="1909"/>
      <c r="AL97" s="1909"/>
      <c r="AM97" s="1909"/>
      <c r="AN97" s="1909"/>
      <c r="AO97" s="1909"/>
      <c r="AP97" s="1909"/>
      <c r="AQ97" s="1909"/>
      <c r="AR97" s="1909"/>
      <c r="AS97" s="1909"/>
      <c r="AT97" s="1910"/>
      <c r="AU97" s="234"/>
      <c r="AV97" s="199" t="b">
        <v>0</v>
      </c>
      <c r="AW97" s="351">
        <f>$AW$96</f>
        <v>0</v>
      </c>
      <c r="AX97" s="334" t="str">
        <f>IF(AV97=TRUE,"端末登録　登録トランザクション費用(正常完了)","")</f>
        <v/>
      </c>
      <c r="AY97" s="351"/>
      <c r="AZ97" s="351">
        <f>AZ96</f>
        <v>0</v>
      </c>
      <c r="BA97" s="71"/>
      <c r="BB97" s="142" t="str">
        <f>BB96</f>
        <v>00</v>
      </c>
      <c r="BC97" s="142" t="s">
        <v>993</v>
      </c>
      <c r="BD97" s="335">
        <f>ROW($AV$97)</f>
        <v>97</v>
      </c>
      <c r="BE97" s="71"/>
      <c r="BF97" s="352" t="str">
        <f>"707"&amp;BC97&amp;9</f>
        <v>707707029</v>
      </c>
      <c r="BG97" s="341"/>
      <c r="BH97" s="339" t="str">
        <f>AX97&amp;"→"</f>
        <v>→</v>
      </c>
      <c r="BI97" s="353">
        <v>70601</v>
      </c>
      <c r="BJ97" s="341">
        <f>AW97</f>
        <v>0</v>
      </c>
      <c r="BK97" s="71">
        <f>AZ97</f>
        <v>0</v>
      </c>
      <c r="BL97" s="2491"/>
      <c r="BM97" s="2491"/>
      <c r="BN97" s="344">
        <v>0</v>
      </c>
      <c r="BO97" s="344">
        <v>0</v>
      </c>
      <c r="BP97" s="342" t="str">
        <f>IF($AW97=0,"",Y97)</f>
        <v/>
      </c>
      <c r="BR97" s="71">
        <v>707</v>
      </c>
      <c r="BX97" s="22"/>
      <c r="BY97" s="21"/>
      <c r="BZ97" s="120"/>
      <c r="CD97" s="145"/>
      <c r="CE97" s="145"/>
      <c r="CF97" s="145"/>
      <c r="CG97" s="38"/>
      <c r="CH97" s="65" t="s">
        <v>468</v>
      </c>
      <c r="CI97" s="65" t="s">
        <v>22</v>
      </c>
      <c r="CJ97" s="65">
        <v>40</v>
      </c>
      <c r="CK97" s="65" t="s">
        <v>216</v>
      </c>
      <c r="CL97" s="65" t="s">
        <v>90</v>
      </c>
      <c r="CM97" s="65"/>
      <c r="CN97" s="65"/>
      <c r="CO97" s="66" t="s">
        <v>99</v>
      </c>
      <c r="CP97" s="78" t="str">
        <f>ASC(SUBSTITUTE(SUBSTITUTE(記入シート1!I124,"ヴ","ウﾞ"),"・",""))</f>
        <v/>
      </c>
      <c r="CQ97" s="129"/>
      <c r="CR97" s="61"/>
      <c r="CS97" s="61"/>
      <c r="CT97" s="61"/>
      <c r="CU97" s="61"/>
      <c r="CV97" s="60"/>
      <c r="CW97" s="763"/>
      <c r="CX97" s="763"/>
      <c r="CY97" s="761"/>
      <c r="CZ97" s="762"/>
      <c r="DA97" s="761"/>
      <c r="DB97" s="97"/>
      <c r="DC97" s="764"/>
      <c r="DD97" s="98"/>
      <c r="DE97" s="147"/>
      <c r="DF97" s="90"/>
      <c r="DG97" s="90"/>
      <c r="DH97" s="547" t="s">
        <v>2153</v>
      </c>
      <c r="DI97" s="547" t="s">
        <v>3223</v>
      </c>
      <c r="DJ97" s="771" t="s">
        <v>3350</v>
      </c>
      <c r="DK97" s="101" t="str">
        <f t="shared" si="14"/>
        <v>93801Q25</v>
      </c>
      <c r="DL97" s="105" t="s">
        <v>3360</v>
      </c>
      <c r="DM97" s="105" t="s">
        <v>3364</v>
      </c>
      <c r="DN97" s="773" t="str">
        <f>IF(AW66=1,"0","1")</f>
        <v>0</v>
      </c>
      <c r="DV97" s="38"/>
      <c r="DX97" s="115"/>
      <c r="DY97" s="115"/>
    </row>
    <row r="98" spans="1:129" ht="19.5" hidden="1" customHeight="1" thickTop="1">
      <c r="A98" s="1048" t="s">
        <v>3836</v>
      </c>
      <c r="B98" s="249"/>
      <c r="C98" s="2507" t="s">
        <v>988</v>
      </c>
      <c r="D98" s="2508"/>
      <c r="E98" s="2508"/>
      <c r="F98" s="2508"/>
      <c r="G98" s="2508"/>
      <c r="H98" s="2513"/>
      <c r="I98" s="2513"/>
      <c r="J98" s="2513"/>
      <c r="K98" s="2514"/>
      <c r="L98" s="2515" t="s">
        <v>998</v>
      </c>
      <c r="M98" s="2516"/>
      <c r="N98" s="2517"/>
      <c r="O98" s="1911" t="s">
        <v>999</v>
      </c>
      <c r="P98" s="2518"/>
      <c r="Q98" s="1911" t="s">
        <v>981</v>
      </c>
      <c r="R98" s="1912"/>
      <c r="S98" s="1912"/>
      <c r="T98" s="1912"/>
      <c r="U98" s="1912"/>
      <c r="V98" s="1912"/>
      <c r="W98" s="1912"/>
      <c r="X98" s="2518"/>
      <c r="Y98" s="1911" t="s">
        <v>978</v>
      </c>
      <c r="Z98" s="1912"/>
      <c r="AA98" s="1912"/>
      <c r="AB98" s="1912"/>
      <c r="AC98" s="1912"/>
      <c r="AD98" s="1912"/>
      <c r="AE98" s="1912"/>
      <c r="AF98" s="2518"/>
      <c r="AG98" s="1911" t="s">
        <v>982</v>
      </c>
      <c r="AH98" s="1912"/>
      <c r="AI98" s="1912"/>
      <c r="AJ98" s="1912"/>
      <c r="AK98" s="1912"/>
      <c r="AL98" s="1912"/>
      <c r="AM98" s="1912"/>
      <c r="AN98" s="1912"/>
      <c r="AO98" s="1912"/>
      <c r="AP98" s="1912"/>
      <c r="AQ98" s="1912"/>
      <c r="AR98" s="1912"/>
      <c r="AS98" s="1912"/>
      <c r="AT98" s="1913"/>
      <c r="AU98" s="234"/>
      <c r="AW98" s="351">
        <f>$AW$96</f>
        <v>0</v>
      </c>
      <c r="AX98" s="351" t="str">
        <f>IF(AV97=TRUE,"端末登録　登録トランザクション費用(未完了)","")</f>
        <v/>
      </c>
      <c r="AY98" s="351"/>
      <c r="AZ98" s="351">
        <f>AZ97</f>
        <v>0</v>
      </c>
      <c r="BA98" s="71"/>
      <c r="BB98" s="142" t="str">
        <f>BB97</f>
        <v>00</v>
      </c>
      <c r="BC98" s="142" t="s">
        <v>994</v>
      </c>
      <c r="BD98" s="71">
        <f>ROW($AV$97)</f>
        <v>97</v>
      </c>
      <c r="BE98" s="71"/>
      <c r="BF98" s="352" t="str">
        <f>"707"&amp;BC98&amp;10</f>
        <v>7077070310</v>
      </c>
      <c r="BG98" s="341"/>
      <c r="BH98" s="339" t="str">
        <f>AX98&amp;"→"</f>
        <v>→</v>
      </c>
      <c r="BI98" s="353">
        <v>70601</v>
      </c>
      <c r="BJ98" s="341">
        <f>AW98</f>
        <v>0</v>
      </c>
      <c r="BK98" s="71">
        <f>AZ98</f>
        <v>0</v>
      </c>
      <c r="BL98" s="2492"/>
      <c r="BM98" s="2492"/>
      <c r="BN98" s="344">
        <v>0</v>
      </c>
      <c r="BO98" s="344">
        <v>0</v>
      </c>
      <c r="BP98" s="342" t="str">
        <f>IF($AW98=0,"",AC97)</f>
        <v/>
      </c>
      <c r="BQ98" s="21"/>
      <c r="BR98" s="71">
        <v>707</v>
      </c>
      <c r="BX98" s="22"/>
      <c r="BZ98" s="120"/>
      <c r="CD98" s="145"/>
      <c r="CE98" s="145"/>
      <c r="CF98" s="145"/>
      <c r="CG98" s="38"/>
      <c r="CH98" s="65" t="s">
        <v>101</v>
      </c>
      <c r="CI98" s="65" t="s">
        <v>21</v>
      </c>
      <c r="CJ98" s="65">
        <v>40</v>
      </c>
      <c r="CK98" s="65" t="s">
        <v>216</v>
      </c>
      <c r="CL98" s="65" t="s">
        <v>90</v>
      </c>
      <c r="CM98" s="65"/>
      <c r="CN98" s="65"/>
      <c r="CO98" s="66" t="s">
        <v>100</v>
      </c>
      <c r="CP98" s="78" t="str">
        <f>T(記入シート1!I125)</f>
        <v/>
      </c>
      <c r="CQ98" s="129"/>
      <c r="CR98" s="61"/>
      <c r="CS98" s="61"/>
      <c r="CT98" s="61"/>
      <c r="CU98" s="61"/>
      <c r="CV98" s="60"/>
      <c r="CW98" s="763"/>
      <c r="CX98" s="763"/>
      <c r="CY98" s="761"/>
      <c r="CZ98" s="762"/>
      <c r="DA98" s="761"/>
      <c r="DB98" s="763"/>
      <c r="DC98" s="763"/>
      <c r="DD98" s="763"/>
      <c r="DE98" s="147"/>
      <c r="DF98" s="90"/>
      <c r="DG98" s="90"/>
      <c r="DH98" s="547" t="s">
        <v>2154</v>
      </c>
      <c r="DI98" s="547" t="s">
        <v>3224</v>
      </c>
      <c r="DJ98" s="772"/>
      <c r="DK98" s="101" t="str">
        <f t="shared" si="14"/>
        <v>93901Q32</v>
      </c>
      <c r="DL98" s="105" t="s">
        <v>3366</v>
      </c>
      <c r="DM98" s="105" t="s">
        <v>3367</v>
      </c>
      <c r="DN98" s="851" t="str">
        <f>""</f>
        <v/>
      </c>
      <c r="DV98" s="38"/>
      <c r="DX98" s="115"/>
      <c r="DY98" s="115"/>
    </row>
    <row r="99" spans="1:129" ht="19.5" hidden="1" customHeight="1">
      <c r="A99" s="1048" t="s">
        <v>3836</v>
      </c>
      <c r="B99" s="249"/>
      <c r="C99" s="2509"/>
      <c r="D99" s="2510"/>
      <c r="E99" s="2510"/>
      <c r="F99" s="2510"/>
      <c r="G99" s="2510"/>
      <c r="H99" s="1914" t="s">
        <v>977</v>
      </c>
      <c r="I99" s="1915"/>
      <c r="J99" s="1915"/>
      <c r="K99" s="1916"/>
      <c r="L99" s="1917"/>
      <c r="M99" s="1917"/>
      <c r="N99" s="1917"/>
      <c r="O99" s="1917"/>
      <c r="P99" s="1917"/>
      <c r="Q99" s="1918"/>
      <c r="R99" s="1918"/>
      <c r="S99" s="1918"/>
      <c r="T99" s="1918"/>
      <c r="U99" s="1918"/>
      <c r="V99" s="1918"/>
      <c r="W99" s="1918"/>
      <c r="X99" s="1918"/>
      <c r="Y99" s="1918"/>
      <c r="Z99" s="1918"/>
      <c r="AA99" s="1918"/>
      <c r="AB99" s="1918"/>
      <c r="AC99" s="1918"/>
      <c r="AD99" s="1918"/>
      <c r="AE99" s="1918"/>
      <c r="AF99" s="1919"/>
      <c r="AG99" s="2522"/>
      <c r="AH99" s="2523"/>
      <c r="AI99" s="2526" t="s">
        <v>990</v>
      </c>
      <c r="AJ99" s="2527"/>
      <c r="AK99" s="2527"/>
      <c r="AL99" s="2527"/>
      <c r="AM99" s="2527"/>
      <c r="AN99" s="2527"/>
      <c r="AO99" s="2527"/>
      <c r="AP99" s="2527"/>
      <c r="AQ99" s="2527"/>
      <c r="AR99" s="2527"/>
      <c r="AS99" s="2527"/>
      <c r="AT99" s="2528"/>
      <c r="AU99" s="234"/>
      <c r="AV99" s="199" t="b">
        <v>0</v>
      </c>
      <c r="AW99" s="314"/>
      <c r="AX99" s="314"/>
      <c r="AY99" s="314"/>
      <c r="AZ99" s="314"/>
      <c r="BA99" s="315"/>
      <c r="BB99" s="316"/>
      <c r="BC99" s="316"/>
      <c r="BD99" s="315"/>
      <c r="BE99" s="315"/>
      <c r="BF99" s="317"/>
      <c r="BG99" s="318"/>
      <c r="BH99" s="319"/>
      <c r="BI99" s="320"/>
      <c r="BJ99" s="318"/>
      <c r="BK99" s="315"/>
      <c r="BL99" s="293"/>
      <c r="BM99" s="293"/>
      <c r="BN99" s="321"/>
      <c r="BO99" s="321"/>
      <c r="BP99" s="322"/>
      <c r="BR99" s="315"/>
      <c r="BX99" s="22"/>
      <c r="CC99" s="21"/>
      <c r="CD99" s="145"/>
      <c r="CE99" s="145"/>
      <c r="CF99" s="145"/>
      <c r="CG99" s="38"/>
      <c r="CH99" s="65" t="s">
        <v>469</v>
      </c>
      <c r="CI99" s="65" t="s">
        <v>21</v>
      </c>
      <c r="CJ99" s="65">
        <v>40</v>
      </c>
      <c r="CK99" s="65" t="s">
        <v>83</v>
      </c>
      <c r="CL99" s="65" t="s">
        <v>83</v>
      </c>
      <c r="CM99" s="65"/>
      <c r="CN99" s="65"/>
      <c r="CO99" s="66" t="s">
        <v>96</v>
      </c>
      <c r="CP99" s="78" t="str">
        <f>T(記入シート1!AE124)</f>
        <v/>
      </c>
      <c r="CQ99" s="129"/>
      <c r="CR99" s="61"/>
      <c r="CS99" s="61"/>
      <c r="CT99" s="61"/>
      <c r="CU99" s="61"/>
      <c r="CV99" s="60"/>
      <c r="CW99" s="765"/>
      <c r="CX99" s="765"/>
      <c r="CY99" s="766"/>
      <c r="CZ99" s="767"/>
      <c r="DA99" s="766"/>
      <c r="DB99" s="765"/>
      <c r="DC99" s="765"/>
      <c r="DD99" s="765"/>
      <c r="DE99" s="147"/>
      <c r="DF99" s="90"/>
      <c r="DG99" s="90"/>
      <c r="DH99" s="547" t="s">
        <v>2154</v>
      </c>
      <c r="DI99" s="547" t="s">
        <v>3225</v>
      </c>
      <c r="DJ99" s="772"/>
      <c r="DK99" s="101" t="str">
        <f t="shared" si="14"/>
        <v>93901Q33</v>
      </c>
      <c r="DL99" s="105" t="s">
        <v>3366</v>
      </c>
      <c r="DM99" s="105" t="s">
        <v>3368</v>
      </c>
      <c r="DN99" s="851" t="str">
        <f>""</f>
        <v/>
      </c>
      <c r="DV99" s="38"/>
      <c r="DX99" s="115"/>
      <c r="DY99" s="115"/>
    </row>
    <row r="100" spans="1:129" ht="19.5" hidden="1" customHeight="1" thickBot="1">
      <c r="A100" s="1048" t="s">
        <v>3836</v>
      </c>
      <c r="B100" s="249"/>
      <c r="C100" s="2511"/>
      <c r="D100" s="2512"/>
      <c r="E100" s="2512"/>
      <c r="F100" s="2512"/>
      <c r="G100" s="2512"/>
      <c r="H100" s="2532" t="s">
        <v>989</v>
      </c>
      <c r="I100" s="2533"/>
      <c r="J100" s="2533"/>
      <c r="K100" s="2534"/>
      <c r="L100" s="2519"/>
      <c r="M100" s="2519"/>
      <c r="N100" s="2519"/>
      <c r="O100" s="2519"/>
      <c r="P100" s="2519"/>
      <c r="Q100" s="2520"/>
      <c r="R100" s="2520"/>
      <c r="S100" s="2520"/>
      <c r="T100" s="2520"/>
      <c r="U100" s="2520"/>
      <c r="V100" s="2520"/>
      <c r="W100" s="2520"/>
      <c r="X100" s="2520"/>
      <c r="Y100" s="2520"/>
      <c r="Z100" s="2520"/>
      <c r="AA100" s="2520"/>
      <c r="AB100" s="2520"/>
      <c r="AC100" s="2520"/>
      <c r="AD100" s="2520"/>
      <c r="AE100" s="2520"/>
      <c r="AF100" s="2521"/>
      <c r="AG100" s="2524"/>
      <c r="AH100" s="2525"/>
      <c r="AI100" s="2529"/>
      <c r="AJ100" s="2530"/>
      <c r="AK100" s="2530"/>
      <c r="AL100" s="2530"/>
      <c r="AM100" s="2530"/>
      <c r="AN100" s="2530"/>
      <c r="AO100" s="2530"/>
      <c r="AP100" s="2530"/>
      <c r="AQ100" s="2530"/>
      <c r="AR100" s="2530"/>
      <c r="AS100" s="2530"/>
      <c r="AT100" s="2531"/>
      <c r="AU100" s="234"/>
      <c r="AW100" s="314"/>
      <c r="AX100" s="314"/>
      <c r="AY100" s="314"/>
      <c r="AZ100" s="314"/>
      <c r="BA100" s="315"/>
      <c r="BB100" s="316"/>
      <c r="BC100" s="316"/>
      <c r="BD100" s="315"/>
      <c r="BE100" s="315"/>
      <c r="BF100" s="317"/>
      <c r="BG100" s="318"/>
      <c r="BH100" s="319"/>
      <c r="BI100" s="320"/>
      <c r="BJ100" s="318"/>
      <c r="BK100" s="315"/>
      <c r="BL100" s="293"/>
      <c r="BM100" s="293"/>
      <c r="BN100" s="321"/>
      <c r="BO100" s="321"/>
      <c r="BP100" s="322"/>
      <c r="BR100" s="315"/>
      <c r="BX100" s="22"/>
      <c r="BZ100" s="120"/>
      <c r="CC100" s="21"/>
      <c r="CD100" s="145"/>
      <c r="CE100" s="145"/>
      <c r="CF100" s="145"/>
      <c r="CG100" s="38"/>
      <c r="CH100" s="65" t="s">
        <v>470</v>
      </c>
      <c r="CI100" s="65" t="s">
        <v>22</v>
      </c>
      <c r="CJ100" s="65">
        <v>15</v>
      </c>
      <c r="CK100" s="65" t="s">
        <v>216</v>
      </c>
      <c r="CL100" s="65" t="s">
        <v>90</v>
      </c>
      <c r="CM100" s="65"/>
      <c r="CN100" s="65"/>
      <c r="CO100" s="66" t="s">
        <v>95</v>
      </c>
      <c r="CP100" s="78" t="str">
        <f>ASC(記入シート1!AE125)&amp;"-"&amp;ASC(記入シート1!AK125)&amp;"-"&amp;ASC(記入シート1!AP125)</f>
        <v>--</v>
      </c>
      <c r="CQ100" s="129"/>
      <c r="CR100" s="61"/>
      <c r="CS100" s="61"/>
      <c r="CT100" s="61"/>
      <c r="CU100" s="61"/>
      <c r="CV100" s="60"/>
      <c r="CW100" s="55"/>
      <c r="CX100" s="55"/>
      <c r="CY100" s="56"/>
      <c r="CZ100" s="44"/>
      <c r="DA100" s="56"/>
      <c r="DB100" s="760" t="s">
        <v>583</v>
      </c>
      <c r="DC100" s="43"/>
      <c r="DD100" s="43"/>
      <c r="DE100" s="147"/>
      <c r="DF100" s="90"/>
      <c r="DG100" s="90"/>
      <c r="DH100" s="547" t="s">
        <v>2154</v>
      </c>
      <c r="DI100" s="547" t="s">
        <v>2173</v>
      </c>
      <c r="DJ100" s="772"/>
      <c r="DK100" s="101" t="str">
        <f t="shared" si="14"/>
        <v>93901Q34</v>
      </c>
      <c r="DL100" s="105" t="s">
        <v>3366</v>
      </c>
      <c r="DM100" s="105" t="s">
        <v>3369</v>
      </c>
      <c r="DN100" s="773" t="str">
        <f>T(記入シート1!I67)</f>
        <v/>
      </c>
      <c r="DV100" s="34"/>
      <c r="DX100" s="115"/>
      <c r="DY100" s="115"/>
    </row>
    <row r="101" spans="1:129" ht="19.5" hidden="1" customHeight="1" thickBot="1">
      <c r="A101" s="1048" t="s">
        <v>3836</v>
      </c>
      <c r="B101" s="249"/>
      <c r="C101" s="350"/>
      <c r="D101" s="350"/>
      <c r="E101" s="350"/>
      <c r="F101" s="350"/>
      <c r="G101" s="350"/>
      <c r="H101" s="350"/>
      <c r="I101" s="350"/>
      <c r="J101" s="350"/>
      <c r="K101" s="350"/>
      <c r="L101" s="730" t="str">
        <f>IF(OR(AV96=TRUE,AV97=TRUE),"↑マーチャントID/サービスIDについては、既にオンラインASP決済サービスをご利用の場合のみご記入ください。","")</f>
        <v/>
      </c>
      <c r="M101" s="604"/>
      <c r="N101" s="605"/>
      <c r="O101" s="605"/>
      <c r="P101" s="605"/>
      <c r="Q101" s="605"/>
      <c r="R101" s="605"/>
      <c r="S101" s="605"/>
      <c r="T101" s="605"/>
      <c r="U101" s="605"/>
      <c r="V101" s="347"/>
      <c r="W101" s="347"/>
      <c r="X101" s="347"/>
      <c r="Y101" s="347"/>
      <c r="Z101" s="347"/>
      <c r="AA101" s="347"/>
      <c r="AB101" s="347"/>
      <c r="AC101" s="347"/>
      <c r="AD101" s="347"/>
      <c r="AE101" s="347"/>
      <c r="AF101" s="347"/>
      <c r="AG101" s="731"/>
      <c r="AH101" s="731" t="str">
        <f>IF(AND(OR(AV96=TRUE,AV97=TRUE),AV99=FALSE),"↑端末登録機能における事前確認事項をご確認ください。","")</f>
        <v/>
      </c>
      <c r="AI101" s="347"/>
      <c r="AJ101" s="347"/>
      <c r="AK101" s="347"/>
      <c r="AL101" s="347"/>
      <c r="AM101" s="347"/>
      <c r="AN101" s="347"/>
      <c r="AO101" s="347"/>
      <c r="AP101" s="347"/>
      <c r="AQ101" s="347"/>
      <c r="AR101" s="347"/>
      <c r="AS101" s="347"/>
      <c r="AT101" s="347"/>
      <c r="AU101" s="234"/>
      <c r="AW101" s="314"/>
      <c r="AX101" s="314"/>
      <c r="AY101" s="314"/>
      <c r="AZ101" s="314"/>
      <c r="BA101" s="315"/>
      <c r="BB101" s="316"/>
      <c r="BC101" s="316"/>
      <c r="BD101" s="315"/>
      <c r="BE101" s="315"/>
      <c r="BF101" s="317"/>
      <c r="BG101" s="318"/>
      <c r="BH101" s="319"/>
      <c r="BI101" s="320"/>
      <c r="BJ101" s="318"/>
      <c r="BK101" s="315"/>
      <c r="BL101" s="293"/>
      <c r="BM101" s="293"/>
      <c r="BN101" s="321"/>
      <c r="BO101" s="321"/>
      <c r="BP101" s="322"/>
      <c r="BR101" s="315"/>
      <c r="BX101" s="22"/>
      <c r="BZ101" s="120"/>
      <c r="CC101" s="21"/>
      <c r="CD101" s="145"/>
      <c r="CE101" s="145"/>
      <c r="CF101" s="145"/>
      <c r="CG101" s="34"/>
      <c r="CH101" s="65" t="s">
        <v>471</v>
      </c>
      <c r="CI101" s="65" t="s">
        <v>22</v>
      </c>
      <c r="CJ101" s="65">
        <v>128</v>
      </c>
      <c r="CK101" s="65" t="s">
        <v>216</v>
      </c>
      <c r="CL101" s="65" t="s">
        <v>90</v>
      </c>
      <c r="CM101" s="65"/>
      <c r="CN101" s="65"/>
      <c r="CO101" s="66" t="s">
        <v>94</v>
      </c>
      <c r="CP101" s="78" t="str">
        <f>ASC(記入シート1!AE127)</f>
        <v/>
      </c>
      <c r="CQ101" s="129"/>
      <c r="CR101" s="61"/>
      <c r="CS101" s="61"/>
      <c r="CT101" s="61"/>
      <c r="CU101" s="61"/>
      <c r="CV101" s="60"/>
      <c r="CW101" s="55"/>
      <c r="CX101" s="55"/>
      <c r="CY101" s="56"/>
      <c r="CZ101" s="44"/>
      <c r="DA101" s="56"/>
      <c r="DC101" s="43"/>
      <c r="DD101" s="43"/>
      <c r="DE101" s="147"/>
      <c r="DF101" s="90"/>
      <c r="DG101" s="90"/>
      <c r="DH101" s="547" t="s">
        <v>2154</v>
      </c>
      <c r="DI101" s="547" t="s">
        <v>3219</v>
      </c>
      <c r="DJ101" s="772"/>
      <c r="DK101" s="101" t="str">
        <f t="shared" si="14"/>
        <v>93901Q35</v>
      </c>
      <c r="DL101" s="105" t="s">
        <v>3366</v>
      </c>
      <c r="DM101" s="105" t="s">
        <v>3370</v>
      </c>
      <c r="DN101" s="773" t="str">
        <f>ASC(記入シート1!I43)</f>
        <v/>
      </c>
      <c r="DP101" s="85"/>
      <c r="DV101" s="34"/>
      <c r="DX101" s="115"/>
      <c r="DY101" s="115"/>
    </row>
    <row r="102" spans="1:129" ht="19.5" hidden="1" customHeight="1">
      <c r="A102" s="1048" t="s">
        <v>3836</v>
      </c>
      <c r="B102" s="249"/>
      <c r="C102" s="2538" t="s">
        <v>862</v>
      </c>
      <c r="D102" s="2539"/>
      <c r="E102" s="2539"/>
      <c r="F102" s="2539"/>
      <c r="G102" s="2539"/>
      <c r="H102" s="2539"/>
      <c r="I102" s="2539"/>
      <c r="J102" s="2539"/>
      <c r="K102" s="2540"/>
      <c r="L102" s="2547" t="s">
        <v>1404</v>
      </c>
      <c r="M102" s="2548"/>
      <c r="N102" s="2548"/>
      <c r="O102" s="2548"/>
      <c r="P102" s="2548"/>
      <c r="Q102" s="2548"/>
      <c r="R102" s="2548"/>
      <c r="S102" s="2548"/>
      <c r="T102" s="2548"/>
      <c r="U102" s="2548"/>
      <c r="V102" s="2548"/>
      <c r="W102" s="2548"/>
      <c r="X102" s="2548"/>
      <c r="Y102" s="2548"/>
      <c r="Z102" s="2548"/>
      <c r="AA102" s="2548"/>
      <c r="AB102" s="2548"/>
      <c r="AC102" s="2548"/>
      <c r="AD102" s="2548"/>
      <c r="AE102" s="2548"/>
      <c r="AF102" s="2548"/>
      <c r="AG102" s="2548"/>
      <c r="AH102" s="2548"/>
      <c r="AI102" s="2548"/>
      <c r="AJ102" s="2548"/>
      <c r="AK102" s="2548"/>
      <c r="AL102" s="2548"/>
      <c r="AM102" s="2548"/>
      <c r="AN102" s="2548"/>
      <c r="AO102" s="2548"/>
      <c r="AP102" s="2548"/>
      <c r="AQ102" s="2548"/>
      <c r="AR102" s="2548"/>
      <c r="AS102" s="2548"/>
      <c r="AT102" s="2549"/>
      <c r="AU102" s="234"/>
      <c r="BX102" s="22"/>
      <c r="BZ102" s="120"/>
      <c r="CC102" s="21"/>
      <c r="CD102" s="145"/>
      <c r="CE102" s="145"/>
      <c r="CF102" s="145"/>
      <c r="CG102" s="34"/>
      <c r="CH102" s="65" t="s">
        <v>472</v>
      </c>
      <c r="CI102" s="65" t="s">
        <v>22</v>
      </c>
      <c r="CJ102" s="65">
        <v>15</v>
      </c>
      <c r="CK102" s="65" t="s">
        <v>216</v>
      </c>
      <c r="CL102" s="65" t="s">
        <v>83</v>
      </c>
      <c r="CM102" s="65"/>
      <c r="CN102" s="65"/>
      <c r="CO102" s="66" t="s">
        <v>86</v>
      </c>
      <c r="CP102" s="78" t="str">
        <f>IF(OR(記入シート1!AE126="",記入シート1!AK126="",記入シート1!AP126=""),"00-0000-0000",ASC(記入シート1!AE126)&amp;"-"&amp;ASC(記入シート1!AK126)&amp;"-"&amp;ASC(記入シート1!AP126))</f>
        <v>00-0000-0000</v>
      </c>
      <c r="CQ102" s="129"/>
      <c r="CR102" s="61"/>
      <c r="CS102" s="61"/>
      <c r="CT102" s="61"/>
      <c r="CU102" s="61"/>
      <c r="CV102" s="60"/>
      <c r="CW102" s="55"/>
      <c r="CX102" s="55"/>
      <c r="CY102" s="56"/>
      <c r="CZ102" s="44"/>
      <c r="DA102" s="56"/>
      <c r="DC102" s="43"/>
      <c r="DD102" s="43"/>
      <c r="DE102" s="147"/>
      <c r="DF102" s="90"/>
      <c r="DG102" s="90"/>
      <c r="DH102" s="547" t="s">
        <v>2154</v>
      </c>
      <c r="DI102" s="547" t="s">
        <v>3226</v>
      </c>
      <c r="DJ102" s="771" t="s">
        <v>3392</v>
      </c>
      <c r="DK102" s="101" t="str">
        <f t="shared" si="14"/>
        <v>93901Q36</v>
      </c>
      <c r="DL102" s="105" t="s">
        <v>3366</v>
      </c>
      <c r="DM102" s="105" t="s">
        <v>3371</v>
      </c>
      <c r="DN102" s="851" t="str">
        <f>""</f>
        <v/>
      </c>
      <c r="DP102" s="85"/>
      <c r="DV102" s="34"/>
      <c r="DX102" s="115"/>
      <c r="DY102" s="115"/>
    </row>
    <row r="103" spans="1:129" ht="19.5" hidden="1" customHeight="1">
      <c r="A103" s="1048" t="s">
        <v>3836</v>
      </c>
      <c r="B103" s="249"/>
      <c r="C103" s="2541"/>
      <c r="D103" s="2542"/>
      <c r="E103" s="2542"/>
      <c r="F103" s="2542"/>
      <c r="G103" s="2542"/>
      <c r="H103" s="2542"/>
      <c r="I103" s="2542"/>
      <c r="J103" s="2542"/>
      <c r="K103" s="2543"/>
      <c r="L103" s="2550"/>
      <c r="M103" s="2551"/>
      <c r="N103" s="2551"/>
      <c r="O103" s="2551"/>
      <c r="P103" s="2551"/>
      <c r="Q103" s="2551"/>
      <c r="R103" s="2551"/>
      <c r="S103" s="2551"/>
      <c r="T103" s="2551"/>
      <c r="U103" s="2551"/>
      <c r="V103" s="2551"/>
      <c r="W103" s="2551"/>
      <c r="X103" s="2551"/>
      <c r="Y103" s="2551"/>
      <c r="Z103" s="2551"/>
      <c r="AA103" s="2551"/>
      <c r="AB103" s="2551"/>
      <c r="AC103" s="2551"/>
      <c r="AD103" s="2551"/>
      <c r="AE103" s="2551"/>
      <c r="AF103" s="2551"/>
      <c r="AG103" s="2551"/>
      <c r="AH103" s="2551"/>
      <c r="AI103" s="2551"/>
      <c r="AJ103" s="2551"/>
      <c r="AK103" s="2551"/>
      <c r="AL103" s="2551"/>
      <c r="AM103" s="2551"/>
      <c r="AN103" s="2551"/>
      <c r="AO103" s="2551"/>
      <c r="AP103" s="2551"/>
      <c r="AQ103" s="2551"/>
      <c r="AR103" s="2551"/>
      <c r="AS103" s="2551"/>
      <c r="AT103" s="2552"/>
      <c r="AU103" s="234"/>
      <c r="BX103" s="22"/>
      <c r="BZ103" s="120"/>
      <c r="CC103" s="21"/>
      <c r="CD103" s="145"/>
      <c r="CE103" s="145"/>
      <c r="CF103" s="145"/>
      <c r="CG103" s="34"/>
      <c r="CH103" s="65" t="s">
        <v>93</v>
      </c>
      <c r="CI103" s="65" t="s">
        <v>22</v>
      </c>
      <c r="CJ103" s="65">
        <v>8</v>
      </c>
      <c r="CK103" s="65" t="s">
        <v>216</v>
      </c>
      <c r="CL103" s="65" t="s">
        <v>90</v>
      </c>
      <c r="CM103" s="65"/>
      <c r="CN103" s="65"/>
      <c r="CO103" s="66" t="s">
        <v>92</v>
      </c>
      <c r="CP103" s="78" t="str">
        <f>IF(記入シート1!AV128=1,【見本】記入シート2!CP20,IF(記入シート1!AV128=2,【見本】記入シート2!CP49,""))</f>
        <v/>
      </c>
      <c r="CQ103" s="129"/>
      <c r="CR103" s="61"/>
      <c r="CS103" s="61"/>
      <c r="CT103" s="61"/>
      <c r="CU103" s="61"/>
      <c r="CV103" s="60"/>
      <c r="CW103" s="55"/>
      <c r="CX103" s="55"/>
      <c r="CY103" s="56"/>
      <c r="CZ103" s="44"/>
      <c r="DA103" s="56"/>
      <c r="DC103" s="43"/>
      <c r="DD103" s="43"/>
      <c r="DE103" s="147"/>
      <c r="DF103" s="90"/>
      <c r="DG103" s="90"/>
      <c r="DH103" s="547" t="s">
        <v>2154</v>
      </c>
      <c r="DI103" s="547" t="s">
        <v>3227</v>
      </c>
      <c r="DJ103" s="771"/>
      <c r="DK103" s="101" t="str">
        <f t="shared" si="14"/>
        <v>93901Q37</v>
      </c>
      <c r="DL103" s="105" t="s">
        <v>3366</v>
      </c>
      <c r="DM103" s="105" t="s">
        <v>3385</v>
      </c>
      <c r="DN103" s="773" t="str">
        <f>ASC(記入シート1!AE31)</f>
        <v/>
      </c>
      <c r="DP103" s="85"/>
      <c r="DV103" s="34"/>
      <c r="DX103" s="115"/>
      <c r="DY103" s="115"/>
    </row>
    <row r="104" spans="1:129" ht="19.5" hidden="1" customHeight="1" thickBot="1">
      <c r="A104" s="1048" t="s">
        <v>3836</v>
      </c>
      <c r="B104" s="249"/>
      <c r="C104" s="2544"/>
      <c r="D104" s="2545"/>
      <c r="E104" s="2545"/>
      <c r="F104" s="2545"/>
      <c r="G104" s="2545"/>
      <c r="H104" s="2545"/>
      <c r="I104" s="2545"/>
      <c r="J104" s="2545"/>
      <c r="K104" s="2546"/>
      <c r="L104" s="2553"/>
      <c r="M104" s="2554"/>
      <c r="N104" s="2554"/>
      <c r="O104" s="2554"/>
      <c r="P104" s="2554"/>
      <c r="Q104" s="2554"/>
      <c r="R104" s="2554"/>
      <c r="S104" s="2554"/>
      <c r="T104" s="2554"/>
      <c r="U104" s="2554"/>
      <c r="V104" s="2554"/>
      <c r="W104" s="2554"/>
      <c r="X104" s="2554"/>
      <c r="Y104" s="2554"/>
      <c r="Z104" s="2554"/>
      <c r="AA104" s="2554"/>
      <c r="AB104" s="2554"/>
      <c r="AC104" s="2554"/>
      <c r="AD104" s="2554"/>
      <c r="AE104" s="2554"/>
      <c r="AF104" s="2554"/>
      <c r="AG104" s="2554"/>
      <c r="AH104" s="2554"/>
      <c r="AI104" s="2554"/>
      <c r="AJ104" s="2554"/>
      <c r="AK104" s="2554"/>
      <c r="AL104" s="2554"/>
      <c r="AM104" s="2554"/>
      <c r="AN104" s="2554"/>
      <c r="AO104" s="2554"/>
      <c r="AP104" s="2554"/>
      <c r="AQ104" s="2554"/>
      <c r="AR104" s="2554"/>
      <c r="AS104" s="2554"/>
      <c r="AT104" s="2555"/>
      <c r="AU104" s="234"/>
      <c r="BX104" s="22"/>
      <c r="BZ104" s="120"/>
      <c r="CC104" s="21"/>
      <c r="CD104" s="145"/>
      <c r="CE104" s="145"/>
      <c r="CF104" s="145"/>
      <c r="CG104" s="34"/>
      <c r="CH104" s="65" t="s">
        <v>473</v>
      </c>
      <c r="CI104" s="65" t="s">
        <v>21</v>
      </c>
      <c r="CJ104" s="65">
        <v>255</v>
      </c>
      <c r="CK104" s="65" t="s">
        <v>216</v>
      </c>
      <c r="CL104" s="65" t="s">
        <v>90</v>
      </c>
      <c r="CM104" s="65"/>
      <c r="CN104" s="65"/>
      <c r="CO104" s="66" t="s">
        <v>89</v>
      </c>
      <c r="CP104" s="78" t="str">
        <f>IF(記入シート1!AV128=1,CP21,IF(記入シート1!AV128=2,CP50,""))</f>
        <v/>
      </c>
      <c r="CQ104" s="129"/>
      <c r="CR104" s="61"/>
      <c r="CS104" s="61"/>
      <c r="CT104" s="61"/>
      <c r="CU104" s="61"/>
      <c r="CV104" s="60"/>
      <c r="CW104" s="55"/>
      <c r="CX104" s="55"/>
      <c r="CY104" s="56"/>
      <c r="CZ104" s="44"/>
      <c r="DA104" s="56"/>
      <c r="DC104" s="43"/>
      <c r="DD104" s="43"/>
      <c r="DE104" s="147"/>
      <c r="DF104" s="90"/>
      <c r="DG104" s="90"/>
      <c r="DH104" s="547" t="s">
        <v>2154</v>
      </c>
      <c r="DI104" s="547" t="s">
        <v>3228</v>
      </c>
      <c r="DJ104" s="771"/>
      <c r="DK104" s="101" t="str">
        <f t="shared" si="14"/>
        <v>93901Q38</v>
      </c>
      <c r="DL104" s="105" t="s">
        <v>3366</v>
      </c>
      <c r="DM104" s="105" t="s">
        <v>3386</v>
      </c>
      <c r="DN104" s="773" t="str">
        <f>IF(AV68="0000","",AV68)</f>
        <v>5200</v>
      </c>
      <c r="DO104" s="85"/>
      <c r="DP104" s="85"/>
      <c r="DX104" s="115"/>
      <c r="DY104" s="115"/>
    </row>
    <row r="105" spans="1:129" ht="19.5" hidden="1" customHeight="1" thickBot="1">
      <c r="A105" s="1048" t="s">
        <v>3836</v>
      </c>
      <c r="B105" s="249"/>
      <c r="C105" s="732"/>
      <c r="D105" s="732"/>
      <c r="E105" s="732"/>
      <c r="F105" s="732"/>
      <c r="G105" s="732"/>
      <c r="H105" s="732"/>
      <c r="I105" s="732"/>
      <c r="J105" s="732"/>
      <c r="K105" s="732"/>
      <c r="L105" s="732"/>
      <c r="M105" s="732"/>
      <c r="N105" s="732"/>
      <c r="O105" s="732"/>
      <c r="P105" s="732"/>
      <c r="Q105" s="732"/>
      <c r="R105" s="732"/>
      <c r="S105" s="732"/>
      <c r="T105" s="732"/>
      <c r="U105" s="732"/>
      <c r="V105" s="732"/>
      <c r="W105" s="732"/>
      <c r="X105" s="732"/>
      <c r="Y105" s="732"/>
      <c r="Z105" s="732"/>
      <c r="AA105" s="732"/>
      <c r="AB105" s="732"/>
      <c r="AC105" s="732"/>
      <c r="AD105" s="732"/>
      <c r="AE105" s="732"/>
      <c r="AF105" s="732"/>
      <c r="AG105" s="732"/>
      <c r="AH105" s="732"/>
      <c r="AI105" s="732"/>
      <c r="AJ105" s="732"/>
      <c r="AK105" s="732"/>
      <c r="AL105" s="732"/>
      <c r="AM105" s="732"/>
      <c r="AN105" s="732"/>
      <c r="AO105" s="732"/>
      <c r="AP105" s="732"/>
      <c r="AQ105" s="732"/>
      <c r="AR105" s="732"/>
      <c r="AS105" s="732"/>
      <c r="AT105" s="732"/>
      <c r="AU105" s="234"/>
      <c r="BX105" s="22"/>
      <c r="BZ105" s="121"/>
      <c r="CC105" s="21"/>
      <c r="CD105" s="145"/>
      <c r="CE105" s="145"/>
      <c r="CF105" s="145"/>
      <c r="CH105" s="77" t="s">
        <v>637</v>
      </c>
      <c r="CI105" s="77"/>
      <c r="CJ105" s="77"/>
      <c r="CK105" s="77"/>
      <c r="CL105" s="77"/>
      <c r="CM105" s="77"/>
      <c r="CN105" s="77"/>
      <c r="CO105" s="13"/>
      <c r="CP105" s="80"/>
      <c r="CQ105" s="129"/>
      <c r="CR105" s="61"/>
      <c r="CS105" s="61"/>
      <c r="CT105" s="61"/>
      <c r="CU105" s="61"/>
      <c r="CV105" s="60"/>
      <c r="CW105" s="55"/>
      <c r="CX105" s="55"/>
      <c r="CY105" s="56"/>
      <c r="CZ105" s="44"/>
      <c r="DA105" s="56"/>
      <c r="DC105" s="43"/>
      <c r="DD105" s="43"/>
      <c r="DE105" s="147"/>
      <c r="DF105" s="90"/>
      <c r="DG105" s="90"/>
      <c r="DH105" s="547" t="s">
        <v>2154</v>
      </c>
      <c r="DI105" s="547" t="s">
        <v>3229</v>
      </c>
      <c r="DJ105" s="771"/>
      <c r="DK105" s="101" t="str">
        <f t="shared" si="14"/>
        <v>93901Q39</v>
      </c>
      <c r="DL105" s="105" t="s">
        <v>3366</v>
      </c>
      <c r="DM105" s="105" t="s">
        <v>3387</v>
      </c>
      <c r="DN105" s="773" t="str">
        <f>IF(AV69="0000","",AV69)</f>
        <v>5221</v>
      </c>
      <c r="DO105" s="85"/>
      <c r="DP105" s="85"/>
      <c r="DX105" s="115"/>
      <c r="DY105" s="115"/>
    </row>
    <row r="106" spans="1:129" ht="19.5" hidden="1" customHeight="1" thickTop="1">
      <c r="A106" s="1048" t="s">
        <v>3836</v>
      </c>
      <c r="B106" s="249"/>
      <c r="C106" s="2556" t="s">
        <v>1060</v>
      </c>
      <c r="D106" s="2557"/>
      <c r="E106" s="2557"/>
      <c r="F106" s="2557"/>
      <c r="G106" s="2557"/>
      <c r="H106" s="2557"/>
      <c r="I106" s="2557"/>
      <c r="J106" s="2557"/>
      <c r="K106" s="2557"/>
      <c r="L106" s="2557"/>
      <c r="M106" s="2557"/>
      <c r="N106" s="2557"/>
      <c r="O106" s="2557"/>
      <c r="P106" s="2558"/>
      <c r="Q106" s="2559" t="s">
        <v>2105</v>
      </c>
      <c r="R106" s="2560"/>
      <c r="S106" s="2560"/>
      <c r="T106" s="2560"/>
      <c r="U106" s="2560"/>
      <c r="V106" s="2560" t="s">
        <v>2106</v>
      </c>
      <c r="W106" s="2560"/>
      <c r="X106" s="2560"/>
      <c r="Y106" s="2560"/>
      <c r="Z106" s="2561"/>
      <c r="AA106" s="734"/>
      <c r="AB106" s="735"/>
      <c r="AC106" s="735"/>
      <c r="AD106" s="735"/>
      <c r="AE106" s="735"/>
      <c r="AF106" s="735"/>
      <c r="AG106" s="735"/>
      <c r="AH106" s="735"/>
      <c r="AI106" s="735"/>
      <c r="AJ106" s="735"/>
      <c r="AK106" s="735"/>
      <c r="AL106" s="735"/>
      <c r="AM106" s="735"/>
      <c r="AN106" s="735"/>
      <c r="AO106" s="735"/>
      <c r="AP106" s="735"/>
      <c r="AQ106" s="735"/>
      <c r="AR106" s="735"/>
      <c r="AS106" s="735"/>
      <c r="AT106" s="736"/>
      <c r="AU106" s="234"/>
      <c r="BX106" s="22"/>
      <c r="BZ106" s="121"/>
      <c r="CC106" s="21"/>
      <c r="CD106" s="145"/>
      <c r="CE106" s="145"/>
      <c r="CF106" s="145"/>
      <c r="CH106" s="62" t="s">
        <v>323</v>
      </c>
      <c r="CI106" s="63" t="s">
        <v>586</v>
      </c>
      <c r="CJ106" s="63" t="s">
        <v>321</v>
      </c>
      <c r="CK106" s="62" t="s">
        <v>320</v>
      </c>
      <c r="CL106" s="62" t="s">
        <v>587</v>
      </c>
      <c r="CM106" s="62" t="s">
        <v>326</v>
      </c>
      <c r="CN106" s="62" t="s">
        <v>327</v>
      </c>
      <c r="CO106" s="62" t="s">
        <v>376</v>
      </c>
      <c r="CP106" s="62" t="s">
        <v>328</v>
      </c>
      <c r="CQ106" s="129"/>
      <c r="CR106" s="61"/>
      <c r="CS106" s="61"/>
      <c r="CT106" s="61"/>
      <c r="CU106" s="61"/>
      <c r="CV106" s="60"/>
      <c r="CW106" s="55"/>
      <c r="CX106" s="55"/>
      <c r="CY106" s="56"/>
      <c r="CZ106" s="44"/>
      <c r="DA106" s="56"/>
      <c r="DC106" s="43"/>
      <c r="DD106" s="43"/>
      <c r="DE106" s="147"/>
      <c r="DF106" s="90"/>
      <c r="DG106" s="90"/>
      <c r="DH106" s="547" t="s">
        <v>2154</v>
      </c>
      <c r="DI106" s="547" t="s">
        <v>3230</v>
      </c>
      <c r="DJ106" s="771" t="s">
        <v>3393</v>
      </c>
      <c r="DK106" s="101" t="str">
        <f t="shared" si="14"/>
        <v>93901Q3A</v>
      </c>
      <c r="DL106" s="105" t="s">
        <v>3366</v>
      </c>
      <c r="DM106" s="105" t="s">
        <v>3388</v>
      </c>
      <c r="DN106" s="851" t="str">
        <f>""</f>
        <v/>
      </c>
      <c r="DO106" s="85"/>
      <c r="DP106" s="85"/>
      <c r="DX106" s="115"/>
      <c r="DY106" s="115"/>
    </row>
    <row r="107" spans="1:129" ht="19.5" hidden="1" customHeight="1">
      <c r="A107" s="1048" t="s">
        <v>3836</v>
      </c>
      <c r="B107" s="249"/>
      <c r="C107" s="2562" t="s">
        <v>2107</v>
      </c>
      <c r="D107" s="2563"/>
      <c r="E107" s="2563"/>
      <c r="F107" s="2563"/>
      <c r="G107" s="2563"/>
      <c r="H107" s="2563"/>
      <c r="I107" s="2563"/>
      <c r="J107" s="2563"/>
      <c r="K107" s="2564"/>
      <c r="L107" s="2565" t="s">
        <v>1891</v>
      </c>
      <c r="M107" s="2565"/>
      <c r="N107" s="2565"/>
      <c r="O107" s="2565"/>
      <c r="P107" s="2565"/>
      <c r="Q107" s="2566"/>
      <c r="R107" s="2567"/>
      <c r="S107" s="2567"/>
      <c r="T107" s="2567"/>
      <c r="U107" s="2567"/>
      <c r="V107" s="2568">
        <v>0</v>
      </c>
      <c r="W107" s="2568"/>
      <c r="X107" s="2568"/>
      <c r="Y107" s="2568"/>
      <c r="Z107" s="2569"/>
      <c r="AA107" s="218"/>
      <c r="AB107" s="218"/>
      <c r="AC107" s="218"/>
      <c r="AD107" s="218"/>
      <c r="AE107" s="218"/>
      <c r="AF107" s="218"/>
      <c r="AG107" s="218"/>
      <c r="AH107" s="218"/>
      <c r="AI107" s="218"/>
      <c r="AJ107" s="218"/>
      <c r="AK107" s="218"/>
      <c r="AL107" s="218"/>
      <c r="AM107" s="218"/>
      <c r="AN107" s="218"/>
      <c r="AO107" s="218"/>
      <c r="AP107" s="218"/>
      <c r="AQ107" s="218"/>
      <c r="AR107" s="218"/>
      <c r="AS107" s="218"/>
      <c r="AT107" s="737"/>
      <c r="AU107" s="234"/>
      <c r="BD107" s="593" t="s">
        <v>1073</v>
      </c>
      <c r="BX107" s="22"/>
      <c r="BZ107" s="121"/>
      <c r="CC107" s="21"/>
      <c r="CD107" s="145"/>
      <c r="CE107" s="145"/>
      <c r="CF107" s="145"/>
      <c r="CH107" s="196" t="s">
        <v>484</v>
      </c>
      <c r="CI107" s="196" t="s">
        <v>22</v>
      </c>
      <c r="CJ107" s="196">
        <v>128</v>
      </c>
      <c r="CK107" s="196" t="s">
        <v>216</v>
      </c>
      <c r="CL107" s="196" t="s">
        <v>83</v>
      </c>
      <c r="CM107" s="196"/>
      <c r="CN107" s="196"/>
      <c r="CO107" s="197" t="s">
        <v>85</v>
      </c>
      <c r="CP107" s="198"/>
      <c r="CQ107" s="129"/>
      <c r="CR107" s="61"/>
      <c r="CS107" s="61"/>
      <c r="CT107" s="61"/>
      <c r="CU107" s="61"/>
      <c r="CV107" s="60"/>
      <c r="CW107" s="55"/>
      <c r="CX107" s="55"/>
      <c r="CY107" s="56"/>
      <c r="CZ107" s="44"/>
      <c r="DA107" s="56"/>
      <c r="DC107" s="43"/>
      <c r="DD107" s="43"/>
      <c r="DE107" s="147"/>
      <c r="DF107" s="90"/>
      <c r="DG107" s="90"/>
      <c r="DH107" s="547" t="s">
        <v>2154</v>
      </c>
      <c r="DI107" s="547" t="s">
        <v>3231</v>
      </c>
      <c r="DJ107" s="771" t="s">
        <v>3394</v>
      </c>
      <c r="DK107" s="101" t="str">
        <f t="shared" si="14"/>
        <v>93901Q3B</v>
      </c>
      <c r="DL107" s="105" t="s">
        <v>3366</v>
      </c>
      <c r="DM107" s="105" t="s">
        <v>3389</v>
      </c>
      <c r="DN107" s="851" t="str">
        <f>""</f>
        <v/>
      </c>
      <c r="DO107" s="85"/>
      <c r="DP107" s="85"/>
      <c r="DX107" s="115"/>
      <c r="DY107" s="115"/>
    </row>
    <row r="108" spans="1:129" ht="19.5" hidden="1" customHeight="1">
      <c r="A108" s="1048" t="s">
        <v>3836</v>
      </c>
      <c r="B108" s="249"/>
      <c r="C108" s="2820" t="s">
        <v>1952</v>
      </c>
      <c r="D108" s="2821"/>
      <c r="E108" s="2821"/>
      <c r="F108" s="2821"/>
      <c r="G108" s="2821"/>
      <c r="H108" s="2821"/>
      <c r="I108" s="2821"/>
      <c r="J108" s="2821"/>
      <c r="K108" s="2822"/>
      <c r="L108" s="2823" t="s">
        <v>1891</v>
      </c>
      <c r="M108" s="2823"/>
      <c r="N108" s="2823"/>
      <c r="O108" s="2823"/>
      <c r="P108" s="2823"/>
      <c r="Q108" s="2828"/>
      <c r="R108" s="2568"/>
      <c r="S108" s="2568"/>
      <c r="T108" s="2568"/>
      <c r="U108" s="2568"/>
      <c r="V108" s="2568"/>
      <c r="W108" s="2568"/>
      <c r="X108" s="2568"/>
      <c r="Y108" s="2568"/>
      <c r="Z108" s="2569"/>
      <c r="AA108" s="218"/>
      <c r="AB108" s="218"/>
      <c r="AC108" s="218"/>
      <c r="AD108" s="218"/>
      <c r="AE108" s="218"/>
      <c r="AF108" s="218"/>
      <c r="AG108" s="218"/>
      <c r="AH108" s="218"/>
      <c r="AI108" s="218"/>
      <c r="AJ108" s="218"/>
      <c r="AK108" s="218"/>
      <c r="AL108" s="218"/>
      <c r="AM108" s="218"/>
      <c r="AN108" s="218"/>
      <c r="AO108" s="218"/>
      <c r="AP108" s="218"/>
      <c r="AQ108" s="218"/>
      <c r="AR108" s="218"/>
      <c r="AS108" s="218"/>
      <c r="AT108" s="737"/>
      <c r="AU108" s="234"/>
      <c r="AW108" s="395" t="s">
        <v>1063</v>
      </c>
      <c r="AX108" s="400" t="s">
        <v>1057</v>
      </c>
      <c r="AY108" s="400" t="s">
        <v>1058</v>
      </c>
      <c r="AZ108" s="400"/>
      <c r="BA108" s="395" t="s">
        <v>1063</v>
      </c>
      <c r="BB108" s="399"/>
      <c r="BD108" s="593" t="s">
        <v>1073</v>
      </c>
      <c r="BX108" s="22"/>
      <c r="BZ108" s="121"/>
      <c r="CC108" s="21"/>
      <c r="CD108" s="145"/>
      <c r="CE108" s="145"/>
      <c r="CF108" s="145"/>
      <c r="CH108" s="196" t="s">
        <v>485</v>
      </c>
      <c r="CI108" s="196" t="s">
        <v>63</v>
      </c>
      <c r="CJ108" s="196">
        <v>1</v>
      </c>
      <c r="CK108" s="196" t="s">
        <v>216</v>
      </c>
      <c r="CL108" s="196" t="s">
        <v>83</v>
      </c>
      <c r="CM108" s="196" t="s">
        <v>594</v>
      </c>
      <c r="CN108" s="196"/>
      <c r="CO108" s="197" t="s">
        <v>84</v>
      </c>
      <c r="CP108" s="198"/>
      <c r="CQ108" s="129"/>
      <c r="CR108" s="61"/>
      <c r="CS108" s="61"/>
      <c r="CT108" s="61"/>
      <c r="CU108" s="61"/>
      <c r="CV108" s="60"/>
      <c r="CW108" s="55"/>
      <c r="CX108" s="55"/>
      <c r="CY108" s="56"/>
      <c r="CZ108" s="44"/>
      <c r="DA108" s="56"/>
      <c r="DC108" s="43"/>
      <c r="DD108" s="43"/>
      <c r="DE108" s="147"/>
      <c r="DF108" s="90"/>
      <c r="DG108" s="90"/>
      <c r="DH108" s="547" t="s">
        <v>2154</v>
      </c>
      <c r="DI108" s="547" t="s">
        <v>3232</v>
      </c>
      <c r="DJ108" s="771" t="s">
        <v>3394</v>
      </c>
      <c r="DK108" s="101" t="str">
        <f t="shared" si="14"/>
        <v>93901Q3C</v>
      </c>
      <c r="DL108" s="105" t="s">
        <v>3366</v>
      </c>
      <c r="DM108" s="105" t="s">
        <v>3390</v>
      </c>
      <c r="DN108" s="851" t="str">
        <f>""</f>
        <v/>
      </c>
      <c r="DO108" s="85"/>
      <c r="DP108" s="85"/>
      <c r="DX108" s="115"/>
      <c r="DY108" s="115"/>
    </row>
    <row r="109" spans="1:129" ht="19.5" hidden="1" customHeight="1" thickBot="1">
      <c r="A109" s="1048" t="s">
        <v>3836</v>
      </c>
      <c r="B109" s="249"/>
      <c r="C109" s="2820" t="s">
        <v>1953</v>
      </c>
      <c r="D109" s="2821"/>
      <c r="E109" s="2821"/>
      <c r="F109" s="2821"/>
      <c r="G109" s="2821"/>
      <c r="H109" s="2821"/>
      <c r="I109" s="2821"/>
      <c r="J109" s="2821"/>
      <c r="K109" s="2822"/>
      <c r="L109" s="2823" t="s">
        <v>1891</v>
      </c>
      <c r="M109" s="2823"/>
      <c r="N109" s="2823"/>
      <c r="O109" s="2823"/>
      <c r="P109" s="2823"/>
      <c r="Q109" s="2535"/>
      <c r="R109" s="2536"/>
      <c r="S109" s="2536"/>
      <c r="T109" s="2536"/>
      <c r="U109" s="2536"/>
      <c r="V109" s="2536"/>
      <c r="W109" s="2536"/>
      <c r="X109" s="2536"/>
      <c r="Y109" s="2536"/>
      <c r="Z109" s="2537"/>
      <c r="AA109" s="2818" t="s">
        <v>1957</v>
      </c>
      <c r="AB109" s="2818"/>
      <c r="AC109" s="2818"/>
      <c r="AD109" s="2819" t="s">
        <v>1958</v>
      </c>
      <c r="AE109" s="2819"/>
      <c r="AF109" s="2819"/>
      <c r="AG109" s="2819"/>
      <c r="AH109" s="218"/>
      <c r="AI109" s="218"/>
      <c r="AJ109" s="218"/>
      <c r="AK109" s="218"/>
      <c r="AL109" s="218"/>
      <c r="AM109" s="218"/>
      <c r="AN109" s="218"/>
      <c r="AO109" s="218"/>
      <c r="AP109" s="218"/>
      <c r="AQ109" s="218"/>
      <c r="AR109" s="218"/>
      <c r="AS109" s="218"/>
      <c r="AT109" s="737"/>
      <c r="AU109" s="234"/>
      <c r="AV109" s="199" t="b">
        <f>IF(L107="申し込む",TRUE,FALSE)</f>
        <v>0</v>
      </c>
      <c r="AW109" s="395"/>
      <c r="AX109" s="396">
        <f>AV109*Q109</f>
        <v>0</v>
      </c>
      <c r="AY109" s="396">
        <f>AV109*U109</f>
        <v>0</v>
      </c>
      <c r="AZ109" s="397">
        <f>AV109*1</f>
        <v>0</v>
      </c>
      <c r="BA109" s="398" t="s">
        <v>1062</v>
      </c>
      <c r="BB109" s="399" t="s">
        <v>1061</v>
      </c>
      <c r="BD109" s="593" t="s">
        <v>1073</v>
      </c>
      <c r="BX109" s="22"/>
      <c r="BZ109" s="121"/>
      <c r="CC109" s="21"/>
      <c r="CD109" s="145"/>
      <c r="CE109" s="145"/>
      <c r="CF109" s="145"/>
      <c r="CH109" s="196" t="s">
        <v>486</v>
      </c>
      <c r="CI109" s="196" t="s">
        <v>22</v>
      </c>
      <c r="CJ109" s="196">
        <v>15</v>
      </c>
      <c r="CK109" s="196" t="s">
        <v>83</v>
      </c>
      <c r="CL109" s="196" t="s">
        <v>83</v>
      </c>
      <c r="CM109" s="196"/>
      <c r="CN109" s="284" t="s">
        <v>695</v>
      </c>
      <c r="CO109" s="197" t="s">
        <v>82</v>
      </c>
      <c r="CP109" s="285"/>
      <c r="CQ109" s="129"/>
      <c r="CR109" s="61"/>
      <c r="CS109" s="61"/>
      <c r="CT109" s="61"/>
      <c r="CU109" s="61"/>
      <c r="CV109" s="60"/>
      <c r="CW109" s="55"/>
      <c r="CX109" s="55"/>
      <c r="CY109" s="56"/>
      <c r="CZ109" s="44"/>
      <c r="DA109" s="56"/>
      <c r="DC109" s="43"/>
      <c r="DD109" s="43"/>
      <c r="DE109" s="147"/>
      <c r="DF109" s="90"/>
      <c r="DG109" s="90"/>
      <c r="DH109" s="547" t="s">
        <v>2154</v>
      </c>
      <c r="DI109" s="547" t="s">
        <v>3233</v>
      </c>
      <c r="DJ109" s="771" t="s">
        <v>3394</v>
      </c>
      <c r="DK109" s="101" t="str">
        <f t="shared" si="14"/>
        <v>93901Q3D</v>
      </c>
      <c r="DL109" s="105" t="s">
        <v>3366</v>
      </c>
      <c r="DM109" s="105" t="s">
        <v>3391</v>
      </c>
      <c r="DN109" s="851" t="str">
        <f>""</f>
        <v/>
      </c>
      <c r="DO109" s="85"/>
      <c r="DP109" s="85"/>
      <c r="DX109" s="115"/>
      <c r="DY109" s="115"/>
    </row>
    <row r="110" spans="1:129" ht="19.5" hidden="1" customHeight="1" thickTop="1" thickBot="1">
      <c r="A110" s="1048" t="s">
        <v>3836</v>
      </c>
      <c r="B110" s="249"/>
      <c r="C110" s="2820"/>
      <c r="D110" s="2821"/>
      <c r="E110" s="2821"/>
      <c r="F110" s="2821"/>
      <c r="G110" s="2821"/>
      <c r="H110" s="2821"/>
      <c r="I110" s="2821"/>
      <c r="J110" s="2821"/>
      <c r="K110" s="2822"/>
      <c r="L110" s="2823" t="s">
        <v>1891</v>
      </c>
      <c r="M110" s="2823"/>
      <c r="N110" s="2823"/>
      <c r="O110" s="2823"/>
      <c r="P110" s="2823"/>
      <c r="Q110" s="2824"/>
      <c r="R110" s="2825"/>
      <c r="S110" s="2825"/>
      <c r="T110" s="2825"/>
      <c r="U110" s="2825"/>
      <c r="V110" s="2826"/>
      <c r="W110" s="2826"/>
      <c r="X110" s="2826"/>
      <c r="Y110" s="2826"/>
      <c r="Z110" s="2827"/>
      <c r="AA110" s="218"/>
      <c r="AB110" s="218"/>
      <c r="AC110" s="218"/>
      <c r="AD110" s="218"/>
      <c r="AE110" s="218"/>
      <c r="AF110" s="218"/>
      <c r="AG110" s="218"/>
      <c r="AH110" s="218"/>
      <c r="AI110" s="218"/>
      <c r="AJ110" s="218"/>
      <c r="AK110" s="218"/>
      <c r="AL110" s="218"/>
      <c r="AM110" s="218"/>
      <c r="AN110" s="218"/>
      <c r="AO110" s="218"/>
      <c r="AP110" s="218"/>
      <c r="AQ110" s="218"/>
      <c r="AR110" s="218"/>
      <c r="AS110" s="218"/>
      <c r="AT110" s="738"/>
      <c r="AU110" s="234"/>
      <c r="AV110" s="199" t="b">
        <f>IF(L108="申し込む",TRUE,FALSE)</f>
        <v>0</v>
      </c>
      <c r="BD110" s="593" t="s">
        <v>1073</v>
      </c>
      <c r="BX110" s="22"/>
      <c r="BZ110" s="121"/>
      <c r="CC110" s="21"/>
      <c r="CD110" s="145"/>
      <c r="CE110" s="145"/>
      <c r="CF110" s="145"/>
      <c r="CH110" s="196" t="s">
        <v>487</v>
      </c>
      <c r="CI110" s="196" t="s">
        <v>22</v>
      </c>
      <c r="CJ110" s="196">
        <v>128</v>
      </c>
      <c r="CK110" s="196" t="s">
        <v>83</v>
      </c>
      <c r="CL110" s="196" t="s">
        <v>83</v>
      </c>
      <c r="CM110" s="196"/>
      <c r="CN110" s="284" t="s">
        <v>696</v>
      </c>
      <c r="CO110" s="286" t="s">
        <v>81</v>
      </c>
      <c r="CP110" s="285"/>
      <c r="CQ110" s="129"/>
      <c r="CR110" s="61"/>
      <c r="CS110" s="61"/>
      <c r="CT110" s="61"/>
      <c r="CU110" s="61"/>
      <c r="CV110" s="60"/>
      <c r="CW110" s="55"/>
      <c r="CX110" s="55"/>
      <c r="CY110" s="56"/>
      <c r="CZ110" s="44"/>
      <c r="DA110" s="56"/>
      <c r="DC110" s="43"/>
      <c r="DD110" s="43"/>
      <c r="DE110" s="118"/>
      <c r="DF110" s="90"/>
      <c r="DG110" s="90"/>
      <c r="DH110" s="547" t="s">
        <v>2157</v>
      </c>
      <c r="DI110" s="547" t="s">
        <v>3234</v>
      </c>
      <c r="DJ110" s="772"/>
      <c r="DK110" s="101" t="str">
        <f t="shared" si="14"/>
        <v>94201Q62</v>
      </c>
      <c r="DL110" s="105" t="s">
        <v>3395</v>
      </c>
      <c r="DM110" s="105" t="s">
        <v>3396</v>
      </c>
      <c r="DN110" s="773" t="str">
        <f>IF(OR(AV73="00000",AV73=""),"",ASC(AV73))</f>
        <v/>
      </c>
      <c r="DO110" s="85"/>
      <c r="DP110" s="85"/>
      <c r="DX110" s="115"/>
      <c r="DY110" s="115"/>
    </row>
    <row r="111" spans="1:129" ht="19.5" customHeight="1" thickBot="1">
      <c r="A111" s="1048"/>
      <c r="B111" s="249"/>
      <c r="AU111" s="234"/>
      <c r="AV111" s="199" t="b">
        <f>IF(L109="申し込む",TRUE,FALSE)</f>
        <v>0</v>
      </c>
      <c r="AW111" s="200">
        <f>IF(AD109="docomo",1,IF(AD109="SoftBank",2,0))</f>
        <v>1</v>
      </c>
      <c r="BX111" s="22"/>
      <c r="BZ111" s="121"/>
      <c r="CC111" s="21"/>
      <c r="CD111" s="145"/>
      <c r="CE111" s="145"/>
      <c r="CF111" s="145"/>
      <c r="CH111" s="196" t="s">
        <v>488</v>
      </c>
      <c r="CI111" s="196" t="s">
        <v>63</v>
      </c>
      <c r="CJ111" s="196">
        <v>1</v>
      </c>
      <c r="CK111" s="196" t="s">
        <v>83</v>
      </c>
      <c r="CL111" s="196" t="s">
        <v>83</v>
      </c>
      <c r="CM111" s="196" t="s">
        <v>489</v>
      </c>
      <c r="CN111" s="196" t="s">
        <v>610</v>
      </c>
      <c r="CO111" s="197" t="s">
        <v>80</v>
      </c>
      <c r="CP111" s="198"/>
      <c r="CQ111" s="129"/>
      <c r="CR111" s="61"/>
      <c r="CS111" s="61"/>
      <c r="CT111" s="61"/>
      <c r="CU111" s="61"/>
      <c r="CV111" s="60"/>
      <c r="CW111" s="55"/>
      <c r="CX111" s="55"/>
      <c r="CY111" s="56"/>
      <c r="CZ111" s="44"/>
      <c r="DA111" s="56"/>
      <c r="DC111" s="43"/>
      <c r="DD111" s="43"/>
      <c r="DE111" s="118"/>
      <c r="DF111" s="90"/>
      <c r="DG111" s="90"/>
      <c r="DH111" s="547" t="s">
        <v>2157</v>
      </c>
      <c r="DI111" s="547" t="s">
        <v>3235</v>
      </c>
      <c r="DJ111" s="772" t="s">
        <v>3365</v>
      </c>
      <c r="DK111" s="101" t="str">
        <f t="shared" si="14"/>
        <v>94201Q63</v>
      </c>
      <c r="DL111" s="105" t="s">
        <v>3395</v>
      </c>
      <c r="DM111" s="105" t="s">
        <v>3397</v>
      </c>
      <c r="DN111" s="773" t="str">
        <f>IF(AX72=1,"1","0")</f>
        <v>1</v>
      </c>
      <c r="DO111" s="85"/>
      <c r="DP111" s="85"/>
      <c r="DX111" s="115"/>
      <c r="DY111" s="115"/>
    </row>
    <row r="112" spans="1:129" ht="19.5" customHeight="1" thickTop="1">
      <c r="A112" s="1048"/>
      <c r="B112" s="249"/>
      <c r="C112" s="2556" t="s">
        <v>1970</v>
      </c>
      <c r="D112" s="2557"/>
      <c r="E112" s="2557"/>
      <c r="F112" s="2557"/>
      <c r="G112" s="2557"/>
      <c r="H112" s="2557"/>
      <c r="I112" s="2557"/>
      <c r="J112" s="1204"/>
      <c r="K112" s="2557"/>
      <c r="L112" s="2557"/>
      <c r="M112" s="2557"/>
      <c r="N112" s="2557"/>
      <c r="O112" s="2557"/>
      <c r="P112" s="2557"/>
      <c r="Q112" s="2557"/>
      <c r="R112" s="2557"/>
      <c r="S112" s="2557"/>
      <c r="T112" s="2557"/>
      <c r="U112" s="2557"/>
      <c r="V112" s="2589" t="s">
        <v>5060</v>
      </c>
      <c r="W112" s="2590"/>
      <c r="X112" s="2590"/>
      <c r="Y112" s="2590"/>
      <c r="Z112" s="2590"/>
      <c r="AA112" s="2590"/>
      <c r="AB112" s="2591"/>
      <c r="AC112" s="486"/>
      <c r="AD112" s="486"/>
      <c r="AE112" s="486"/>
      <c r="AF112" s="486"/>
      <c r="AG112" s="486"/>
      <c r="AH112" s="486"/>
      <c r="AI112" s="486"/>
      <c r="AJ112" s="486"/>
      <c r="AK112" s="486"/>
      <c r="AL112" s="486"/>
      <c r="AM112" s="486"/>
      <c r="AN112" s="486"/>
      <c r="AO112" s="486"/>
      <c r="AP112" s="486"/>
      <c r="AQ112" s="486"/>
      <c r="AR112" s="486"/>
      <c r="AS112" s="486"/>
      <c r="AT112" s="1087"/>
      <c r="AU112" s="234"/>
      <c r="BX112" s="22"/>
      <c r="BZ112" s="121"/>
      <c r="CC112" s="21"/>
      <c r="CD112" s="145"/>
      <c r="CE112" s="145"/>
      <c r="CF112" s="145"/>
      <c r="CH112" s="196" t="s">
        <v>490</v>
      </c>
      <c r="CI112" s="196" t="s">
        <v>21</v>
      </c>
      <c r="CJ112" s="196">
        <v>60</v>
      </c>
      <c r="CK112" s="196" t="s">
        <v>83</v>
      </c>
      <c r="CL112" s="196" t="s">
        <v>83</v>
      </c>
      <c r="CM112" s="196"/>
      <c r="CN112" s="196" t="s">
        <v>611</v>
      </c>
      <c r="CO112" s="197" t="s">
        <v>79</v>
      </c>
      <c r="CP112" s="198"/>
      <c r="CQ112" s="129"/>
      <c r="CR112" s="61"/>
      <c r="CS112" s="61"/>
      <c r="CT112" s="61"/>
      <c r="CU112" s="61"/>
      <c r="CV112" s="60"/>
      <c r="CW112" s="55"/>
      <c r="CX112" s="55"/>
      <c r="CY112" s="56"/>
      <c r="CZ112" s="44"/>
      <c r="DA112" s="56"/>
      <c r="DC112" s="43"/>
      <c r="DD112" s="43"/>
      <c r="DE112" s="118"/>
      <c r="DF112" s="90"/>
      <c r="DG112" s="90"/>
      <c r="DH112" s="547" t="s">
        <v>2157</v>
      </c>
      <c r="DI112" s="547" t="s">
        <v>3236</v>
      </c>
      <c r="DJ112" s="772"/>
      <c r="DK112" s="101" t="str">
        <f t="shared" si="14"/>
        <v>94201Q64</v>
      </c>
      <c r="DL112" s="105" t="s">
        <v>3395</v>
      </c>
      <c r="DM112" s="105" t="s">
        <v>3398</v>
      </c>
      <c r="DN112" s="851" t="str">
        <f>""</f>
        <v/>
      </c>
      <c r="DO112" s="85"/>
      <c r="DP112" s="85"/>
      <c r="DX112" s="115"/>
      <c r="DY112" s="115"/>
    </row>
    <row r="113" spans="1:129" ht="19.5" hidden="1" customHeight="1">
      <c r="A113" s="1048"/>
      <c r="B113" s="249"/>
      <c r="C113" s="2129" t="s">
        <v>4875</v>
      </c>
      <c r="D113" s="2570"/>
      <c r="E113" s="2570"/>
      <c r="F113" s="2570"/>
      <c r="G113" s="2570"/>
      <c r="H113" s="2570"/>
      <c r="I113" s="2570"/>
      <c r="J113" s="1220"/>
      <c r="K113" s="1221"/>
      <c r="L113" s="1207"/>
      <c r="M113" s="1207"/>
      <c r="N113" s="1207"/>
      <c r="O113" s="1207"/>
      <c r="P113" s="1207"/>
      <c r="Q113" s="1207"/>
      <c r="R113" s="1207"/>
      <c r="S113" s="1207"/>
      <c r="T113" s="1207"/>
      <c r="U113" s="1207"/>
      <c r="V113" s="2571">
        <v>0</v>
      </c>
      <c r="W113" s="2572"/>
      <c r="X113" s="2572"/>
      <c r="Y113" s="2572"/>
      <c r="Z113" s="2573"/>
      <c r="AA113" s="1222"/>
      <c r="AB113" s="963"/>
      <c r="AC113" s="1047"/>
      <c r="AD113" s="1047"/>
      <c r="AE113" s="1223"/>
      <c r="AF113" s="1047"/>
      <c r="AG113" s="670"/>
      <c r="AH113" s="670"/>
      <c r="AI113" s="670"/>
      <c r="AJ113" s="670"/>
      <c r="AK113" s="670"/>
      <c r="AL113" s="222"/>
      <c r="AM113" s="222"/>
      <c r="AN113" s="222"/>
      <c r="AO113" s="222"/>
      <c r="AP113" s="222"/>
      <c r="AQ113" s="222"/>
      <c r="AR113" s="222"/>
      <c r="AS113" s="1047"/>
      <c r="AT113" s="324"/>
      <c r="AU113" s="234"/>
      <c r="BX113" s="22"/>
      <c r="BZ113" s="121"/>
      <c r="CC113" s="21"/>
      <c r="CD113" s="145"/>
      <c r="CE113" s="145"/>
      <c r="CF113" s="145"/>
      <c r="CH113" s="196" t="s">
        <v>491</v>
      </c>
      <c r="CI113" s="196" t="s">
        <v>21</v>
      </c>
      <c r="CJ113" s="196">
        <v>255</v>
      </c>
      <c r="CK113" s="196" t="s">
        <v>83</v>
      </c>
      <c r="CL113" s="196" t="s">
        <v>83</v>
      </c>
      <c r="CM113" s="196"/>
      <c r="CN113" s="196" t="s">
        <v>611</v>
      </c>
      <c r="CO113" s="197" t="s">
        <v>78</v>
      </c>
      <c r="CP113" s="198"/>
      <c r="CQ113" s="129"/>
      <c r="CR113" s="61"/>
      <c r="CS113" s="61"/>
      <c r="CT113" s="61"/>
      <c r="CU113" s="61"/>
      <c r="CV113" s="60"/>
      <c r="CW113" s="55"/>
      <c r="CX113" s="55"/>
      <c r="CY113" s="56"/>
      <c r="CZ113" s="44"/>
      <c r="DA113" s="56"/>
      <c r="DC113" s="43"/>
      <c r="DD113" s="43"/>
      <c r="DE113" s="118"/>
      <c r="DF113" s="90"/>
      <c r="DG113" s="90"/>
      <c r="DH113" s="547" t="s">
        <v>2157</v>
      </c>
      <c r="DI113" s="547" t="s">
        <v>3237</v>
      </c>
      <c r="DJ113" s="772"/>
      <c r="DK113" s="101" t="str">
        <f t="shared" si="14"/>
        <v>94201Q65</v>
      </c>
      <c r="DL113" s="105" t="s">
        <v>3395</v>
      </c>
      <c r="DM113" s="105" t="s">
        <v>3399</v>
      </c>
      <c r="DN113" s="851" t="str">
        <f>""</f>
        <v/>
      </c>
      <c r="DO113" s="85"/>
      <c r="DP113" s="85"/>
      <c r="DX113" s="115"/>
      <c r="DY113" s="115"/>
    </row>
    <row r="114" spans="1:129" ht="19.5" customHeight="1">
      <c r="A114" s="1048"/>
      <c r="B114" s="249"/>
      <c r="C114" s="2409" t="s">
        <v>5053</v>
      </c>
      <c r="D114" s="2410"/>
      <c r="E114" s="2410"/>
      <c r="F114" s="2410"/>
      <c r="G114" s="2410"/>
      <c r="H114" s="2410"/>
      <c r="I114" s="2410"/>
      <c r="J114" s="2574" t="s">
        <v>5054</v>
      </c>
      <c r="K114" s="2574"/>
      <c r="L114" s="2574"/>
      <c r="M114" s="2574"/>
      <c r="N114" s="2574"/>
      <c r="O114" s="2574"/>
      <c r="P114" s="2574"/>
      <c r="Q114" s="2574"/>
      <c r="R114" s="2574"/>
      <c r="S114" s="2574"/>
      <c r="T114" s="2574"/>
      <c r="U114" s="2575"/>
      <c r="V114" s="2576">
        <v>600</v>
      </c>
      <c r="W114" s="2577"/>
      <c r="X114" s="2577"/>
      <c r="Y114" s="2577"/>
      <c r="Z114" s="2577"/>
      <c r="AA114" s="2453" t="s">
        <v>5089</v>
      </c>
      <c r="AB114" s="2582"/>
      <c r="AC114" s="670"/>
      <c r="AD114" s="670"/>
      <c r="AE114" s="670"/>
      <c r="AF114" s="670"/>
      <c r="AG114" s="670"/>
      <c r="AH114" s="670"/>
      <c r="AI114" s="670"/>
      <c r="AJ114" s="670"/>
      <c r="AK114" s="670"/>
      <c r="AL114" s="222"/>
      <c r="AM114" s="222"/>
      <c r="AN114" s="222"/>
      <c r="AO114" s="222"/>
      <c r="AP114" s="222"/>
      <c r="AQ114" s="222"/>
      <c r="AR114" s="222"/>
      <c r="AS114" s="222"/>
      <c r="AT114" s="1153"/>
      <c r="AU114" s="234"/>
      <c r="BX114" s="22"/>
      <c r="BZ114" s="121"/>
      <c r="CC114" s="21"/>
      <c r="CD114" s="145"/>
      <c r="CE114" s="145"/>
      <c r="CF114" s="145"/>
      <c r="CH114" s="196" t="s">
        <v>492</v>
      </c>
      <c r="CI114" s="196" t="s">
        <v>21</v>
      </c>
      <c r="CJ114" s="196">
        <v>255</v>
      </c>
      <c r="CK114" s="196" t="s">
        <v>83</v>
      </c>
      <c r="CL114" s="196" t="s">
        <v>83</v>
      </c>
      <c r="CM114" s="196"/>
      <c r="CN114" s="196" t="s">
        <v>610</v>
      </c>
      <c r="CO114" s="197" t="s">
        <v>77</v>
      </c>
      <c r="CP114" s="198"/>
      <c r="CQ114" s="129"/>
      <c r="CR114" s="61"/>
      <c r="CS114" s="61"/>
      <c r="CT114" s="61"/>
      <c r="CU114" s="61"/>
      <c r="CV114" s="60"/>
      <c r="CW114" s="55"/>
      <c r="CX114" s="55"/>
      <c r="CY114" s="56"/>
      <c r="CZ114" s="44"/>
      <c r="DA114" s="56"/>
      <c r="DC114" s="43"/>
      <c r="DD114" s="43"/>
      <c r="DE114" s="118"/>
      <c r="DF114" s="90"/>
      <c r="DG114" s="90"/>
      <c r="DL114" s="106" t="s">
        <v>2024</v>
      </c>
      <c r="DO114" s="85"/>
      <c r="DP114" s="85"/>
      <c r="DX114" s="115"/>
      <c r="DY114" s="115"/>
    </row>
    <row r="115" spans="1:129" ht="19.5" customHeight="1">
      <c r="A115" s="1048"/>
      <c r="B115" s="249"/>
      <c r="C115" s="2412"/>
      <c r="D115" s="2413"/>
      <c r="E115" s="2413"/>
      <c r="F115" s="2413"/>
      <c r="G115" s="2413"/>
      <c r="H115" s="2413"/>
      <c r="I115" s="2413"/>
      <c r="J115" s="2574" t="s">
        <v>5055</v>
      </c>
      <c r="K115" s="2574"/>
      <c r="L115" s="2574"/>
      <c r="M115" s="2574"/>
      <c r="N115" s="2574"/>
      <c r="O115" s="2574"/>
      <c r="P115" s="2574"/>
      <c r="Q115" s="2574"/>
      <c r="R115" s="2574"/>
      <c r="S115" s="2574"/>
      <c r="T115" s="2574"/>
      <c r="U115" s="2575"/>
      <c r="V115" s="2578">
        <v>1000</v>
      </c>
      <c r="W115" s="2579"/>
      <c r="X115" s="2579"/>
      <c r="Y115" s="2579"/>
      <c r="Z115" s="2579"/>
      <c r="AA115" s="2453" t="s">
        <v>5089</v>
      </c>
      <c r="AB115" s="2582"/>
      <c r="AC115" s="670"/>
      <c r="AD115" s="670"/>
      <c r="AE115" s="670"/>
      <c r="AF115" s="670"/>
      <c r="AG115" s="670"/>
      <c r="AH115" s="670"/>
      <c r="AI115" s="670"/>
      <c r="AJ115" s="670"/>
      <c r="AK115" s="670"/>
      <c r="AL115" s="222"/>
      <c r="AM115" s="222"/>
      <c r="AN115" s="222"/>
      <c r="AO115" s="222"/>
      <c r="AP115" s="222"/>
      <c r="AQ115" s="222"/>
      <c r="AR115" s="222"/>
      <c r="AS115" s="222"/>
      <c r="AT115" s="1153"/>
      <c r="AU115" s="234"/>
      <c r="AV115" s="199" t="b">
        <v>1</v>
      </c>
      <c r="AW115" s="651" t="str">
        <f>IF(AV115=TRUE,IF(AND(AV45=TRUE,AV116=TRUE),"OK","NG"),"OK")</f>
        <v>OK</v>
      </c>
      <c r="AX115" s="618" t="s">
        <v>2108</v>
      </c>
      <c r="BX115" s="22"/>
      <c r="BZ115" s="121"/>
      <c r="CA115" s="120"/>
      <c r="CC115" s="21"/>
      <c r="CD115" s="145"/>
      <c r="CE115" s="145"/>
      <c r="CF115" s="145"/>
      <c r="CH115" s="196" t="s">
        <v>493</v>
      </c>
      <c r="CI115" s="196" t="s">
        <v>21</v>
      </c>
      <c r="CJ115" s="196">
        <v>40</v>
      </c>
      <c r="CK115" s="196" t="s">
        <v>83</v>
      </c>
      <c r="CL115" s="196" t="s">
        <v>83</v>
      </c>
      <c r="CM115" s="196"/>
      <c r="CN115" s="196" t="s">
        <v>612</v>
      </c>
      <c r="CO115" s="197" t="s">
        <v>495</v>
      </c>
      <c r="CP115" s="198"/>
      <c r="CQ115" s="129"/>
      <c r="CR115" s="61"/>
      <c r="CS115" s="61"/>
      <c r="CT115" s="61"/>
      <c r="CU115" s="61"/>
      <c r="CV115" s="60"/>
      <c r="CW115" s="55"/>
      <c r="CX115" s="55"/>
      <c r="CY115" s="56"/>
      <c r="CZ115" s="44"/>
      <c r="DA115" s="56"/>
      <c r="DC115" s="43"/>
      <c r="DD115" s="43"/>
      <c r="DE115" s="118"/>
      <c r="DF115" s="90"/>
      <c r="DG115" s="90"/>
      <c r="DO115" s="85"/>
      <c r="DP115" s="85"/>
      <c r="DX115" s="115"/>
      <c r="DY115" s="115"/>
    </row>
    <row r="116" spans="1:129" ht="19.5" customHeight="1">
      <c r="A116" s="1048"/>
      <c r="B116" s="249"/>
      <c r="C116" s="2412"/>
      <c r="D116" s="2413"/>
      <c r="E116" s="2413"/>
      <c r="F116" s="2413"/>
      <c r="G116" s="2413"/>
      <c r="H116" s="2413"/>
      <c r="I116" s="2413"/>
      <c r="J116" s="2580" t="s">
        <v>5056</v>
      </c>
      <c r="K116" s="2580"/>
      <c r="L116" s="2580"/>
      <c r="M116" s="2580"/>
      <c r="N116" s="2580"/>
      <c r="O116" s="2580"/>
      <c r="P116" s="2580"/>
      <c r="Q116" s="2580"/>
      <c r="R116" s="2580"/>
      <c r="S116" s="2580"/>
      <c r="T116" s="2580"/>
      <c r="U116" s="2581"/>
      <c r="V116" s="2576">
        <v>1000</v>
      </c>
      <c r="W116" s="2577"/>
      <c r="X116" s="2577"/>
      <c r="Y116" s="2577"/>
      <c r="Z116" s="2577"/>
      <c r="AA116" s="2583" t="s">
        <v>5089</v>
      </c>
      <c r="AB116" s="2584"/>
      <c r="AC116" s="1224"/>
      <c r="AD116" s="1225"/>
      <c r="AE116" s="1225"/>
      <c r="AF116" s="1225"/>
      <c r="AG116" s="1226"/>
      <c r="AH116" s="1226"/>
      <c r="AI116" s="1226"/>
      <c r="AJ116" s="1226"/>
      <c r="AK116" s="1226"/>
      <c r="AL116" s="1226"/>
      <c r="AM116" s="1226"/>
      <c r="AN116" s="1226"/>
      <c r="AO116" s="1226"/>
      <c r="AP116" s="1226"/>
      <c r="AQ116" s="1226"/>
      <c r="AR116" s="1226"/>
      <c r="AS116" s="1226"/>
      <c r="AT116" s="1227"/>
      <c r="AU116" s="234"/>
      <c r="AV116" s="199" t="b">
        <v>1</v>
      </c>
      <c r="BY116" s="22"/>
      <c r="BZ116" s="121"/>
      <c r="CA116" s="120"/>
      <c r="CC116" s="21"/>
      <c r="CD116" s="145"/>
      <c r="CE116" s="145"/>
      <c r="CF116" s="145"/>
      <c r="CH116" s="196" t="s">
        <v>496</v>
      </c>
      <c r="CI116" s="196" t="s">
        <v>63</v>
      </c>
      <c r="CJ116" s="196">
        <v>1</v>
      </c>
      <c r="CK116" s="196" t="s">
        <v>83</v>
      </c>
      <c r="CL116" s="196" t="s">
        <v>83</v>
      </c>
      <c r="CM116" s="196" t="s">
        <v>497</v>
      </c>
      <c r="CN116" s="196" t="s">
        <v>610</v>
      </c>
      <c r="CO116" s="197" t="s">
        <v>76</v>
      </c>
      <c r="CP116" s="198"/>
      <c r="CQ116" s="129"/>
      <c r="CR116" s="61"/>
      <c r="CS116" s="61"/>
      <c r="CT116" s="61"/>
      <c r="CU116" s="61"/>
      <c r="CV116" s="60"/>
      <c r="CW116" s="55"/>
      <c r="CX116" s="55"/>
      <c r="CY116" s="56"/>
      <c r="CZ116" s="44"/>
      <c r="DA116" s="56"/>
      <c r="DC116" s="43"/>
      <c r="DD116" s="43"/>
      <c r="DE116" s="118"/>
      <c r="DF116" s="90"/>
      <c r="DG116" s="90"/>
      <c r="DO116" s="85"/>
      <c r="DP116" s="85"/>
      <c r="DX116" s="115"/>
      <c r="DY116" s="115"/>
    </row>
    <row r="117" spans="1:129" ht="19.5" customHeight="1">
      <c r="A117" s="1048"/>
      <c r="B117" s="249"/>
      <c r="C117" s="2412"/>
      <c r="D117" s="2413"/>
      <c r="E117" s="2413"/>
      <c r="F117" s="2413"/>
      <c r="G117" s="2413"/>
      <c r="H117" s="2413"/>
      <c r="I117" s="2413"/>
      <c r="J117" s="2580" t="s">
        <v>5057</v>
      </c>
      <c r="K117" s="2580"/>
      <c r="L117" s="2580"/>
      <c r="M117" s="2580"/>
      <c r="N117" s="2580"/>
      <c r="O117" s="2580"/>
      <c r="P117" s="2580"/>
      <c r="Q117" s="2580"/>
      <c r="R117" s="2580"/>
      <c r="S117" s="2580"/>
      <c r="T117" s="2580"/>
      <c r="U117" s="2581"/>
      <c r="V117" s="2576">
        <v>1000</v>
      </c>
      <c r="W117" s="2577"/>
      <c r="X117" s="2577"/>
      <c r="Y117" s="2577"/>
      <c r="Z117" s="2577"/>
      <c r="AA117" s="2585" t="s">
        <v>5088</v>
      </c>
      <c r="AB117" s="2586"/>
      <c r="AC117" s="1129"/>
      <c r="AD117" s="1129"/>
      <c r="AE117" s="1129"/>
      <c r="AF117" s="1129"/>
      <c r="AG117" s="1129"/>
      <c r="AH117" s="1129"/>
      <c r="AI117" s="1129"/>
      <c r="AJ117" s="1129"/>
      <c r="AK117" s="1129"/>
      <c r="AL117" s="1129"/>
      <c r="AM117" s="1129"/>
      <c r="AN117" s="1129"/>
      <c r="AO117" s="1129"/>
      <c r="AP117" s="1129"/>
      <c r="AQ117" s="1129"/>
      <c r="AR117" s="1129"/>
      <c r="AS117" s="1129"/>
      <c r="AT117" s="1228"/>
      <c r="AU117" s="234"/>
      <c r="BY117" s="22"/>
      <c r="BZ117" s="121"/>
      <c r="CA117" s="120"/>
      <c r="CC117" s="21"/>
      <c r="CD117" s="145"/>
      <c r="CE117" s="145"/>
      <c r="CF117" s="145"/>
      <c r="CH117" s="196" t="s">
        <v>498</v>
      </c>
      <c r="CI117" s="196" t="s">
        <v>21</v>
      </c>
      <c r="CJ117" s="196">
        <v>255</v>
      </c>
      <c r="CK117" s="196" t="s">
        <v>83</v>
      </c>
      <c r="CL117" s="196" t="s">
        <v>83</v>
      </c>
      <c r="CM117" s="196"/>
      <c r="CN117" s="196" t="s">
        <v>613</v>
      </c>
      <c r="CO117" s="197" t="s">
        <v>75</v>
      </c>
      <c r="CP117" s="198"/>
      <c r="CQ117" s="129"/>
      <c r="CR117" s="61"/>
      <c r="CS117" s="61"/>
      <c r="CT117" s="61"/>
      <c r="CU117" s="61"/>
      <c r="CV117" s="60"/>
      <c r="CW117" s="55"/>
      <c r="CX117" s="55"/>
      <c r="CY117" s="56"/>
      <c r="CZ117" s="44"/>
      <c r="DA117" s="56"/>
      <c r="DC117" s="43"/>
      <c r="DD117" s="43"/>
      <c r="DE117" s="118"/>
      <c r="DF117" s="90"/>
      <c r="DG117" s="90"/>
      <c r="DO117" s="85"/>
      <c r="DP117" s="85"/>
      <c r="DX117" s="115"/>
      <c r="DY117" s="115"/>
    </row>
    <row r="118" spans="1:129" ht="19.5" customHeight="1" thickBot="1">
      <c r="A118" s="1048"/>
      <c r="B118" s="249"/>
      <c r="C118" s="2412"/>
      <c r="D118" s="2413"/>
      <c r="E118" s="2413"/>
      <c r="F118" s="2413"/>
      <c r="G118" s="2413"/>
      <c r="H118" s="2413"/>
      <c r="I118" s="2413"/>
      <c r="J118" s="2785" t="s">
        <v>5058</v>
      </c>
      <c r="K118" s="2785"/>
      <c r="L118" s="2785"/>
      <c r="M118" s="2785"/>
      <c r="N118" s="2785"/>
      <c r="O118" s="2785"/>
      <c r="P118" s="2785"/>
      <c r="Q118" s="2785"/>
      <c r="R118" s="2785"/>
      <c r="S118" s="2785"/>
      <c r="T118" s="2785"/>
      <c r="U118" s="2786"/>
      <c r="V118" s="2787">
        <v>300</v>
      </c>
      <c r="W118" s="2788"/>
      <c r="X118" s="2788"/>
      <c r="Y118" s="2788"/>
      <c r="Z118" s="2788"/>
      <c r="AA118" s="2587" t="s">
        <v>5089</v>
      </c>
      <c r="AB118" s="2588"/>
      <c r="AC118" s="739"/>
      <c r="AD118" s="739"/>
      <c r="AE118" s="739"/>
      <c r="AF118" s="739"/>
      <c r="AG118" s="740"/>
      <c r="AH118" s="740"/>
      <c r="AI118" s="740"/>
      <c r="AJ118" s="740"/>
      <c r="AK118" s="740"/>
      <c r="AL118" s="740"/>
      <c r="AM118" s="740"/>
      <c r="AN118" s="740"/>
      <c r="AO118" s="740"/>
      <c r="AP118" s="740"/>
      <c r="AQ118" s="740"/>
      <c r="AR118" s="740"/>
      <c r="AS118" s="740"/>
      <c r="AT118" s="741"/>
      <c r="AU118" s="234"/>
      <c r="AV118" s="199" t="b">
        <v>0</v>
      </c>
      <c r="BY118" s="22"/>
      <c r="BZ118" s="121"/>
      <c r="CA118" s="120"/>
      <c r="CC118" s="21"/>
      <c r="CD118" s="145"/>
      <c r="CE118" s="145"/>
      <c r="CF118" s="145"/>
      <c r="CH118" s="196" t="s">
        <v>499</v>
      </c>
      <c r="CI118" s="196" t="s">
        <v>63</v>
      </c>
      <c r="CJ118" s="196">
        <v>1</v>
      </c>
      <c r="CK118" s="196" t="s">
        <v>83</v>
      </c>
      <c r="CL118" s="196" t="s">
        <v>83</v>
      </c>
      <c r="CM118" s="196" t="s">
        <v>501</v>
      </c>
      <c r="CN118" s="196" t="s">
        <v>610</v>
      </c>
      <c r="CO118" s="197" t="s">
        <v>74</v>
      </c>
      <c r="CP118" s="198"/>
      <c r="CQ118" s="129"/>
      <c r="CR118" s="61"/>
      <c r="CS118" s="61"/>
      <c r="CT118" s="61"/>
      <c r="CU118" s="61"/>
      <c r="CV118" s="60"/>
      <c r="CW118" s="55"/>
      <c r="CX118" s="55"/>
      <c r="CY118" s="56"/>
      <c r="CZ118" s="44"/>
      <c r="DA118" s="56"/>
      <c r="DC118" s="43"/>
      <c r="DD118" s="43"/>
      <c r="DE118" s="118"/>
      <c r="DF118" s="90"/>
      <c r="DG118" s="90"/>
      <c r="DO118" s="85"/>
      <c r="DP118" s="85"/>
      <c r="DV118" s="30"/>
      <c r="DX118" s="115"/>
      <c r="DY118" s="115"/>
    </row>
    <row r="119" spans="1:129" ht="19.5" customHeight="1">
      <c r="A119" s="1048"/>
      <c r="B119" s="249"/>
      <c r="C119" s="2412"/>
      <c r="D119" s="2413"/>
      <c r="E119" s="2413"/>
      <c r="F119" s="2413"/>
      <c r="G119" s="2413"/>
      <c r="H119" s="2413"/>
      <c r="I119" s="2413"/>
      <c r="J119" s="2789" t="s">
        <v>5528</v>
      </c>
      <c r="K119" s="2789"/>
      <c r="L119" s="2789"/>
      <c r="M119" s="2789"/>
      <c r="N119" s="2789"/>
      <c r="O119" s="2789"/>
      <c r="P119" s="2789"/>
      <c r="Q119" s="2789"/>
      <c r="R119" s="2789"/>
      <c r="S119" s="2789"/>
      <c r="T119" s="2789"/>
      <c r="U119" s="2790"/>
      <c r="V119" s="2791">
        <v>2900</v>
      </c>
      <c r="W119" s="2792"/>
      <c r="X119" s="2792"/>
      <c r="Y119" s="2792"/>
      <c r="Z119" s="2793"/>
      <c r="AA119" s="1322"/>
      <c r="AB119" s="1323"/>
      <c r="AC119" s="1326"/>
      <c r="AD119" s="1327"/>
      <c r="AE119" s="1327"/>
      <c r="AF119" s="1327"/>
      <c r="AG119" s="740"/>
      <c r="AH119" s="740"/>
      <c r="AI119" s="740"/>
      <c r="AJ119" s="740"/>
      <c r="AK119" s="740"/>
      <c r="AL119" s="740"/>
      <c r="AM119" s="740"/>
      <c r="AN119" s="740"/>
      <c r="AO119" s="740"/>
      <c r="AP119" s="740"/>
      <c r="AQ119" s="740"/>
      <c r="AR119" s="740"/>
      <c r="AS119" s="740"/>
      <c r="AT119" s="741"/>
      <c r="AU119" s="234"/>
      <c r="AV119" s="199" t="b">
        <v>0</v>
      </c>
      <c r="BY119" s="22"/>
      <c r="BZ119" s="121"/>
      <c r="CA119" s="120"/>
      <c r="CC119" s="21"/>
      <c r="CD119" s="145"/>
      <c r="CE119" s="145"/>
      <c r="CF119" s="145"/>
      <c r="CG119" s="30"/>
      <c r="CH119" s="196" t="s">
        <v>502</v>
      </c>
      <c r="CI119" s="196" t="s">
        <v>21</v>
      </c>
      <c r="CJ119" s="196">
        <v>255</v>
      </c>
      <c r="CK119" s="196" t="s">
        <v>83</v>
      </c>
      <c r="CL119" s="196" t="s">
        <v>83</v>
      </c>
      <c r="CM119" s="196"/>
      <c r="CN119" s="196" t="s">
        <v>613</v>
      </c>
      <c r="CO119" s="197" t="s">
        <v>73</v>
      </c>
      <c r="CP119" s="198"/>
      <c r="CQ119" s="129"/>
      <c r="CR119" s="61"/>
      <c r="CS119" s="61"/>
      <c r="CT119" s="61"/>
      <c r="CU119" s="61"/>
      <c r="CV119" s="60"/>
      <c r="CW119" s="55"/>
      <c r="CX119" s="55"/>
      <c r="CY119" s="56"/>
      <c r="CZ119" s="44"/>
      <c r="DA119" s="56"/>
      <c r="DC119" s="43"/>
      <c r="DD119" s="43"/>
      <c r="DE119" s="118"/>
      <c r="DF119" s="90"/>
      <c r="DG119" s="90"/>
      <c r="DO119" s="85"/>
      <c r="DP119" s="85"/>
      <c r="DV119" s="30"/>
      <c r="DX119" s="115"/>
      <c r="DY119" s="115"/>
    </row>
    <row r="120" spans="1:129" ht="19.5" customHeight="1" thickBot="1">
      <c r="A120" s="1048"/>
      <c r="B120" s="249"/>
      <c r="C120" s="2811"/>
      <c r="D120" s="2812"/>
      <c r="E120" s="2812"/>
      <c r="F120" s="2812"/>
      <c r="G120" s="2812"/>
      <c r="H120" s="2812"/>
      <c r="I120" s="2812"/>
      <c r="J120" s="2813" t="s">
        <v>5059</v>
      </c>
      <c r="K120" s="2813"/>
      <c r="L120" s="2813"/>
      <c r="M120" s="2813"/>
      <c r="N120" s="2813"/>
      <c r="O120" s="2813"/>
      <c r="P120" s="2813"/>
      <c r="Q120" s="2813"/>
      <c r="R120" s="2813"/>
      <c r="S120" s="2813"/>
      <c r="T120" s="2813"/>
      <c r="U120" s="2814"/>
      <c r="V120" s="2815">
        <v>2900</v>
      </c>
      <c r="W120" s="2816"/>
      <c r="X120" s="2816"/>
      <c r="Y120" s="2816"/>
      <c r="Z120" s="2817"/>
      <c r="AA120" s="1324"/>
      <c r="AB120" s="1325"/>
      <c r="AC120" s="1328"/>
      <c r="AD120" s="1329"/>
      <c r="AE120" s="1329"/>
      <c r="AF120" s="1329"/>
      <c r="AG120" s="1329"/>
      <c r="AH120" s="1329"/>
      <c r="AI120" s="1329"/>
      <c r="AJ120" s="1329"/>
      <c r="AK120" s="1329"/>
      <c r="AL120" s="1329"/>
      <c r="AM120" s="1329"/>
      <c r="AN120" s="1329"/>
      <c r="AO120" s="1329"/>
      <c r="AP120" s="1329"/>
      <c r="AQ120" s="1329"/>
      <c r="AR120" s="1329"/>
      <c r="AS120" s="1329"/>
      <c r="AT120" s="1330"/>
      <c r="AU120" s="234"/>
      <c r="AV120" s="199" t="b">
        <v>0</v>
      </c>
      <c r="BY120" s="22"/>
      <c r="BZ120" s="121"/>
      <c r="CB120" s="126"/>
      <c r="CC120" s="21"/>
      <c r="CD120" s="145"/>
      <c r="CE120" s="145"/>
      <c r="CF120" s="145"/>
      <c r="CG120" s="30"/>
      <c r="CH120" s="196" t="s">
        <v>503</v>
      </c>
      <c r="CI120" s="196" t="s">
        <v>63</v>
      </c>
      <c r="CJ120" s="196">
        <v>1</v>
      </c>
      <c r="CK120" s="196" t="s">
        <v>83</v>
      </c>
      <c r="CL120" s="196" t="s">
        <v>83</v>
      </c>
      <c r="CM120" s="196" t="s">
        <v>433</v>
      </c>
      <c r="CN120" s="196" t="s">
        <v>610</v>
      </c>
      <c r="CO120" s="286" t="s">
        <v>72</v>
      </c>
      <c r="CP120" s="198"/>
      <c r="CQ120" s="129"/>
      <c r="CR120" s="61"/>
      <c r="CS120" s="61"/>
      <c r="CT120" s="61"/>
      <c r="CU120" s="61"/>
      <c r="CV120" s="60"/>
      <c r="CW120" s="55"/>
      <c r="CX120" s="55"/>
      <c r="CY120" s="56"/>
      <c r="CZ120" s="44"/>
      <c r="DA120" s="56"/>
      <c r="DC120" s="43"/>
      <c r="DD120" s="43"/>
      <c r="DE120" s="118"/>
      <c r="DF120" s="90"/>
      <c r="DO120" s="85"/>
      <c r="DP120" s="85"/>
      <c r="DV120" s="30"/>
      <c r="DX120" s="115"/>
      <c r="DY120" s="115"/>
    </row>
    <row r="121" spans="1:129" ht="19.5" customHeight="1">
      <c r="A121" s="447"/>
      <c r="B121" s="249"/>
      <c r="C121" s="717"/>
      <c r="D121" s="717"/>
      <c r="E121" s="717"/>
      <c r="F121" s="717"/>
      <c r="G121" s="717"/>
      <c r="H121" s="717"/>
      <c r="I121" s="717"/>
      <c r="J121" s="717"/>
      <c r="K121" s="717"/>
      <c r="L121" s="717"/>
      <c r="M121" s="717"/>
      <c r="N121" s="717"/>
      <c r="O121" s="717"/>
      <c r="P121" s="717"/>
      <c r="Q121" s="717"/>
      <c r="R121" s="717"/>
      <c r="S121" s="717"/>
      <c r="T121" s="717"/>
      <c r="U121" s="717"/>
      <c r="V121" s="717"/>
      <c r="W121" s="717"/>
      <c r="X121" s="717"/>
      <c r="Y121" s="717"/>
      <c r="Z121" s="717"/>
      <c r="AA121" s="717"/>
      <c r="AB121" s="717"/>
      <c r="AC121" s="717"/>
      <c r="AD121" s="717"/>
      <c r="AE121" s="717"/>
      <c r="AF121" s="717"/>
      <c r="AG121" s="717"/>
      <c r="AH121" s="717"/>
      <c r="AI121" s="717"/>
      <c r="AJ121" s="717"/>
      <c r="AK121" s="717"/>
      <c r="AL121" s="717"/>
      <c r="AM121" s="717"/>
      <c r="AN121" s="717"/>
      <c r="AO121" s="717"/>
      <c r="AP121" s="717"/>
      <c r="AQ121" s="717"/>
      <c r="AR121" s="717"/>
      <c r="AS121" s="717"/>
      <c r="AT121" s="717"/>
      <c r="AU121" s="234"/>
      <c r="BY121" s="22"/>
      <c r="BZ121" s="121"/>
      <c r="CB121" s="126"/>
      <c r="CC121" s="21"/>
      <c r="CD121" s="145"/>
      <c r="CE121" s="145"/>
      <c r="CF121" s="145"/>
      <c r="CG121" s="30"/>
      <c r="CH121" s="196" t="s">
        <v>505</v>
      </c>
      <c r="CI121" s="196" t="s">
        <v>63</v>
      </c>
      <c r="CJ121" s="196">
        <v>1</v>
      </c>
      <c r="CK121" s="196" t="s">
        <v>83</v>
      </c>
      <c r="CL121" s="196" t="s">
        <v>83</v>
      </c>
      <c r="CM121" s="196" t="s">
        <v>433</v>
      </c>
      <c r="CN121" s="196" t="s">
        <v>610</v>
      </c>
      <c r="CO121" s="286" t="s">
        <v>71</v>
      </c>
      <c r="CP121" s="198"/>
      <c r="CQ121" s="129"/>
      <c r="CR121" s="61"/>
      <c r="CS121" s="61"/>
      <c r="CT121" s="61"/>
      <c r="CU121" s="61"/>
      <c r="CV121" s="60"/>
      <c r="CW121" s="55"/>
      <c r="CX121" s="55"/>
      <c r="CY121" s="56"/>
      <c r="CZ121" s="44"/>
      <c r="DA121" s="56"/>
      <c r="DC121" s="43"/>
      <c r="DD121" s="43"/>
      <c r="DE121" s="118"/>
      <c r="DF121" s="90"/>
      <c r="DO121" s="85"/>
      <c r="DP121" s="85"/>
      <c r="DV121" s="30"/>
      <c r="DX121" s="115"/>
      <c r="DY121" s="115"/>
    </row>
    <row r="122" spans="1:129" ht="19.5" customHeight="1">
      <c r="A122" s="210"/>
      <c r="B122" s="249"/>
      <c r="C122" s="869"/>
      <c r="D122" s="869"/>
      <c r="E122" s="869"/>
      <c r="F122" s="869"/>
      <c r="G122" s="869"/>
      <c r="H122" s="869"/>
      <c r="I122" s="869"/>
      <c r="J122" s="869"/>
      <c r="K122" s="869"/>
      <c r="L122" s="212"/>
      <c r="M122" s="1395" t="str">
        <f>IF(AND(AV18=TRUE,AA126="",AA127=""),"端末等の必要台数をご記入ください。","")</f>
        <v/>
      </c>
      <c r="N122" s="1474"/>
      <c r="O122" s="1474"/>
      <c r="P122" s="1474"/>
      <c r="Q122" s="1474"/>
      <c r="R122" s="1474"/>
      <c r="S122" s="1474"/>
      <c r="T122" s="1474"/>
      <c r="U122" s="1474"/>
      <c r="V122" s="1474"/>
      <c r="W122" s="1474"/>
      <c r="X122" s="1474"/>
      <c r="Y122" s="1474"/>
      <c r="Z122" s="1474"/>
      <c r="AA122" s="1474"/>
      <c r="AB122" s="1474"/>
      <c r="AC122" s="1474"/>
      <c r="AD122" s="1474"/>
      <c r="AE122" s="1474"/>
      <c r="AF122" s="1474"/>
      <c r="AG122" s="1474"/>
      <c r="AH122" s="1474"/>
      <c r="AI122" s="1474"/>
      <c r="AJ122" s="1474"/>
      <c r="AK122" s="1474"/>
      <c r="AL122" s="1474"/>
      <c r="AM122" s="1474"/>
      <c r="AN122" s="1474"/>
      <c r="AO122" s="1474"/>
      <c r="AP122" s="1474"/>
      <c r="AQ122" s="1474"/>
      <c r="AR122" s="1474"/>
      <c r="AS122" s="1474"/>
      <c r="AT122" s="1474"/>
      <c r="AU122" s="234"/>
      <c r="AW122" s="199"/>
      <c r="BY122" s="22"/>
      <c r="BZ122" s="121"/>
      <c r="CB122" s="126"/>
      <c r="CC122" s="22"/>
      <c r="CD122" s="145"/>
      <c r="CE122" s="145"/>
      <c r="CF122" s="145"/>
      <c r="CG122" s="30"/>
      <c r="CH122" s="196" t="s">
        <v>506</v>
      </c>
      <c r="CI122" s="196" t="s">
        <v>63</v>
      </c>
      <c r="CJ122" s="196">
        <v>1</v>
      </c>
      <c r="CK122" s="196" t="s">
        <v>83</v>
      </c>
      <c r="CL122" s="196" t="s">
        <v>83</v>
      </c>
      <c r="CM122" s="196" t="s">
        <v>433</v>
      </c>
      <c r="CN122" s="196" t="s">
        <v>610</v>
      </c>
      <c r="CO122" s="286" t="s">
        <v>70</v>
      </c>
      <c r="CP122" s="198"/>
      <c r="CQ122" s="129"/>
      <c r="CR122" s="61"/>
      <c r="CS122" s="61"/>
      <c r="CT122" s="61"/>
      <c r="CU122" s="61"/>
      <c r="CV122" s="60"/>
      <c r="CW122" s="55"/>
      <c r="CX122" s="55"/>
      <c r="CY122" s="56"/>
      <c r="CZ122" s="44"/>
      <c r="DA122" s="56"/>
      <c r="DC122" s="43"/>
      <c r="DD122" s="43"/>
      <c r="DE122" s="118"/>
      <c r="DF122" s="90"/>
      <c r="DO122" s="85"/>
      <c r="DP122" s="85"/>
      <c r="DV122" s="30"/>
      <c r="DX122" s="115"/>
      <c r="DY122" s="115"/>
    </row>
    <row r="123" spans="1:129" ht="19.5" customHeight="1" thickBot="1">
      <c r="A123" s="210"/>
      <c r="B123" s="249"/>
      <c r="C123" s="869"/>
      <c r="D123" s="869"/>
      <c r="E123" s="869"/>
      <c r="F123" s="869"/>
      <c r="G123" s="869"/>
      <c r="H123" s="869"/>
      <c r="I123" s="869"/>
      <c r="J123" s="869"/>
      <c r="K123" s="869"/>
      <c r="L123" s="212"/>
      <c r="M123" s="1474"/>
      <c r="N123" s="1474"/>
      <c r="O123" s="1474"/>
      <c r="P123" s="1474"/>
      <c r="Q123" s="1474"/>
      <c r="R123" s="1474"/>
      <c r="S123" s="1474"/>
      <c r="T123" s="1474"/>
      <c r="U123" s="1474"/>
      <c r="V123" s="1474"/>
      <c r="W123" s="1474"/>
      <c r="X123" s="1474"/>
      <c r="Y123" s="1474"/>
      <c r="Z123" s="1474"/>
      <c r="AA123" s="1474"/>
      <c r="AB123" s="1474"/>
      <c r="AC123" s="1474"/>
      <c r="AD123" s="1474"/>
      <c r="AE123" s="1474"/>
      <c r="AF123" s="1475"/>
      <c r="AG123" s="1475"/>
      <c r="AH123" s="1475"/>
      <c r="AI123" s="1475"/>
      <c r="AJ123" s="1475"/>
      <c r="AK123" s="1475"/>
      <c r="AL123" s="1475"/>
      <c r="AM123" s="1475"/>
      <c r="AN123" s="1475"/>
      <c r="AO123" s="1475"/>
      <c r="AP123" s="1475"/>
      <c r="AQ123" s="1475"/>
      <c r="AR123" s="1475"/>
      <c r="AS123" s="1475"/>
      <c r="AT123" s="1475"/>
      <c r="AU123" s="234"/>
      <c r="BY123" s="22"/>
      <c r="BZ123" s="121"/>
      <c r="CB123" s="126"/>
      <c r="CC123" s="22"/>
      <c r="CD123" s="145"/>
      <c r="CE123" s="145"/>
      <c r="CF123" s="145"/>
      <c r="CG123" s="30"/>
      <c r="CH123" s="196" t="s">
        <v>509</v>
      </c>
      <c r="CI123" s="196" t="s">
        <v>21</v>
      </c>
      <c r="CJ123" s="196">
        <v>255</v>
      </c>
      <c r="CK123" s="196" t="s">
        <v>83</v>
      </c>
      <c r="CL123" s="196" t="s">
        <v>83</v>
      </c>
      <c r="CM123" s="196"/>
      <c r="CN123" s="196" t="s">
        <v>613</v>
      </c>
      <c r="CO123" s="286" t="s">
        <v>69</v>
      </c>
      <c r="CP123" s="198"/>
      <c r="CQ123" s="129"/>
      <c r="CR123" s="61"/>
      <c r="CS123" s="61"/>
      <c r="CT123" s="61"/>
      <c r="CU123" s="61"/>
      <c r="CV123" s="60"/>
      <c r="CW123" s="55"/>
      <c r="CX123" s="55"/>
      <c r="CY123" s="56"/>
      <c r="CZ123" s="44"/>
      <c r="DA123" s="56"/>
      <c r="DC123" s="43"/>
      <c r="DD123" s="43"/>
      <c r="DE123" s="118"/>
      <c r="DF123" s="90"/>
      <c r="DO123" s="85"/>
      <c r="DP123" s="85"/>
      <c r="DV123" s="30"/>
      <c r="DX123" s="115"/>
      <c r="DY123" s="115"/>
    </row>
    <row r="124" spans="1:129" ht="19.5" customHeight="1" thickTop="1">
      <c r="A124" s="210"/>
      <c r="B124" s="249"/>
      <c r="C124" s="2597"/>
      <c r="D124" s="2598"/>
      <c r="E124" s="2598"/>
      <c r="F124" s="2598"/>
      <c r="G124" s="2598"/>
      <c r="H124" s="2598"/>
      <c r="I124" s="2598"/>
      <c r="J124" s="2598"/>
      <c r="K124" s="2598"/>
      <c r="L124" s="2598"/>
      <c r="M124" s="2598"/>
      <c r="N124" s="2598"/>
      <c r="O124" s="2598"/>
      <c r="P124" s="2598"/>
      <c r="Q124" s="2598"/>
      <c r="R124" s="2598"/>
      <c r="S124" s="2598"/>
      <c r="T124" s="2598"/>
      <c r="U124" s="2599"/>
      <c r="V124" s="2603" t="s">
        <v>3773</v>
      </c>
      <c r="W124" s="2604"/>
      <c r="X124" s="2604"/>
      <c r="Y124" s="2604"/>
      <c r="Z124" s="2605"/>
      <c r="AA124" s="2608" t="s">
        <v>847</v>
      </c>
      <c r="AB124" s="2608"/>
      <c r="AC124" s="2608"/>
      <c r="AD124" s="2609"/>
      <c r="AE124" s="1933" t="s">
        <v>3774</v>
      </c>
      <c r="AF124" s="1933"/>
      <c r="AG124" s="1933"/>
      <c r="AH124" s="1933"/>
      <c r="AI124" s="1933"/>
      <c r="AJ124" s="1934"/>
      <c r="AK124" s="1937" t="s">
        <v>850</v>
      </c>
      <c r="AL124" s="1938"/>
      <c r="AM124" s="1938"/>
      <c r="AN124" s="1938"/>
      <c r="AO124" s="1938"/>
      <c r="AP124" s="1938"/>
      <c r="AQ124" s="1938"/>
      <c r="AR124" s="1938"/>
      <c r="AS124" s="1938"/>
      <c r="AT124" s="1939"/>
      <c r="AU124" s="234"/>
      <c r="BY124" s="22"/>
      <c r="BZ124" s="121"/>
      <c r="CC124" s="22"/>
      <c r="CD124" s="145"/>
      <c r="CE124" s="145"/>
      <c r="CF124" s="145"/>
      <c r="CG124" s="30"/>
      <c r="CH124" s="196" t="s">
        <v>511</v>
      </c>
      <c r="CI124" s="196" t="s">
        <v>21</v>
      </c>
      <c r="CJ124" s="196">
        <v>255</v>
      </c>
      <c r="CK124" s="196" t="s">
        <v>83</v>
      </c>
      <c r="CL124" s="196" t="s">
        <v>83</v>
      </c>
      <c r="CM124" s="196"/>
      <c r="CN124" s="196"/>
      <c r="CO124" s="197" t="s">
        <v>68</v>
      </c>
      <c r="CP124" s="198"/>
      <c r="CQ124" s="129"/>
      <c r="CR124" s="61"/>
      <c r="CS124" s="61"/>
      <c r="CT124" s="61"/>
      <c r="CU124" s="61"/>
      <c r="CV124" s="60"/>
      <c r="CW124" s="55"/>
      <c r="CX124" s="55"/>
      <c r="CY124" s="56"/>
      <c r="CZ124" s="44"/>
      <c r="DA124" s="56"/>
      <c r="DC124" s="43"/>
      <c r="DD124" s="43"/>
      <c r="DE124" s="118"/>
      <c r="DF124" s="90"/>
      <c r="DO124" s="85"/>
      <c r="DP124" s="85"/>
      <c r="DV124" s="30"/>
      <c r="DX124" s="115"/>
      <c r="DY124" s="115"/>
    </row>
    <row r="125" spans="1:129" ht="19.5" customHeight="1">
      <c r="A125" s="210"/>
      <c r="B125" s="249"/>
      <c r="C125" s="2600"/>
      <c r="D125" s="2601"/>
      <c r="E125" s="2601"/>
      <c r="F125" s="2601"/>
      <c r="G125" s="2601"/>
      <c r="H125" s="2601"/>
      <c r="I125" s="2601"/>
      <c r="J125" s="2601"/>
      <c r="K125" s="2601"/>
      <c r="L125" s="2601"/>
      <c r="M125" s="2601"/>
      <c r="N125" s="2601"/>
      <c r="O125" s="2601"/>
      <c r="P125" s="2601"/>
      <c r="Q125" s="2601"/>
      <c r="R125" s="2601"/>
      <c r="S125" s="2601"/>
      <c r="T125" s="2601"/>
      <c r="U125" s="2602"/>
      <c r="V125" s="2606"/>
      <c r="W125" s="1935"/>
      <c r="X125" s="1935"/>
      <c r="Y125" s="1935"/>
      <c r="Z125" s="2607"/>
      <c r="AA125" s="2610"/>
      <c r="AB125" s="2611"/>
      <c r="AC125" s="2611"/>
      <c r="AD125" s="2612"/>
      <c r="AE125" s="1935"/>
      <c r="AF125" s="1935"/>
      <c r="AG125" s="1935"/>
      <c r="AH125" s="1935"/>
      <c r="AI125" s="1935"/>
      <c r="AJ125" s="1936"/>
      <c r="AK125" s="1940"/>
      <c r="AL125" s="1941"/>
      <c r="AM125" s="1941"/>
      <c r="AN125" s="1941"/>
      <c r="AO125" s="1941"/>
      <c r="AP125" s="1941"/>
      <c r="AQ125" s="1941"/>
      <c r="AR125" s="1941"/>
      <c r="AS125" s="1941"/>
      <c r="AT125" s="1942"/>
      <c r="AU125" s="234"/>
      <c r="BY125" s="22"/>
      <c r="BZ125" s="121"/>
      <c r="CC125" s="22"/>
      <c r="CD125" s="145"/>
      <c r="CE125" s="145"/>
      <c r="CF125" s="145"/>
      <c r="CG125" s="30">
        <v>5077</v>
      </c>
      <c r="CH125" s="196" t="s">
        <v>512</v>
      </c>
      <c r="CI125" s="196" t="s">
        <v>63</v>
      </c>
      <c r="CJ125" s="196">
        <v>1</v>
      </c>
      <c r="CK125" s="196" t="s">
        <v>83</v>
      </c>
      <c r="CL125" s="196" t="s">
        <v>83</v>
      </c>
      <c r="CM125" s="196" t="s">
        <v>513</v>
      </c>
      <c r="CN125" s="196" t="s">
        <v>610</v>
      </c>
      <c r="CO125" s="197" t="s">
        <v>67</v>
      </c>
      <c r="CP125" s="198"/>
      <c r="CQ125" s="129"/>
      <c r="CR125" s="61"/>
      <c r="CS125" s="61"/>
      <c r="CT125" s="61"/>
      <c r="CU125" s="61"/>
      <c r="CV125" s="60"/>
      <c r="CW125" s="55"/>
      <c r="CX125" s="55"/>
      <c r="CY125" s="56"/>
      <c r="CZ125" s="44"/>
      <c r="DA125" s="56"/>
      <c r="DC125" s="43"/>
      <c r="DD125" s="43"/>
      <c r="DE125" s="118"/>
      <c r="DF125" s="90"/>
      <c r="DO125" s="85"/>
      <c r="DP125" s="85"/>
      <c r="DV125" s="30"/>
      <c r="DX125" s="115"/>
      <c r="DY125" s="115"/>
    </row>
    <row r="126" spans="1:129" ht="19.5" customHeight="1">
      <c r="A126" s="210"/>
      <c r="B126" s="249"/>
      <c r="C126" s="2613" t="s">
        <v>851</v>
      </c>
      <c r="D126" s="2614"/>
      <c r="E126" s="2614"/>
      <c r="F126" s="2614"/>
      <c r="G126" s="2614"/>
      <c r="H126" s="2614"/>
      <c r="I126" s="2615"/>
      <c r="J126" s="2592" t="str">
        <f>記入シート2!J126</f>
        <v>A920SB</v>
      </c>
      <c r="K126" s="2593"/>
      <c r="L126" s="2593"/>
      <c r="M126" s="2593"/>
      <c r="N126" s="2593"/>
      <c r="O126" s="2593"/>
      <c r="P126" s="2593"/>
      <c r="Q126" s="2593"/>
      <c r="R126" s="2593"/>
      <c r="S126" s="2593"/>
      <c r="T126" s="2593"/>
      <c r="U126" s="2594"/>
      <c r="V126" s="1943">
        <f>記入シート2!V126</f>
        <v>71800</v>
      </c>
      <c r="W126" s="1944"/>
      <c r="X126" s="1944"/>
      <c r="Y126" s="1944"/>
      <c r="Z126" s="1080" t="str">
        <f>記入シート2!Z126</f>
        <v>/台</v>
      </c>
      <c r="AA126" s="2595">
        <v>1</v>
      </c>
      <c r="AB126" s="2596"/>
      <c r="AC126" s="2596"/>
      <c r="AD126" s="1015" t="str">
        <f>記入シート2!AD126</f>
        <v>台</v>
      </c>
      <c r="AE126" s="1945">
        <f>IF(V126="","",V126*AA126)</f>
        <v>71800</v>
      </c>
      <c r="AF126" s="1946"/>
      <c r="AG126" s="1946"/>
      <c r="AH126" s="1946"/>
      <c r="AI126" s="1946"/>
      <c r="AJ126" s="1947"/>
      <c r="AK126" s="1948"/>
      <c r="AL126" s="1949"/>
      <c r="AM126" s="1949"/>
      <c r="AN126" s="1949"/>
      <c r="AO126" s="1949"/>
      <c r="AP126" s="1949"/>
      <c r="AQ126" s="1949"/>
      <c r="AR126" s="1949"/>
      <c r="AS126" s="1949"/>
      <c r="AT126" s="1950"/>
      <c r="AU126" s="234"/>
      <c r="AV126" s="497" t="str">
        <f>IF(COUNTBLANK(AA126:AA144)=0,"OK","NG")</f>
        <v>OK</v>
      </c>
      <c r="BY126" s="22"/>
      <c r="BZ126" s="121"/>
      <c r="CC126" s="22"/>
      <c r="CD126" s="145"/>
      <c r="CE126" s="145"/>
      <c r="CF126" s="145"/>
      <c r="CG126" s="30"/>
      <c r="CH126" s="196" t="s">
        <v>514</v>
      </c>
      <c r="CI126" s="196" t="s">
        <v>21</v>
      </c>
      <c r="CJ126" s="196">
        <v>255</v>
      </c>
      <c r="CK126" s="196" t="s">
        <v>83</v>
      </c>
      <c r="CL126" s="196" t="s">
        <v>83</v>
      </c>
      <c r="CM126" s="196"/>
      <c r="CN126" s="196" t="s">
        <v>613</v>
      </c>
      <c r="CO126" s="197" t="s">
        <v>66</v>
      </c>
      <c r="CP126" s="198"/>
      <c r="CQ126" s="129"/>
      <c r="CR126" s="61"/>
      <c r="CS126" s="61"/>
      <c r="CT126" s="61"/>
      <c r="CU126" s="61"/>
      <c r="CV126" s="60"/>
      <c r="CW126" s="55"/>
      <c r="CX126" s="55"/>
      <c r="CY126" s="56"/>
      <c r="CZ126" s="44"/>
      <c r="DA126" s="56"/>
      <c r="DC126" s="43"/>
      <c r="DD126" s="43"/>
      <c r="DE126" s="118"/>
      <c r="DF126" s="90"/>
      <c r="DO126" s="85"/>
      <c r="DP126" s="85"/>
      <c r="DV126" s="30"/>
      <c r="DX126" s="115"/>
      <c r="DY126" s="115"/>
    </row>
    <row r="127" spans="1:129" ht="19.5" customHeight="1">
      <c r="A127" s="447"/>
      <c r="B127" s="249"/>
      <c r="C127" s="2616"/>
      <c r="D127" s="2617"/>
      <c r="E127" s="2617"/>
      <c r="F127" s="2617"/>
      <c r="G127" s="2617"/>
      <c r="H127" s="2617"/>
      <c r="I127" s="2618"/>
      <c r="J127" s="2592" t="str">
        <f>記入シート2!J127</f>
        <v>クレードル費用</v>
      </c>
      <c r="K127" s="2593"/>
      <c r="L127" s="2593"/>
      <c r="M127" s="2593"/>
      <c r="N127" s="2593"/>
      <c r="O127" s="2593"/>
      <c r="P127" s="2593"/>
      <c r="Q127" s="2593"/>
      <c r="R127" s="2593"/>
      <c r="S127" s="2593"/>
      <c r="T127" s="2593"/>
      <c r="U127" s="2594"/>
      <c r="V127" s="1943">
        <f>記入シート2!V127</f>
        <v>9000</v>
      </c>
      <c r="W127" s="1944"/>
      <c r="X127" s="1944"/>
      <c r="Y127" s="1944"/>
      <c r="Z127" s="1080" t="str">
        <f>記入シート2!Z127</f>
        <v>/台</v>
      </c>
      <c r="AA127" s="2595">
        <v>1</v>
      </c>
      <c r="AB127" s="2596"/>
      <c r="AC127" s="2596"/>
      <c r="AD127" s="1015" t="str">
        <f>記入シート2!AD127</f>
        <v>台</v>
      </c>
      <c r="AE127" s="1945">
        <f t="shared" ref="AE127:AE129" si="16">IF(V127="","",V127*AA127)</f>
        <v>9000</v>
      </c>
      <c r="AF127" s="1946"/>
      <c r="AG127" s="1946"/>
      <c r="AH127" s="1946"/>
      <c r="AI127" s="1946"/>
      <c r="AJ127" s="1947"/>
      <c r="AK127" s="1948"/>
      <c r="AL127" s="1949"/>
      <c r="AM127" s="1949"/>
      <c r="AN127" s="1949"/>
      <c r="AO127" s="1949"/>
      <c r="AP127" s="1949"/>
      <c r="AQ127" s="1949"/>
      <c r="AR127" s="1949"/>
      <c r="AS127" s="1949"/>
      <c r="AT127" s="1950"/>
      <c r="AU127" s="234"/>
      <c r="AX127" s="489"/>
      <c r="BD127" s="593" t="s">
        <v>1073</v>
      </c>
      <c r="BY127" s="22"/>
      <c r="BZ127" s="121"/>
      <c r="CC127" s="22"/>
      <c r="CD127" s="145"/>
      <c r="CE127" s="145"/>
      <c r="CF127" s="145"/>
      <c r="CG127" s="30">
        <v>3108</v>
      </c>
      <c r="CH127" s="196" t="s">
        <v>515</v>
      </c>
      <c r="CI127" s="196" t="s">
        <v>21</v>
      </c>
      <c r="CJ127" s="196">
        <v>120</v>
      </c>
      <c r="CK127" s="196" t="s">
        <v>83</v>
      </c>
      <c r="CL127" s="196" t="s">
        <v>83</v>
      </c>
      <c r="CM127" s="196"/>
      <c r="CN127" s="196" t="s">
        <v>610</v>
      </c>
      <c r="CO127" s="286" t="s">
        <v>65</v>
      </c>
      <c r="CP127" s="198"/>
      <c r="CQ127" s="129"/>
      <c r="CR127" s="61"/>
      <c r="CS127" s="61"/>
      <c r="CT127" s="61"/>
      <c r="CU127" s="61"/>
      <c r="CV127" s="60"/>
      <c r="CW127" s="55"/>
      <c r="CX127" s="55"/>
      <c r="CY127" s="56"/>
      <c r="CZ127" s="44"/>
      <c r="DA127" s="56"/>
      <c r="DC127" s="43"/>
      <c r="DD127" s="43"/>
      <c r="DE127" s="118"/>
      <c r="DF127" s="90"/>
      <c r="DO127" s="85"/>
      <c r="DP127" s="85"/>
      <c r="DV127" s="30"/>
      <c r="DX127" s="115"/>
      <c r="DY127" s="115"/>
    </row>
    <row r="128" spans="1:129" ht="19.5" customHeight="1">
      <c r="A128" s="447"/>
      <c r="B128" s="249"/>
      <c r="C128" s="2616"/>
      <c r="D128" s="2617"/>
      <c r="E128" s="2617"/>
      <c r="F128" s="2617"/>
      <c r="G128" s="2617"/>
      <c r="H128" s="2617"/>
      <c r="I128" s="2618"/>
      <c r="J128" s="2592" t="str">
        <f>記入シート2!J128</f>
        <v>セットアップ費用</v>
      </c>
      <c r="K128" s="2593"/>
      <c r="L128" s="2593"/>
      <c r="M128" s="2593"/>
      <c r="N128" s="2593"/>
      <c r="O128" s="2593"/>
      <c r="P128" s="2593"/>
      <c r="Q128" s="2593"/>
      <c r="R128" s="2593"/>
      <c r="S128" s="2593"/>
      <c r="T128" s="2593"/>
      <c r="U128" s="2594"/>
      <c r="V128" s="1943">
        <f>記入シート2!V128</f>
        <v>7000</v>
      </c>
      <c r="W128" s="1944"/>
      <c r="X128" s="1944"/>
      <c r="Y128" s="1944"/>
      <c r="Z128" s="1080" t="str">
        <f>記入シート2!Z128</f>
        <v>/台</v>
      </c>
      <c r="AA128" s="2595">
        <v>1</v>
      </c>
      <c r="AB128" s="2619"/>
      <c r="AC128" s="2619"/>
      <c r="AD128" s="1015" t="str">
        <f>記入シート2!AD128</f>
        <v>台</v>
      </c>
      <c r="AE128" s="1945">
        <f t="shared" si="16"/>
        <v>7000</v>
      </c>
      <c r="AF128" s="1946"/>
      <c r="AG128" s="1946"/>
      <c r="AH128" s="1946"/>
      <c r="AI128" s="1946"/>
      <c r="AJ128" s="1947"/>
      <c r="AK128" s="1948"/>
      <c r="AL128" s="1949"/>
      <c r="AM128" s="1949"/>
      <c r="AN128" s="1949"/>
      <c r="AO128" s="1949"/>
      <c r="AP128" s="1949"/>
      <c r="AQ128" s="1949"/>
      <c r="AR128" s="1949"/>
      <c r="AS128" s="1949"/>
      <c r="AT128" s="1950"/>
      <c r="AU128" s="234"/>
      <c r="AV128" s="199" t="s">
        <v>3197</v>
      </c>
      <c r="AX128" s="489"/>
      <c r="BD128" s="593" t="s">
        <v>1073</v>
      </c>
      <c r="BY128" s="22"/>
      <c r="BZ128" s="121"/>
      <c r="CC128" s="22"/>
      <c r="CD128" s="145"/>
      <c r="CE128" s="145"/>
      <c r="CF128" s="145"/>
      <c r="CG128" s="30"/>
      <c r="CH128" s="196" t="s">
        <v>516</v>
      </c>
      <c r="CI128" s="196" t="s">
        <v>21</v>
      </c>
      <c r="CJ128" s="196">
        <v>120</v>
      </c>
      <c r="CK128" s="196" t="s">
        <v>83</v>
      </c>
      <c r="CL128" s="196" t="s">
        <v>83</v>
      </c>
      <c r="CM128" s="196"/>
      <c r="CN128" s="196" t="s">
        <v>610</v>
      </c>
      <c r="CO128" s="286" t="s">
        <v>64</v>
      </c>
      <c r="CP128" s="198"/>
      <c r="CQ128" s="129"/>
      <c r="CR128" s="61"/>
      <c r="CS128" s="61"/>
      <c r="CT128" s="61"/>
      <c r="CU128" s="61"/>
      <c r="CV128" s="60"/>
      <c r="CW128" s="55"/>
      <c r="CX128" s="55"/>
      <c r="CY128" s="56"/>
      <c r="CZ128" s="44"/>
      <c r="DA128" s="56"/>
      <c r="DC128" s="43"/>
      <c r="DD128" s="43"/>
      <c r="DE128" s="118"/>
      <c r="DF128" s="90"/>
      <c r="DO128" s="85"/>
      <c r="DP128" s="85"/>
      <c r="DV128" s="30"/>
      <c r="DX128" s="115"/>
      <c r="DY128" s="115"/>
    </row>
    <row r="129" spans="1:129" ht="19.5" customHeight="1">
      <c r="A129" s="447"/>
      <c r="B129" s="249"/>
      <c r="C129" s="2616"/>
      <c r="D129" s="2617"/>
      <c r="E129" s="2617"/>
      <c r="F129" s="2617"/>
      <c r="G129" s="2617"/>
      <c r="H129" s="2617"/>
      <c r="I129" s="2618"/>
      <c r="J129" s="2592" t="str">
        <f>記入シート2!J129</f>
        <v>電子マネーセットアップ費用</v>
      </c>
      <c r="K129" s="2593"/>
      <c r="L129" s="2593"/>
      <c r="M129" s="2593"/>
      <c r="N129" s="2593"/>
      <c r="O129" s="2593"/>
      <c r="P129" s="2593"/>
      <c r="Q129" s="2593"/>
      <c r="R129" s="2593"/>
      <c r="S129" s="2593"/>
      <c r="T129" s="2593"/>
      <c r="U129" s="2594"/>
      <c r="V129" s="1943">
        <f>記入シート2!V129</f>
        <v>12000</v>
      </c>
      <c r="W129" s="1944"/>
      <c r="X129" s="1944"/>
      <c r="Y129" s="1944"/>
      <c r="Z129" s="1080" t="str">
        <f>記入シート2!Z129</f>
        <v>/台</v>
      </c>
      <c r="AA129" s="2595">
        <v>1</v>
      </c>
      <c r="AB129" s="2619"/>
      <c r="AC129" s="2619"/>
      <c r="AD129" s="1015" t="str">
        <f>記入シート2!AD129</f>
        <v>台</v>
      </c>
      <c r="AE129" s="1945">
        <f t="shared" si="16"/>
        <v>12000</v>
      </c>
      <c r="AF129" s="1946"/>
      <c r="AG129" s="1946"/>
      <c r="AH129" s="1946"/>
      <c r="AI129" s="1946"/>
      <c r="AJ129" s="1947"/>
      <c r="AK129" s="1948"/>
      <c r="AL129" s="1949"/>
      <c r="AM129" s="1949"/>
      <c r="AN129" s="1949"/>
      <c r="AO129" s="1949"/>
      <c r="AP129" s="1949"/>
      <c r="AQ129" s="1949"/>
      <c r="AR129" s="1949"/>
      <c r="AS129" s="1949"/>
      <c r="AT129" s="1950"/>
      <c r="AU129" s="234"/>
      <c r="AX129" s="489"/>
      <c r="BD129" s="593" t="s">
        <v>1073</v>
      </c>
      <c r="BY129" s="22"/>
      <c r="BZ129" s="121"/>
      <c r="CC129" s="22"/>
      <c r="CD129" s="145"/>
      <c r="CE129" s="145"/>
      <c r="CF129" s="145"/>
      <c r="CG129" s="30"/>
      <c r="CH129" s="196" t="s">
        <v>517</v>
      </c>
      <c r="CI129" s="196" t="s">
        <v>63</v>
      </c>
      <c r="CJ129" s="196">
        <v>1</v>
      </c>
      <c r="CK129" s="196" t="s">
        <v>83</v>
      </c>
      <c r="CL129" s="196" t="s">
        <v>83</v>
      </c>
      <c r="CM129" s="196" t="s">
        <v>518</v>
      </c>
      <c r="CN129" s="196" t="s">
        <v>610</v>
      </c>
      <c r="CO129" s="197" t="s">
        <v>62</v>
      </c>
      <c r="CP129" s="198"/>
      <c r="CQ129" s="129"/>
      <c r="CR129" s="61"/>
      <c r="CS129" s="61"/>
      <c r="CT129" s="61"/>
      <c r="CU129" s="61"/>
      <c r="CV129" s="60"/>
      <c r="CW129" s="55"/>
      <c r="CX129" s="55"/>
      <c r="CY129" s="56"/>
      <c r="CZ129" s="44"/>
      <c r="DA129" s="56"/>
      <c r="DC129" s="43"/>
      <c r="DD129" s="43"/>
      <c r="DE129" s="118"/>
      <c r="DF129" s="90"/>
      <c r="DO129" s="85"/>
      <c r="DP129" s="85"/>
      <c r="DV129" s="30"/>
      <c r="DX129" s="115"/>
      <c r="DY129" s="115"/>
    </row>
    <row r="130" spans="1:129" ht="19.5" customHeight="1">
      <c r="A130" s="447"/>
      <c r="B130" s="249"/>
      <c r="C130" s="2616"/>
      <c r="D130" s="2617"/>
      <c r="E130" s="2617"/>
      <c r="F130" s="2617"/>
      <c r="G130" s="2617"/>
      <c r="H130" s="2617"/>
      <c r="I130" s="2618"/>
      <c r="J130" s="2592" t="str">
        <f>記入シート2!J130</f>
        <v>POS連動ケーブル費用</v>
      </c>
      <c r="K130" s="2593"/>
      <c r="L130" s="2593"/>
      <c r="M130" s="2593"/>
      <c r="N130" s="2593"/>
      <c r="O130" s="2593"/>
      <c r="P130" s="2593"/>
      <c r="Q130" s="2593"/>
      <c r="R130" s="2593"/>
      <c r="S130" s="2593"/>
      <c r="T130" s="2593"/>
      <c r="U130" s="2594"/>
      <c r="V130" s="1943">
        <f>記入シート2!V130</f>
        <v>3000</v>
      </c>
      <c r="W130" s="1944"/>
      <c r="X130" s="1944"/>
      <c r="Y130" s="1944"/>
      <c r="Z130" s="1080" t="str">
        <f>記入シート2!Z130</f>
        <v>/本</v>
      </c>
      <c r="AA130" s="2595">
        <v>1</v>
      </c>
      <c r="AB130" s="2619"/>
      <c r="AC130" s="2619"/>
      <c r="AD130" s="1015" t="str">
        <f>記入シート2!AD130</f>
        <v>本</v>
      </c>
      <c r="AE130" s="2633">
        <f>IF(V130="","",V130*AA130)</f>
        <v>3000</v>
      </c>
      <c r="AF130" s="2633"/>
      <c r="AG130" s="2633"/>
      <c r="AH130" s="2633"/>
      <c r="AI130" s="2633"/>
      <c r="AJ130" s="2634"/>
      <c r="AK130" s="2635"/>
      <c r="AL130" s="2636"/>
      <c r="AM130" s="2636"/>
      <c r="AN130" s="2636"/>
      <c r="AO130" s="2636"/>
      <c r="AP130" s="2636"/>
      <c r="AQ130" s="2636"/>
      <c r="AR130" s="2636"/>
      <c r="AS130" s="2636"/>
      <c r="AT130" s="2637"/>
      <c r="AU130" s="234"/>
      <c r="AX130" s="489"/>
      <c r="BD130" s="593" t="s">
        <v>1073</v>
      </c>
      <c r="BY130" s="14"/>
      <c r="BZ130" s="121"/>
      <c r="CC130" s="22"/>
      <c r="CD130" s="145"/>
      <c r="CE130" s="145"/>
      <c r="CF130" s="145"/>
      <c r="CG130" s="30"/>
      <c r="CH130" s="196" t="s">
        <v>519</v>
      </c>
      <c r="CI130" s="196" t="s">
        <v>21</v>
      </c>
      <c r="CJ130" s="196">
        <v>255</v>
      </c>
      <c r="CK130" s="196" t="s">
        <v>83</v>
      </c>
      <c r="CL130" s="196" t="s">
        <v>83</v>
      </c>
      <c r="CM130" s="196"/>
      <c r="CN130" s="196" t="s">
        <v>613</v>
      </c>
      <c r="CO130" s="197" t="s">
        <v>61</v>
      </c>
      <c r="CP130" s="198"/>
      <c r="CQ130" s="129"/>
      <c r="CR130" s="61"/>
      <c r="CS130" s="61"/>
      <c r="CT130" s="61"/>
      <c r="CU130" s="61"/>
      <c r="CV130" s="60"/>
      <c r="CW130" s="55"/>
      <c r="CX130" s="55"/>
      <c r="CY130" s="56"/>
      <c r="CZ130" s="44"/>
      <c r="DA130" s="56"/>
      <c r="DC130" s="43"/>
      <c r="DD130" s="43"/>
      <c r="DE130" s="118"/>
      <c r="DF130" s="90"/>
      <c r="DO130" s="85"/>
      <c r="DP130" s="85"/>
      <c r="DV130" s="30"/>
      <c r="DX130" s="115"/>
      <c r="DY130" s="115"/>
    </row>
    <row r="131" spans="1:129" ht="19.5" hidden="1" customHeight="1">
      <c r="A131" s="1048" t="s">
        <v>1234</v>
      </c>
      <c r="B131" s="249"/>
      <c r="C131" s="2616"/>
      <c r="D131" s="2617"/>
      <c r="E131" s="2617"/>
      <c r="F131" s="2617"/>
      <c r="G131" s="2617"/>
      <c r="H131" s="2617"/>
      <c r="I131" s="2618"/>
      <c r="J131" s="2592" t="str">
        <f>記入シート2!J131</f>
        <v>レシートロール費用（10巻/箱）</v>
      </c>
      <c r="K131" s="2593"/>
      <c r="L131" s="2593"/>
      <c r="M131" s="2593"/>
      <c r="N131" s="2593"/>
      <c r="O131" s="2593"/>
      <c r="P131" s="2593"/>
      <c r="Q131" s="2593"/>
      <c r="R131" s="2593"/>
      <c r="S131" s="2593"/>
      <c r="T131" s="2593"/>
      <c r="U131" s="2594"/>
      <c r="V131" s="1943">
        <f>記入シート2!V131</f>
        <v>2300</v>
      </c>
      <c r="W131" s="1944"/>
      <c r="X131" s="1944"/>
      <c r="Y131" s="1944"/>
      <c r="Z131" s="1238" t="str">
        <f>記入シート2!Z131</f>
        <v>/箱</v>
      </c>
      <c r="AA131" s="2632">
        <v>0</v>
      </c>
      <c r="AB131" s="2619"/>
      <c r="AC131" s="2619"/>
      <c r="AD131" s="301" t="str">
        <f>記入シート2!AD131</f>
        <v>箱</v>
      </c>
      <c r="AE131" s="2633">
        <f>IF(V131="","",V131*AA131)</f>
        <v>0</v>
      </c>
      <c r="AF131" s="2633"/>
      <c r="AG131" s="2633"/>
      <c r="AH131" s="2633"/>
      <c r="AI131" s="2633"/>
      <c r="AJ131" s="2634"/>
      <c r="AK131" s="2635"/>
      <c r="AL131" s="2636"/>
      <c r="AM131" s="2636"/>
      <c r="AN131" s="2636"/>
      <c r="AO131" s="2636"/>
      <c r="AP131" s="2636"/>
      <c r="AQ131" s="2636"/>
      <c r="AR131" s="2636"/>
      <c r="AS131" s="2636"/>
      <c r="AT131" s="2637"/>
      <c r="AU131" s="234"/>
      <c r="AX131" s="489"/>
      <c r="BD131" s="593" t="s">
        <v>1073</v>
      </c>
      <c r="BY131" s="14"/>
      <c r="BZ131" s="121"/>
      <c r="CC131" s="22"/>
      <c r="CD131" s="145"/>
      <c r="CE131" s="145"/>
      <c r="CF131" s="145"/>
      <c r="CG131" s="30"/>
      <c r="CH131" s="196" t="s">
        <v>520</v>
      </c>
      <c r="CI131" s="196" t="s">
        <v>21</v>
      </c>
      <c r="CJ131" s="196">
        <v>120</v>
      </c>
      <c r="CK131" s="196" t="s">
        <v>83</v>
      </c>
      <c r="CL131" s="196" t="s">
        <v>83</v>
      </c>
      <c r="CM131" s="196"/>
      <c r="CN131" s="196" t="s">
        <v>610</v>
      </c>
      <c r="CO131" s="286" t="s">
        <v>60</v>
      </c>
      <c r="CP131" s="198"/>
      <c r="CQ131" s="129"/>
      <c r="CR131" s="61"/>
      <c r="CS131" s="61"/>
      <c r="CT131" s="61"/>
      <c r="CU131" s="61"/>
      <c r="CV131" s="60"/>
      <c r="CW131" s="55"/>
      <c r="CX131" s="55"/>
      <c r="CY131" s="56"/>
      <c r="CZ131" s="44"/>
      <c r="DA131" s="56"/>
      <c r="DC131" s="43"/>
      <c r="DD131" s="43"/>
      <c r="DE131" s="118"/>
      <c r="DF131" s="90"/>
      <c r="DO131" s="85"/>
      <c r="DP131" s="85"/>
      <c r="DV131" s="30"/>
      <c r="DX131" s="115"/>
      <c r="DY131" s="115"/>
    </row>
    <row r="132" spans="1:129" ht="19.5" hidden="1" customHeight="1">
      <c r="A132" s="1048" t="s">
        <v>1234</v>
      </c>
      <c r="B132" s="249"/>
      <c r="C132" s="2616"/>
      <c r="D132" s="2617"/>
      <c r="E132" s="2617"/>
      <c r="F132" s="2617"/>
      <c r="G132" s="2617"/>
      <c r="H132" s="2617"/>
      <c r="I132" s="2618"/>
      <c r="J132" s="2620" t="s">
        <v>3575</v>
      </c>
      <c r="K132" s="2621"/>
      <c r="L132" s="2621"/>
      <c r="M132" s="2621"/>
      <c r="N132" s="2621"/>
      <c r="O132" s="2621"/>
      <c r="P132" s="2621"/>
      <c r="Q132" s="2621"/>
      <c r="R132" s="2621"/>
      <c r="S132" s="2621"/>
      <c r="T132" s="2621"/>
      <c r="U132" s="2622"/>
      <c r="V132" s="2623">
        <v>0</v>
      </c>
      <c r="W132" s="2624"/>
      <c r="X132" s="2624"/>
      <c r="Y132" s="2624"/>
      <c r="Z132" s="2624"/>
      <c r="AA132" s="2625">
        <v>0</v>
      </c>
      <c r="AB132" s="2626"/>
      <c r="AC132" s="2626"/>
      <c r="AD132" s="498" t="s">
        <v>848</v>
      </c>
      <c r="AE132" s="2633">
        <f t="shared" ref="AE132:AE144" si="17">V132*AA132</f>
        <v>0</v>
      </c>
      <c r="AF132" s="2633"/>
      <c r="AG132" s="2633"/>
      <c r="AH132" s="2633"/>
      <c r="AI132" s="2633"/>
      <c r="AJ132" s="2634"/>
      <c r="AK132" s="2638"/>
      <c r="AL132" s="2639"/>
      <c r="AM132" s="2639"/>
      <c r="AN132" s="2639"/>
      <c r="AO132" s="2639"/>
      <c r="AP132" s="2639"/>
      <c r="AQ132" s="2639"/>
      <c r="AR132" s="2639"/>
      <c r="AS132" s="2639"/>
      <c r="AT132" s="2637"/>
      <c r="AU132" s="234"/>
      <c r="AX132" s="489"/>
      <c r="BY132" s="14"/>
      <c r="BZ132" s="121"/>
      <c r="CA132" s="120"/>
      <c r="CC132" s="22"/>
      <c r="CD132" s="145"/>
      <c r="CE132" s="145"/>
      <c r="CF132" s="145"/>
      <c r="CG132" s="30"/>
      <c r="CH132" s="196" t="s">
        <v>521</v>
      </c>
      <c r="CI132" s="196" t="s">
        <v>21</v>
      </c>
      <c r="CJ132" s="196">
        <v>120</v>
      </c>
      <c r="CK132" s="196" t="s">
        <v>83</v>
      </c>
      <c r="CL132" s="196" t="s">
        <v>83</v>
      </c>
      <c r="CM132" s="196"/>
      <c r="CN132" s="196" t="s">
        <v>610</v>
      </c>
      <c r="CO132" s="286" t="s">
        <v>59</v>
      </c>
      <c r="CP132" s="198"/>
      <c r="CQ132" s="129"/>
      <c r="CR132" s="61"/>
      <c r="CS132" s="61"/>
      <c r="CT132" s="61"/>
      <c r="CU132" s="61"/>
      <c r="CV132" s="60"/>
      <c r="CW132" s="55"/>
      <c r="CX132" s="55"/>
      <c r="CY132" s="56"/>
      <c r="CZ132" s="44"/>
      <c r="DA132" s="56"/>
      <c r="DC132" s="43"/>
      <c r="DD132" s="43"/>
      <c r="DE132" s="118"/>
      <c r="DF132" s="90"/>
      <c r="DO132" s="85"/>
      <c r="DP132" s="85"/>
      <c r="DV132" s="30"/>
      <c r="DX132" s="115"/>
      <c r="DY132" s="115"/>
    </row>
    <row r="133" spans="1:129" ht="19.5" hidden="1" customHeight="1">
      <c r="A133" s="1048" t="s">
        <v>1234</v>
      </c>
      <c r="B133" s="249"/>
      <c r="C133" s="2616"/>
      <c r="D133" s="2617"/>
      <c r="E133" s="2617"/>
      <c r="F133" s="2617"/>
      <c r="G133" s="2617"/>
      <c r="H133" s="2617"/>
      <c r="I133" s="2618"/>
      <c r="J133" s="2620" t="s">
        <v>1405</v>
      </c>
      <c r="K133" s="2621"/>
      <c r="L133" s="2621"/>
      <c r="M133" s="2621"/>
      <c r="N133" s="2621"/>
      <c r="O133" s="2621"/>
      <c r="P133" s="2621"/>
      <c r="Q133" s="2621"/>
      <c r="R133" s="2621"/>
      <c r="S133" s="2621"/>
      <c r="T133" s="2621"/>
      <c r="U133" s="2622"/>
      <c r="V133" s="2640">
        <v>0</v>
      </c>
      <c r="W133" s="2641"/>
      <c r="X133" s="2641"/>
      <c r="Y133" s="2641"/>
      <c r="Z133" s="2641"/>
      <c r="AA133" s="2632">
        <v>0</v>
      </c>
      <c r="AB133" s="2596"/>
      <c r="AC133" s="2596"/>
      <c r="AD133" s="301" t="s">
        <v>849</v>
      </c>
      <c r="AE133" s="2633">
        <f t="shared" si="17"/>
        <v>0</v>
      </c>
      <c r="AF133" s="2633"/>
      <c r="AG133" s="2633"/>
      <c r="AH133" s="2633"/>
      <c r="AI133" s="2633"/>
      <c r="AJ133" s="2634"/>
      <c r="AK133" s="2638"/>
      <c r="AL133" s="2639"/>
      <c r="AM133" s="2639"/>
      <c r="AN133" s="2639"/>
      <c r="AO133" s="2639"/>
      <c r="AP133" s="2639"/>
      <c r="AQ133" s="2639"/>
      <c r="AR133" s="2639"/>
      <c r="AS133" s="2639"/>
      <c r="AT133" s="2637"/>
      <c r="AU133" s="234"/>
      <c r="AX133" s="489"/>
      <c r="BY133" s="14"/>
      <c r="BZ133" s="121"/>
      <c r="CA133" s="120"/>
      <c r="CC133" s="22"/>
      <c r="CD133" s="145"/>
      <c r="CE133" s="145"/>
      <c r="CF133" s="145"/>
      <c r="CG133" s="30"/>
      <c r="CH133" s="196" t="s">
        <v>522</v>
      </c>
      <c r="CI133" s="196" t="s">
        <v>21</v>
      </c>
      <c r="CJ133" s="196">
        <v>120</v>
      </c>
      <c r="CK133" s="196" t="s">
        <v>83</v>
      </c>
      <c r="CL133" s="196" t="s">
        <v>83</v>
      </c>
      <c r="CM133" s="196"/>
      <c r="CN133" s="196" t="s">
        <v>610</v>
      </c>
      <c r="CO133" s="197" t="s">
        <v>58</v>
      </c>
      <c r="CP133" s="198"/>
      <c r="CQ133" s="129"/>
      <c r="CR133" s="61"/>
      <c r="CS133" s="61"/>
      <c r="CT133" s="61"/>
      <c r="CU133" s="61"/>
      <c r="CV133" s="60"/>
      <c r="CW133" s="55"/>
      <c r="CX133" s="55"/>
      <c r="CY133" s="56"/>
      <c r="CZ133" s="44"/>
      <c r="DA133" s="56"/>
      <c r="DC133" s="43"/>
      <c r="DD133" s="43"/>
      <c r="DE133" s="118"/>
      <c r="DF133" s="90"/>
      <c r="DO133" s="85"/>
      <c r="DP133" s="85"/>
      <c r="DV133" s="30"/>
      <c r="DX133" s="115"/>
      <c r="DY133" s="115"/>
    </row>
    <row r="134" spans="1:129" ht="19.5" hidden="1" customHeight="1">
      <c r="A134" s="1048" t="s">
        <v>1234</v>
      </c>
      <c r="B134" s="249"/>
      <c r="C134" s="2616"/>
      <c r="D134" s="2617"/>
      <c r="E134" s="2617"/>
      <c r="F134" s="2617"/>
      <c r="G134" s="2617"/>
      <c r="H134" s="2617"/>
      <c r="I134" s="2618"/>
      <c r="J134" s="2642" t="s">
        <v>3578</v>
      </c>
      <c r="K134" s="2642"/>
      <c r="L134" s="2642"/>
      <c r="M134" s="2642"/>
      <c r="N134" s="2642"/>
      <c r="O134" s="2642"/>
      <c r="P134" s="2642"/>
      <c r="Q134" s="2642"/>
      <c r="R134" s="2642"/>
      <c r="S134" s="2642"/>
      <c r="T134" s="2642"/>
      <c r="U134" s="2643"/>
      <c r="V134" s="2623">
        <v>0</v>
      </c>
      <c r="W134" s="2624"/>
      <c r="X134" s="2624"/>
      <c r="Y134" s="2624"/>
      <c r="Z134" s="2624"/>
      <c r="AA134" s="2625">
        <v>0</v>
      </c>
      <c r="AB134" s="2644"/>
      <c r="AC134" s="2644"/>
      <c r="AD134" s="300" t="s">
        <v>848</v>
      </c>
      <c r="AE134" s="2645">
        <f t="shared" si="17"/>
        <v>0</v>
      </c>
      <c r="AF134" s="2645"/>
      <c r="AG134" s="2645"/>
      <c r="AH134" s="2645"/>
      <c r="AI134" s="2645"/>
      <c r="AJ134" s="2646"/>
      <c r="AK134" s="2638"/>
      <c r="AL134" s="2639"/>
      <c r="AM134" s="2639"/>
      <c r="AN134" s="2639"/>
      <c r="AO134" s="2639"/>
      <c r="AP134" s="2639"/>
      <c r="AQ134" s="2639"/>
      <c r="AR134" s="2639"/>
      <c r="AS134" s="2639"/>
      <c r="AT134" s="2637"/>
      <c r="AU134" s="234"/>
      <c r="AX134" s="489"/>
      <c r="BY134" s="21"/>
      <c r="BZ134" s="121"/>
      <c r="CA134" s="120"/>
      <c r="CB134" s="126"/>
      <c r="CC134" s="22"/>
      <c r="CD134" s="145"/>
      <c r="CE134" s="145"/>
      <c r="CF134" s="145"/>
      <c r="CG134" s="30"/>
      <c r="CH134" s="196" t="s">
        <v>57</v>
      </c>
      <c r="CI134" s="196" t="s">
        <v>21</v>
      </c>
      <c r="CJ134" s="196">
        <v>120</v>
      </c>
      <c r="CK134" s="196" t="s">
        <v>83</v>
      </c>
      <c r="CL134" s="196" t="s">
        <v>83</v>
      </c>
      <c r="CM134" s="196"/>
      <c r="CN134" s="196" t="s">
        <v>610</v>
      </c>
      <c r="CO134" s="197" t="s">
        <v>56</v>
      </c>
      <c r="CP134" s="198"/>
      <c r="CQ134" s="129"/>
      <c r="CR134" s="61"/>
      <c r="CS134" s="61"/>
      <c r="CT134" s="61"/>
      <c r="CU134" s="61"/>
      <c r="CV134" s="60"/>
      <c r="CW134" s="55"/>
      <c r="CX134" s="55"/>
      <c r="CY134" s="56"/>
      <c r="CZ134" s="44"/>
      <c r="DA134" s="56"/>
      <c r="DC134" s="43"/>
      <c r="DD134" s="43"/>
      <c r="DE134" s="118"/>
      <c r="DF134" s="90"/>
      <c r="DO134" s="85"/>
      <c r="DP134" s="85"/>
      <c r="DV134" s="30"/>
      <c r="DX134" s="115"/>
      <c r="DY134" s="115"/>
    </row>
    <row r="135" spans="1:129" ht="19.5" hidden="1" customHeight="1">
      <c r="A135" s="1048" t="s">
        <v>1234</v>
      </c>
      <c r="B135" s="249"/>
      <c r="C135" s="2616"/>
      <c r="D135" s="2617"/>
      <c r="E135" s="2617"/>
      <c r="F135" s="2617"/>
      <c r="G135" s="2617"/>
      <c r="H135" s="2617"/>
      <c r="I135" s="2618"/>
      <c r="J135" s="2627" t="s">
        <v>1406</v>
      </c>
      <c r="K135" s="2628"/>
      <c r="L135" s="2628"/>
      <c r="M135" s="2628"/>
      <c r="N135" s="2628"/>
      <c r="O135" s="2628"/>
      <c r="P135" s="2628"/>
      <c r="Q135" s="2628"/>
      <c r="R135" s="2628"/>
      <c r="S135" s="2628"/>
      <c r="T135" s="2628"/>
      <c r="U135" s="2629"/>
      <c r="V135" s="2630">
        <v>0</v>
      </c>
      <c r="W135" s="2631"/>
      <c r="X135" s="2631"/>
      <c r="Y135" s="2631"/>
      <c r="Z135" s="2631"/>
      <c r="AA135" s="2632">
        <v>0</v>
      </c>
      <c r="AB135" s="2619"/>
      <c r="AC135" s="2619"/>
      <c r="AD135" s="300" t="s">
        <v>1408</v>
      </c>
      <c r="AE135" s="2633">
        <f t="shared" si="17"/>
        <v>0</v>
      </c>
      <c r="AF135" s="2633"/>
      <c r="AG135" s="2633"/>
      <c r="AH135" s="2633"/>
      <c r="AI135" s="2633"/>
      <c r="AJ135" s="2634"/>
      <c r="AK135" s="2635"/>
      <c r="AL135" s="2636"/>
      <c r="AM135" s="2636"/>
      <c r="AN135" s="2636"/>
      <c r="AO135" s="2636"/>
      <c r="AP135" s="2636"/>
      <c r="AQ135" s="2636"/>
      <c r="AR135" s="2636"/>
      <c r="AS135" s="2636"/>
      <c r="AT135" s="2637"/>
      <c r="AU135" s="234"/>
      <c r="AX135" s="489"/>
      <c r="BD135" s="593" t="s">
        <v>1073</v>
      </c>
      <c r="BY135" s="14"/>
      <c r="BZ135" s="121"/>
      <c r="CB135" s="126"/>
      <c r="CC135" s="22"/>
      <c r="CD135" s="145"/>
      <c r="CE135" s="145"/>
      <c r="CF135" s="145"/>
      <c r="CG135" s="30"/>
      <c r="CH135" s="196" t="s">
        <v>524</v>
      </c>
      <c r="CI135" s="196" t="s">
        <v>19</v>
      </c>
      <c r="CJ135" s="196">
        <v>1</v>
      </c>
      <c r="CK135" s="196" t="s">
        <v>20</v>
      </c>
      <c r="CL135" s="196" t="s">
        <v>20</v>
      </c>
      <c r="CM135" s="196" t="s">
        <v>433</v>
      </c>
      <c r="CN135" s="284" t="s">
        <v>614</v>
      </c>
      <c r="CO135" s="197" t="s">
        <v>55</v>
      </c>
      <c r="CP135" s="285"/>
      <c r="CQ135" s="129"/>
      <c r="CR135" s="61"/>
      <c r="CS135" s="61"/>
      <c r="CT135" s="61"/>
      <c r="CU135" s="61"/>
      <c r="CV135" s="60"/>
      <c r="CW135" s="55"/>
      <c r="CX135" s="55"/>
      <c r="CY135" s="56"/>
      <c r="CZ135" s="44"/>
      <c r="DA135" s="56"/>
      <c r="DC135" s="43"/>
      <c r="DD135" s="43"/>
      <c r="DE135" s="118"/>
      <c r="DF135" s="90"/>
      <c r="DO135" s="85"/>
      <c r="DP135" s="85"/>
      <c r="DV135" s="30"/>
      <c r="DX135" s="115"/>
      <c r="DY135" s="115"/>
    </row>
    <row r="136" spans="1:129" ht="19.5" hidden="1" customHeight="1">
      <c r="A136" s="1048" t="s">
        <v>1234</v>
      </c>
      <c r="B136" s="249"/>
      <c r="C136" s="2616"/>
      <c r="D136" s="2617"/>
      <c r="E136" s="2617"/>
      <c r="F136" s="2617"/>
      <c r="G136" s="2617"/>
      <c r="H136" s="2617"/>
      <c r="I136" s="2618"/>
      <c r="J136" s="2627" t="s">
        <v>1407</v>
      </c>
      <c r="K136" s="2628"/>
      <c r="L136" s="2628"/>
      <c r="M136" s="2628"/>
      <c r="N136" s="2628"/>
      <c r="O136" s="2628"/>
      <c r="P136" s="2628"/>
      <c r="Q136" s="2628"/>
      <c r="R136" s="2628"/>
      <c r="S136" s="2628"/>
      <c r="T136" s="2628"/>
      <c r="U136" s="2629"/>
      <c r="V136" s="2647">
        <v>0</v>
      </c>
      <c r="W136" s="2648"/>
      <c r="X136" s="2648"/>
      <c r="Y136" s="2648"/>
      <c r="Z136" s="2648"/>
      <c r="AA136" s="2632">
        <v>0</v>
      </c>
      <c r="AB136" s="2619"/>
      <c r="AC136" s="2619"/>
      <c r="AD136" s="300" t="s">
        <v>1409</v>
      </c>
      <c r="AE136" s="2633">
        <f t="shared" si="17"/>
        <v>0</v>
      </c>
      <c r="AF136" s="2633"/>
      <c r="AG136" s="2633"/>
      <c r="AH136" s="2633"/>
      <c r="AI136" s="2633"/>
      <c r="AJ136" s="2634"/>
      <c r="AK136" s="2635"/>
      <c r="AL136" s="2636"/>
      <c r="AM136" s="2636"/>
      <c r="AN136" s="2636"/>
      <c r="AO136" s="2636"/>
      <c r="AP136" s="2636"/>
      <c r="AQ136" s="2636"/>
      <c r="AR136" s="2636"/>
      <c r="AS136" s="2636"/>
      <c r="AT136" s="2637"/>
      <c r="AU136" s="234"/>
      <c r="AX136" s="489"/>
      <c r="BD136" s="593" t="s">
        <v>1073</v>
      </c>
      <c r="BY136" s="21"/>
      <c r="BZ136" s="121"/>
      <c r="CA136" s="120"/>
      <c r="CB136" s="126"/>
      <c r="CC136" s="22"/>
      <c r="CD136" s="145"/>
      <c r="CE136" s="145"/>
      <c r="CF136" s="145"/>
      <c r="CG136" s="30"/>
      <c r="CH136" s="196" t="s">
        <v>525</v>
      </c>
      <c r="CI136" s="196" t="s">
        <v>21</v>
      </c>
      <c r="CJ136" s="196">
        <v>255</v>
      </c>
      <c r="CK136" s="196" t="s">
        <v>20</v>
      </c>
      <c r="CL136" s="196" t="s">
        <v>20</v>
      </c>
      <c r="CM136" s="287"/>
      <c r="CN136" s="284" t="s">
        <v>615</v>
      </c>
      <c r="CO136" s="197" t="s">
        <v>53</v>
      </c>
      <c r="CP136" s="285"/>
      <c r="CQ136" s="129"/>
      <c r="CR136" s="61"/>
      <c r="CS136" s="61"/>
      <c r="CT136" s="61"/>
      <c r="CU136" s="61"/>
      <c r="CV136" s="60"/>
      <c r="CW136" s="55"/>
      <c r="CX136" s="55"/>
      <c r="CY136" s="56"/>
      <c r="CZ136" s="44"/>
      <c r="DA136" s="56"/>
      <c r="DC136" s="43"/>
      <c r="DD136" s="43"/>
      <c r="DE136" s="118"/>
      <c r="DF136" s="90"/>
      <c r="DO136" s="85"/>
      <c r="DP136" s="29"/>
      <c r="DQ136" s="467"/>
      <c r="DR136" s="467"/>
      <c r="DS136" s="467"/>
      <c r="DT136" s="467"/>
      <c r="DU136" s="467"/>
      <c r="DV136" s="30"/>
      <c r="DX136" s="115"/>
      <c r="DY136" s="115"/>
    </row>
    <row r="137" spans="1:129" ht="19.5" hidden="1" customHeight="1">
      <c r="A137" s="1048" t="s">
        <v>1234</v>
      </c>
      <c r="B137" s="249"/>
      <c r="C137" s="2616"/>
      <c r="D137" s="2617"/>
      <c r="E137" s="2617"/>
      <c r="F137" s="2617"/>
      <c r="G137" s="2617"/>
      <c r="H137" s="2617"/>
      <c r="I137" s="2618"/>
      <c r="J137" s="2627" t="s">
        <v>1894</v>
      </c>
      <c r="K137" s="2628"/>
      <c r="L137" s="2628"/>
      <c r="M137" s="2628"/>
      <c r="N137" s="2628"/>
      <c r="O137" s="2628"/>
      <c r="P137" s="2628"/>
      <c r="Q137" s="2628"/>
      <c r="R137" s="2628"/>
      <c r="S137" s="2628"/>
      <c r="T137" s="2628"/>
      <c r="U137" s="2629"/>
      <c r="V137" s="2647">
        <v>0</v>
      </c>
      <c r="W137" s="2648"/>
      <c r="X137" s="2648"/>
      <c r="Y137" s="2648"/>
      <c r="Z137" s="2648"/>
      <c r="AA137" s="2632">
        <v>0</v>
      </c>
      <c r="AB137" s="2619"/>
      <c r="AC137" s="2619"/>
      <c r="AD137" s="300" t="s">
        <v>1409</v>
      </c>
      <c r="AE137" s="2633">
        <f t="shared" si="17"/>
        <v>0</v>
      </c>
      <c r="AF137" s="2633"/>
      <c r="AG137" s="2633"/>
      <c r="AH137" s="2633"/>
      <c r="AI137" s="2633"/>
      <c r="AJ137" s="2634"/>
      <c r="AK137" s="2635"/>
      <c r="AL137" s="2636"/>
      <c r="AM137" s="2636"/>
      <c r="AN137" s="2636"/>
      <c r="AO137" s="2636"/>
      <c r="AP137" s="2636"/>
      <c r="AQ137" s="2636"/>
      <c r="AR137" s="2636"/>
      <c r="AS137" s="2636"/>
      <c r="AT137" s="2637"/>
      <c r="AU137" s="234"/>
      <c r="AX137" s="489"/>
      <c r="BD137" s="593" t="s">
        <v>1073</v>
      </c>
      <c r="BY137" s="21"/>
      <c r="BZ137" s="121"/>
      <c r="CC137" s="22"/>
      <c r="CD137" s="145"/>
      <c r="CE137" s="145"/>
      <c r="CF137" s="145"/>
      <c r="CG137" s="30"/>
      <c r="CH137" s="196" t="s">
        <v>526</v>
      </c>
      <c r="CI137" s="196" t="s">
        <v>21</v>
      </c>
      <c r="CJ137" s="196">
        <v>255</v>
      </c>
      <c r="CK137" s="196" t="s">
        <v>20</v>
      </c>
      <c r="CL137" s="196" t="s">
        <v>20</v>
      </c>
      <c r="CM137" s="287"/>
      <c r="CN137" s="284" t="s">
        <v>615</v>
      </c>
      <c r="CO137" s="197" t="s">
        <v>52</v>
      </c>
      <c r="CP137" s="285"/>
      <c r="CQ137" s="129"/>
      <c r="CR137" s="61"/>
      <c r="CS137" s="61"/>
      <c r="CT137" s="61"/>
      <c r="CU137" s="61"/>
      <c r="CV137" s="60"/>
      <c r="CW137" s="55"/>
      <c r="CX137" s="55"/>
      <c r="CY137" s="56"/>
      <c r="CZ137" s="44"/>
      <c r="DA137" s="56"/>
      <c r="DC137" s="43"/>
      <c r="DD137" s="43"/>
      <c r="DE137" s="118"/>
      <c r="DF137" s="90"/>
      <c r="DO137" s="85"/>
      <c r="DP137" s="29"/>
      <c r="DQ137" s="467"/>
      <c r="DR137" s="467"/>
      <c r="DS137" s="467"/>
      <c r="DT137" s="467"/>
      <c r="DU137" s="467"/>
      <c r="DV137" s="30"/>
      <c r="DX137" s="115"/>
      <c r="DY137" s="115"/>
    </row>
    <row r="138" spans="1:129" ht="19.5" hidden="1" customHeight="1">
      <c r="A138" s="1048" t="s">
        <v>1234</v>
      </c>
      <c r="B138" s="249"/>
      <c r="C138" s="2616"/>
      <c r="D138" s="2617"/>
      <c r="E138" s="2617"/>
      <c r="F138" s="2617"/>
      <c r="G138" s="2617"/>
      <c r="H138" s="2617"/>
      <c r="I138" s="2618"/>
      <c r="J138" s="2627" t="s">
        <v>3563</v>
      </c>
      <c r="K138" s="2628"/>
      <c r="L138" s="2628"/>
      <c r="M138" s="2628"/>
      <c r="N138" s="2628"/>
      <c r="O138" s="2628"/>
      <c r="P138" s="2628"/>
      <c r="Q138" s="2628"/>
      <c r="R138" s="2628"/>
      <c r="S138" s="2628"/>
      <c r="T138" s="2628"/>
      <c r="U138" s="2629"/>
      <c r="V138" s="2630">
        <v>0</v>
      </c>
      <c r="W138" s="2631"/>
      <c r="X138" s="2631"/>
      <c r="Y138" s="2631"/>
      <c r="Z138" s="2631"/>
      <c r="AA138" s="2632">
        <v>0</v>
      </c>
      <c r="AB138" s="2619"/>
      <c r="AC138" s="2619"/>
      <c r="AD138" s="300" t="s">
        <v>1408</v>
      </c>
      <c r="AE138" s="2633">
        <f t="shared" si="17"/>
        <v>0</v>
      </c>
      <c r="AF138" s="2633"/>
      <c r="AG138" s="2633"/>
      <c r="AH138" s="2633"/>
      <c r="AI138" s="2633"/>
      <c r="AJ138" s="2634"/>
      <c r="AK138" s="2635"/>
      <c r="AL138" s="2636"/>
      <c r="AM138" s="2636"/>
      <c r="AN138" s="2636"/>
      <c r="AO138" s="2636"/>
      <c r="AP138" s="2636"/>
      <c r="AQ138" s="2636"/>
      <c r="AR138" s="2636"/>
      <c r="AS138" s="2636"/>
      <c r="AT138" s="2637"/>
      <c r="AU138" s="234"/>
      <c r="AX138" s="489"/>
      <c r="BY138" s="21"/>
      <c r="BZ138" s="121"/>
      <c r="CA138" s="120"/>
      <c r="CB138" s="126"/>
      <c r="CC138" s="22"/>
      <c r="CD138" s="145"/>
      <c r="CE138" s="145"/>
      <c r="CF138" s="145"/>
      <c r="CG138" s="30"/>
      <c r="CH138" s="196" t="s">
        <v>527</v>
      </c>
      <c r="CI138" s="196" t="s">
        <v>19</v>
      </c>
      <c r="CJ138" s="196">
        <v>1</v>
      </c>
      <c r="CK138" s="196" t="s">
        <v>20</v>
      </c>
      <c r="CL138" s="196" t="s">
        <v>20</v>
      </c>
      <c r="CM138" s="196" t="s">
        <v>433</v>
      </c>
      <c r="CN138" s="284" t="s">
        <v>616</v>
      </c>
      <c r="CO138" s="197" t="s">
        <v>51</v>
      </c>
      <c r="CP138" s="285"/>
      <c r="CQ138" s="129"/>
      <c r="CR138" s="61"/>
      <c r="CS138" s="61"/>
      <c r="CT138" s="61"/>
      <c r="CU138" s="61"/>
      <c r="CV138" s="60"/>
      <c r="CW138" s="55"/>
      <c r="CX138" s="55"/>
      <c r="CY138" s="56"/>
      <c r="CZ138" s="44"/>
      <c r="DA138" s="56"/>
      <c r="DC138" s="43"/>
      <c r="DD138" s="43"/>
      <c r="DE138" s="118"/>
      <c r="DF138" s="90"/>
      <c r="DL138" s="106" t="s">
        <v>2024</v>
      </c>
      <c r="DO138" s="85"/>
      <c r="DP138" s="29"/>
      <c r="DQ138" s="467"/>
      <c r="DR138" s="467"/>
      <c r="DS138" s="467"/>
      <c r="DT138" s="467"/>
      <c r="DU138" s="467"/>
      <c r="DV138" s="30"/>
      <c r="DX138" s="115"/>
      <c r="DY138" s="115"/>
    </row>
    <row r="139" spans="1:129" ht="19.5" hidden="1" customHeight="1">
      <c r="A139" s="1048" t="s">
        <v>1234</v>
      </c>
      <c r="B139" s="249"/>
      <c r="C139" s="2616"/>
      <c r="D139" s="2617"/>
      <c r="E139" s="2617"/>
      <c r="F139" s="2617"/>
      <c r="G139" s="2617"/>
      <c r="H139" s="2617"/>
      <c r="I139" s="2618"/>
      <c r="J139" s="2627" t="s">
        <v>3576</v>
      </c>
      <c r="K139" s="2628"/>
      <c r="L139" s="2628"/>
      <c r="M139" s="2628"/>
      <c r="N139" s="2628"/>
      <c r="O139" s="2628"/>
      <c r="P139" s="2628"/>
      <c r="Q139" s="2628"/>
      <c r="R139" s="2628"/>
      <c r="S139" s="2628"/>
      <c r="T139" s="2628"/>
      <c r="U139" s="2629"/>
      <c r="V139" s="2623">
        <v>0</v>
      </c>
      <c r="W139" s="2624"/>
      <c r="X139" s="2624"/>
      <c r="Y139" s="2624"/>
      <c r="Z139" s="2624"/>
      <c r="AA139" s="2632">
        <v>0</v>
      </c>
      <c r="AB139" s="2619"/>
      <c r="AC139" s="2619"/>
      <c r="AD139" s="300" t="s">
        <v>3577</v>
      </c>
      <c r="AE139" s="2633">
        <f t="shared" si="17"/>
        <v>0</v>
      </c>
      <c r="AF139" s="2633"/>
      <c r="AG139" s="2633"/>
      <c r="AH139" s="2633"/>
      <c r="AI139" s="2633"/>
      <c r="AJ139" s="2634"/>
      <c r="AK139" s="2635"/>
      <c r="AL139" s="2636"/>
      <c r="AM139" s="2636"/>
      <c r="AN139" s="2636"/>
      <c r="AO139" s="2636"/>
      <c r="AP139" s="2636"/>
      <c r="AQ139" s="2636"/>
      <c r="AR139" s="2636"/>
      <c r="AS139" s="2636"/>
      <c r="AT139" s="2637"/>
      <c r="AU139" s="234"/>
      <c r="AX139" s="489"/>
      <c r="BD139" s="593" t="s">
        <v>1073</v>
      </c>
      <c r="BY139" s="21"/>
      <c r="BZ139" s="121"/>
      <c r="CA139" s="120"/>
      <c r="CC139" s="22"/>
      <c r="CD139" s="145"/>
      <c r="CE139" s="145"/>
      <c r="CF139" s="145"/>
      <c r="CG139" s="30"/>
      <c r="CH139" s="196" t="s">
        <v>528</v>
      </c>
      <c r="CI139" s="196" t="s">
        <v>21</v>
      </c>
      <c r="CJ139" s="196">
        <v>255</v>
      </c>
      <c r="CK139" s="196" t="s">
        <v>20</v>
      </c>
      <c r="CL139" s="196" t="s">
        <v>20</v>
      </c>
      <c r="CM139" s="287"/>
      <c r="CN139" s="284" t="s">
        <v>617</v>
      </c>
      <c r="CO139" s="197" t="s">
        <v>50</v>
      </c>
      <c r="CP139" s="285"/>
      <c r="CQ139" s="129"/>
      <c r="CR139" s="61"/>
      <c r="CS139" s="61"/>
      <c r="CT139" s="61"/>
      <c r="CU139" s="61"/>
      <c r="CV139" s="60"/>
      <c r="CW139" s="55"/>
      <c r="CX139" s="55"/>
      <c r="CY139" s="56"/>
      <c r="CZ139" s="44"/>
      <c r="DA139" s="56"/>
      <c r="DC139" s="43"/>
      <c r="DD139" s="43"/>
      <c r="DE139" s="118"/>
      <c r="DF139" s="90"/>
      <c r="DO139" s="29"/>
      <c r="DP139" s="21"/>
      <c r="DQ139" s="468"/>
      <c r="DR139" s="468"/>
      <c r="DS139" s="468"/>
      <c r="DT139" s="468"/>
      <c r="DU139" s="468"/>
      <c r="DV139" s="30"/>
      <c r="DX139" s="115"/>
      <c r="DY139" s="115"/>
    </row>
    <row r="140" spans="1:129" ht="19.5" hidden="1" customHeight="1">
      <c r="A140" s="1048" t="s">
        <v>1234</v>
      </c>
      <c r="B140" s="249"/>
      <c r="C140" s="2616"/>
      <c r="D140" s="2617"/>
      <c r="E140" s="2617"/>
      <c r="F140" s="2617"/>
      <c r="G140" s="2617"/>
      <c r="H140" s="2617"/>
      <c r="I140" s="2618"/>
      <c r="J140" s="2627"/>
      <c r="K140" s="2628"/>
      <c r="L140" s="2628"/>
      <c r="M140" s="2628"/>
      <c r="N140" s="2628"/>
      <c r="O140" s="2628"/>
      <c r="P140" s="2628"/>
      <c r="Q140" s="2628"/>
      <c r="R140" s="2628"/>
      <c r="S140" s="2628"/>
      <c r="T140" s="2628"/>
      <c r="U140" s="2629"/>
      <c r="V140" s="2623">
        <v>0</v>
      </c>
      <c r="W140" s="2624"/>
      <c r="X140" s="2624"/>
      <c r="Y140" s="2624"/>
      <c r="Z140" s="2624"/>
      <c r="AA140" s="2632">
        <v>0</v>
      </c>
      <c r="AB140" s="2619"/>
      <c r="AC140" s="2619"/>
      <c r="AD140" s="300"/>
      <c r="AE140" s="2633">
        <f t="shared" si="17"/>
        <v>0</v>
      </c>
      <c r="AF140" s="2633"/>
      <c r="AG140" s="2633"/>
      <c r="AH140" s="2633"/>
      <c r="AI140" s="2633"/>
      <c r="AJ140" s="2634"/>
      <c r="AK140" s="2635"/>
      <c r="AL140" s="2636"/>
      <c r="AM140" s="2636"/>
      <c r="AN140" s="2636"/>
      <c r="AO140" s="2636"/>
      <c r="AP140" s="2636"/>
      <c r="AQ140" s="2636"/>
      <c r="AR140" s="2636"/>
      <c r="AS140" s="2636"/>
      <c r="AT140" s="2637"/>
      <c r="AU140" s="234"/>
      <c r="AX140" s="489"/>
      <c r="BD140" s="593" t="s">
        <v>1073</v>
      </c>
      <c r="BZ140" s="121"/>
      <c r="CA140" s="121"/>
      <c r="CB140" s="126"/>
      <c r="CC140" s="22"/>
      <c r="CD140" s="145"/>
      <c r="CE140" s="145"/>
      <c r="CF140" s="145"/>
      <c r="CG140" s="30"/>
      <c r="CH140" s="196" t="s">
        <v>529</v>
      </c>
      <c r="CI140" s="196" t="s">
        <v>21</v>
      </c>
      <c r="CJ140" s="196">
        <v>255</v>
      </c>
      <c r="CK140" s="196" t="s">
        <v>20</v>
      </c>
      <c r="CL140" s="196" t="s">
        <v>20</v>
      </c>
      <c r="CM140" s="287"/>
      <c r="CN140" s="284" t="s">
        <v>617</v>
      </c>
      <c r="CO140" s="197" t="s">
        <v>49</v>
      </c>
      <c r="CP140" s="285"/>
      <c r="CQ140" s="129"/>
      <c r="CR140" s="61"/>
      <c r="CS140" s="61"/>
      <c r="CT140" s="61"/>
      <c r="CU140" s="61"/>
      <c r="CV140" s="60"/>
      <c r="CX140" s="55"/>
      <c r="CY140" s="56"/>
      <c r="CZ140" s="44"/>
      <c r="DA140" s="56"/>
      <c r="DC140" s="43"/>
      <c r="DD140" s="43"/>
      <c r="DE140" s="118"/>
      <c r="DF140" s="90"/>
      <c r="DO140" s="29"/>
      <c r="DP140" s="21"/>
      <c r="DQ140" s="468"/>
      <c r="DR140" s="468"/>
      <c r="DS140" s="468"/>
      <c r="DT140" s="468"/>
      <c r="DU140" s="468"/>
      <c r="DV140" s="30"/>
      <c r="DX140" s="115"/>
      <c r="DY140" s="115"/>
    </row>
    <row r="141" spans="1:129" ht="19.5" hidden="1" customHeight="1">
      <c r="A141" s="1048" t="s">
        <v>1234</v>
      </c>
      <c r="B141" s="249"/>
      <c r="C141" s="2616"/>
      <c r="D141" s="2617"/>
      <c r="E141" s="2617"/>
      <c r="F141" s="2617"/>
      <c r="G141" s="2617"/>
      <c r="H141" s="2617"/>
      <c r="I141" s="2618"/>
      <c r="J141" s="2627"/>
      <c r="K141" s="2628"/>
      <c r="L141" s="2628"/>
      <c r="M141" s="2628"/>
      <c r="N141" s="2628"/>
      <c r="O141" s="2628"/>
      <c r="P141" s="2628"/>
      <c r="Q141" s="2628"/>
      <c r="R141" s="2628"/>
      <c r="S141" s="2628"/>
      <c r="T141" s="2628"/>
      <c r="U141" s="2629"/>
      <c r="V141" s="2623">
        <v>0</v>
      </c>
      <c r="W141" s="2624"/>
      <c r="X141" s="2624"/>
      <c r="Y141" s="2624"/>
      <c r="Z141" s="2624"/>
      <c r="AA141" s="2632">
        <v>0</v>
      </c>
      <c r="AB141" s="2619"/>
      <c r="AC141" s="2619"/>
      <c r="AD141" s="300"/>
      <c r="AE141" s="2633">
        <f t="shared" si="17"/>
        <v>0</v>
      </c>
      <c r="AF141" s="2633"/>
      <c r="AG141" s="2633"/>
      <c r="AH141" s="2633"/>
      <c r="AI141" s="2633"/>
      <c r="AJ141" s="2634"/>
      <c r="AK141" s="2635"/>
      <c r="AL141" s="2636"/>
      <c r="AM141" s="2636"/>
      <c r="AN141" s="2636"/>
      <c r="AO141" s="2636"/>
      <c r="AP141" s="2636"/>
      <c r="AQ141" s="2636"/>
      <c r="AR141" s="2636"/>
      <c r="AS141" s="2636"/>
      <c r="AT141" s="2637"/>
      <c r="AU141" s="234"/>
      <c r="AX141" s="489"/>
      <c r="BD141" s="593" t="s">
        <v>1073</v>
      </c>
      <c r="BZ141" s="22"/>
      <c r="CA141" s="121"/>
      <c r="CB141" s="204"/>
      <c r="CC141" s="22"/>
      <c r="CD141" s="145"/>
      <c r="CE141" s="145"/>
      <c r="CF141" s="145"/>
      <c r="CG141" s="30"/>
      <c r="CH141" s="196" t="s">
        <v>530</v>
      </c>
      <c r="CI141" s="196" t="s">
        <v>21</v>
      </c>
      <c r="CJ141" s="196">
        <v>100</v>
      </c>
      <c r="CK141" s="196" t="s">
        <v>20</v>
      </c>
      <c r="CL141" s="196" t="s">
        <v>20</v>
      </c>
      <c r="CM141" s="287"/>
      <c r="CN141" s="284" t="s">
        <v>617</v>
      </c>
      <c r="CO141" s="197" t="s">
        <v>48</v>
      </c>
      <c r="CP141" s="285"/>
      <c r="CQ141" s="129"/>
      <c r="CR141" s="61"/>
      <c r="CS141" s="61"/>
      <c r="CT141" s="61"/>
      <c r="CU141" s="61"/>
      <c r="CV141" s="60"/>
      <c r="CX141" s="55"/>
      <c r="CY141" s="56"/>
      <c r="CZ141" s="44"/>
      <c r="DA141" s="56"/>
      <c r="DC141" s="43"/>
      <c r="DD141" s="43"/>
      <c r="DE141" s="118"/>
      <c r="DF141" s="90"/>
      <c r="DO141" s="29"/>
      <c r="DP141" s="21"/>
      <c r="DQ141" s="468"/>
      <c r="DR141" s="468"/>
      <c r="DS141" s="468"/>
      <c r="DT141" s="468"/>
      <c r="DU141" s="468"/>
      <c r="DV141" s="30"/>
      <c r="DX141" s="115"/>
      <c r="DY141" s="115"/>
    </row>
    <row r="142" spans="1:129" ht="19.5" hidden="1" customHeight="1">
      <c r="A142" s="447" t="s">
        <v>1234</v>
      </c>
      <c r="B142" s="249"/>
      <c r="C142" s="2616"/>
      <c r="D142" s="2617"/>
      <c r="E142" s="2617"/>
      <c r="F142" s="2617"/>
      <c r="G142" s="2617"/>
      <c r="H142" s="2617"/>
      <c r="I142" s="2618"/>
      <c r="J142" s="2627"/>
      <c r="K142" s="2628"/>
      <c r="L142" s="2628"/>
      <c r="M142" s="2628"/>
      <c r="N142" s="2628"/>
      <c r="O142" s="2628"/>
      <c r="P142" s="2628"/>
      <c r="Q142" s="2628"/>
      <c r="R142" s="2628"/>
      <c r="S142" s="2628"/>
      <c r="T142" s="2628"/>
      <c r="U142" s="2629"/>
      <c r="V142" s="2623">
        <v>0</v>
      </c>
      <c r="W142" s="2624"/>
      <c r="X142" s="2624"/>
      <c r="Y142" s="2624"/>
      <c r="Z142" s="2624"/>
      <c r="AA142" s="2632">
        <v>0</v>
      </c>
      <c r="AB142" s="2619"/>
      <c r="AC142" s="2619"/>
      <c r="AD142" s="300"/>
      <c r="AE142" s="2633">
        <f t="shared" si="17"/>
        <v>0</v>
      </c>
      <c r="AF142" s="2633"/>
      <c r="AG142" s="2633"/>
      <c r="AH142" s="2633"/>
      <c r="AI142" s="2633"/>
      <c r="AJ142" s="2634"/>
      <c r="AK142" s="2635"/>
      <c r="AL142" s="2636"/>
      <c r="AM142" s="2636"/>
      <c r="AN142" s="2636"/>
      <c r="AO142" s="2636"/>
      <c r="AP142" s="2636"/>
      <c r="AQ142" s="2636"/>
      <c r="AR142" s="2636"/>
      <c r="AS142" s="2636"/>
      <c r="AT142" s="2637"/>
      <c r="AU142" s="234"/>
      <c r="AX142" s="489"/>
      <c r="BD142" s="593" t="s">
        <v>1073</v>
      </c>
      <c r="BZ142" s="22"/>
      <c r="CA142" s="121"/>
      <c r="CB142" s="204"/>
      <c r="CC142" s="22"/>
      <c r="CD142" s="145"/>
      <c r="CE142" s="145"/>
      <c r="CF142" s="145"/>
      <c r="CG142" s="30"/>
      <c r="CH142" s="109" t="s">
        <v>638</v>
      </c>
      <c r="CI142" s="110"/>
      <c r="CJ142" s="110"/>
      <c r="CK142" s="110"/>
      <c r="CL142" s="110"/>
      <c r="CM142" s="110"/>
      <c r="CN142" s="110"/>
      <c r="CO142" s="60"/>
      <c r="CP142" s="111"/>
      <c r="CQ142" s="129"/>
      <c r="CR142" s="61"/>
      <c r="CS142" s="61"/>
      <c r="CT142" s="61"/>
      <c r="CU142" s="61"/>
      <c r="CV142" s="60"/>
      <c r="CY142" s="56"/>
      <c r="DC142" s="43"/>
      <c r="DD142" s="42"/>
      <c r="DE142" s="118"/>
      <c r="DF142" s="90"/>
      <c r="DO142" s="21"/>
      <c r="DP142" s="21"/>
      <c r="DQ142" s="468"/>
      <c r="DR142" s="468"/>
      <c r="DS142" s="468"/>
      <c r="DT142" s="468"/>
      <c r="DU142" s="468"/>
      <c r="DV142" s="30"/>
      <c r="DX142" s="115"/>
      <c r="DY142" s="115"/>
    </row>
    <row r="143" spans="1:129" ht="19.5" hidden="1" customHeight="1">
      <c r="A143" s="447" t="s">
        <v>1234</v>
      </c>
      <c r="B143" s="249"/>
      <c r="C143" s="2616"/>
      <c r="D143" s="2617"/>
      <c r="E143" s="2617"/>
      <c r="F143" s="2617"/>
      <c r="G143" s="2617"/>
      <c r="H143" s="2617"/>
      <c r="I143" s="2618"/>
      <c r="J143" s="2627"/>
      <c r="K143" s="2628"/>
      <c r="L143" s="2628"/>
      <c r="M143" s="2628"/>
      <c r="N143" s="2628"/>
      <c r="O143" s="2628"/>
      <c r="P143" s="2628"/>
      <c r="Q143" s="2628"/>
      <c r="R143" s="2628"/>
      <c r="S143" s="2628"/>
      <c r="T143" s="2628"/>
      <c r="U143" s="2629"/>
      <c r="V143" s="2623">
        <v>0</v>
      </c>
      <c r="W143" s="2624"/>
      <c r="X143" s="2624"/>
      <c r="Y143" s="2624"/>
      <c r="Z143" s="2624"/>
      <c r="AA143" s="2632">
        <v>0</v>
      </c>
      <c r="AB143" s="2619"/>
      <c r="AC143" s="2619"/>
      <c r="AD143" s="300"/>
      <c r="AE143" s="2633">
        <f t="shared" si="17"/>
        <v>0</v>
      </c>
      <c r="AF143" s="2633"/>
      <c r="AG143" s="2633"/>
      <c r="AH143" s="2633"/>
      <c r="AI143" s="2633"/>
      <c r="AJ143" s="2634"/>
      <c r="AK143" s="2635"/>
      <c r="AL143" s="2636"/>
      <c r="AM143" s="2636"/>
      <c r="AN143" s="2636"/>
      <c r="AO143" s="2636"/>
      <c r="AP143" s="2636"/>
      <c r="AQ143" s="2636"/>
      <c r="AR143" s="2636"/>
      <c r="AS143" s="2636"/>
      <c r="AT143" s="2637"/>
      <c r="AU143" s="234"/>
      <c r="AX143" s="489"/>
      <c r="BD143" s="593" t="s">
        <v>1073</v>
      </c>
      <c r="BZ143" s="22"/>
      <c r="CA143" s="121"/>
      <c r="CB143" s="204"/>
      <c r="CC143" s="22"/>
      <c r="CD143" s="145"/>
      <c r="CE143" s="145"/>
      <c r="CF143" s="145"/>
      <c r="CG143" s="30"/>
      <c r="CH143" s="62" t="s">
        <v>323</v>
      </c>
      <c r="CI143" s="63" t="s">
        <v>586</v>
      </c>
      <c r="CJ143" s="63" t="s">
        <v>321</v>
      </c>
      <c r="CK143" s="62" t="s">
        <v>320</v>
      </c>
      <c r="CL143" s="62" t="s">
        <v>587</v>
      </c>
      <c r="CM143" s="62" t="s">
        <v>326</v>
      </c>
      <c r="CN143" s="62" t="s">
        <v>327</v>
      </c>
      <c r="CO143" s="62" t="s">
        <v>376</v>
      </c>
      <c r="CP143" s="62" t="s">
        <v>328</v>
      </c>
      <c r="CQ143" s="129"/>
      <c r="CR143" s="61"/>
      <c r="CS143" s="61"/>
      <c r="CT143" s="61"/>
      <c r="CU143" s="61"/>
      <c r="CV143" s="60"/>
      <c r="CW143" s="55"/>
      <c r="CY143" s="56"/>
      <c r="DC143" s="43"/>
      <c r="DD143" s="42"/>
      <c r="DE143" s="90"/>
      <c r="DF143" s="90"/>
      <c r="DO143" s="21"/>
      <c r="DP143" s="21"/>
      <c r="DQ143" s="468"/>
      <c r="DR143" s="468"/>
      <c r="DS143" s="468"/>
      <c r="DT143" s="468"/>
      <c r="DU143" s="468"/>
      <c r="DV143" s="30"/>
      <c r="DX143" s="115"/>
      <c r="DY143" s="115"/>
    </row>
    <row r="144" spans="1:129" ht="19.5" hidden="1" customHeight="1">
      <c r="A144" s="447" t="s">
        <v>1234</v>
      </c>
      <c r="B144" s="249"/>
      <c r="C144" s="2616"/>
      <c r="D144" s="2617"/>
      <c r="E144" s="2617"/>
      <c r="F144" s="2617"/>
      <c r="G144" s="2617"/>
      <c r="H144" s="2617"/>
      <c r="I144" s="2618"/>
      <c r="J144" s="2627"/>
      <c r="K144" s="2628"/>
      <c r="L144" s="2628"/>
      <c r="M144" s="2628"/>
      <c r="N144" s="2628"/>
      <c r="O144" s="2628"/>
      <c r="P144" s="2628"/>
      <c r="Q144" s="2628"/>
      <c r="R144" s="2628"/>
      <c r="S144" s="2628"/>
      <c r="T144" s="2628"/>
      <c r="U144" s="2629"/>
      <c r="V144" s="2623">
        <v>0</v>
      </c>
      <c r="W144" s="2624"/>
      <c r="X144" s="2624"/>
      <c r="Y144" s="2624"/>
      <c r="Z144" s="2624"/>
      <c r="AA144" s="2632">
        <v>0</v>
      </c>
      <c r="AB144" s="2619"/>
      <c r="AC144" s="2619"/>
      <c r="AD144" s="300"/>
      <c r="AE144" s="2633">
        <f t="shared" si="17"/>
        <v>0</v>
      </c>
      <c r="AF144" s="2633"/>
      <c r="AG144" s="2633"/>
      <c r="AH144" s="2633"/>
      <c r="AI144" s="2633"/>
      <c r="AJ144" s="2634"/>
      <c r="AK144" s="2635"/>
      <c r="AL144" s="2636"/>
      <c r="AM144" s="2636"/>
      <c r="AN144" s="2636"/>
      <c r="AO144" s="2636"/>
      <c r="AP144" s="2636"/>
      <c r="AQ144" s="2636"/>
      <c r="AR144" s="2636"/>
      <c r="AS144" s="2636"/>
      <c r="AT144" s="2637"/>
      <c r="AU144" s="234"/>
      <c r="AX144" s="489"/>
      <c r="BD144" s="593" t="s">
        <v>1073</v>
      </c>
      <c r="BZ144" s="22"/>
      <c r="CA144" s="121"/>
      <c r="CB144" s="204"/>
      <c r="CC144" s="22"/>
      <c r="CD144" s="145"/>
      <c r="CE144" s="145"/>
      <c r="CF144" s="145"/>
      <c r="CG144" s="30"/>
      <c r="CH144" s="65" t="s">
        <v>313</v>
      </c>
      <c r="CI144" s="112"/>
      <c r="CJ144" s="112"/>
      <c r="CK144" s="112"/>
      <c r="CL144" s="112"/>
      <c r="CM144" s="112"/>
      <c r="CN144" s="112"/>
      <c r="CO144" s="113" t="s">
        <v>531</v>
      </c>
      <c r="CP144" s="114"/>
      <c r="CQ144" s="129"/>
      <c r="CR144" s="61"/>
      <c r="CS144" s="61"/>
      <c r="CT144" s="61"/>
      <c r="CU144" s="61"/>
      <c r="CV144" s="60"/>
      <c r="CW144" s="55"/>
      <c r="CY144" s="55"/>
      <c r="DB144" s="42"/>
      <c r="DC144" s="44"/>
      <c r="DD144" s="42"/>
      <c r="DE144" s="90"/>
      <c r="DF144" s="90"/>
      <c r="DO144" s="21"/>
      <c r="DP144" s="21"/>
      <c r="DQ144" s="468"/>
      <c r="DR144" s="468"/>
      <c r="DS144" s="468"/>
      <c r="DT144" s="468"/>
      <c r="DU144" s="468"/>
      <c r="DV144" s="30"/>
      <c r="DX144" s="115"/>
      <c r="DY144" s="115"/>
    </row>
    <row r="145" spans="1:129" ht="19.5" customHeight="1">
      <c r="A145" s="447"/>
      <c r="B145" s="249"/>
      <c r="C145" s="2616"/>
      <c r="D145" s="2617"/>
      <c r="E145" s="2617"/>
      <c r="F145" s="2617"/>
      <c r="G145" s="2617"/>
      <c r="H145" s="2617"/>
      <c r="I145" s="2618"/>
      <c r="J145" s="2654" t="str">
        <f>記入シート2!J145</f>
        <v>値引き</v>
      </c>
      <c r="K145" s="2655"/>
      <c r="L145" s="2655"/>
      <c r="M145" s="2655"/>
      <c r="N145" s="2655"/>
      <c r="O145" s="2655"/>
      <c r="P145" s="2655"/>
      <c r="Q145" s="2655"/>
      <c r="R145" s="2655"/>
      <c r="S145" s="2655"/>
      <c r="T145" s="2655"/>
      <c r="U145" s="2656"/>
      <c r="V145" s="2657"/>
      <c r="W145" s="2658"/>
      <c r="X145" s="2658"/>
      <c r="Y145" s="2658"/>
      <c r="Z145" s="2658"/>
      <c r="AA145" s="2632"/>
      <c r="AB145" s="2619"/>
      <c r="AC145" s="2619"/>
      <c r="AD145" s="312"/>
      <c r="AE145" s="2659"/>
      <c r="AF145" s="2659"/>
      <c r="AG145" s="2659"/>
      <c r="AH145" s="2659"/>
      <c r="AI145" s="2659"/>
      <c r="AJ145" s="2660"/>
      <c r="AK145" s="2638"/>
      <c r="AL145" s="2639"/>
      <c r="AM145" s="2639"/>
      <c r="AN145" s="2639"/>
      <c r="AO145" s="2639"/>
      <c r="AP145" s="2639"/>
      <c r="AQ145" s="2639"/>
      <c r="AR145" s="2639"/>
      <c r="AS145" s="2639"/>
      <c r="AT145" s="2637"/>
      <c r="AU145" s="234"/>
      <c r="AV145" s="199" t="s">
        <v>1956</v>
      </c>
      <c r="BZ145" s="22"/>
      <c r="CA145" s="121"/>
      <c r="CB145" s="204"/>
      <c r="CC145" s="22"/>
      <c r="CD145" s="145"/>
      <c r="CE145" s="145"/>
      <c r="CF145" s="145"/>
      <c r="CG145" s="30"/>
      <c r="CH145" s="65" t="s">
        <v>296</v>
      </c>
      <c r="CI145" s="112"/>
      <c r="CJ145" s="112"/>
      <c r="CK145" s="112"/>
      <c r="CL145" s="112"/>
      <c r="CM145" s="112"/>
      <c r="CN145" s="112"/>
      <c r="CO145" s="113" t="s">
        <v>532</v>
      </c>
      <c r="CP145" s="114"/>
      <c r="CQ145" s="129"/>
      <c r="CR145" s="61"/>
      <c r="CS145" s="61"/>
      <c r="CT145" s="61"/>
      <c r="CU145" s="61"/>
      <c r="CV145" s="60"/>
      <c r="CW145" s="55"/>
      <c r="CX145" s="55"/>
      <c r="CY145" s="55"/>
      <c r="CZ145" s="44"/>
      <c r="DA145" s="56"/>
      <c r="DB145" s="42"/>
      <c r="DC145" s="44"/>
      <c r="DD145" s="43"/>
      <c r="DE145" s="90"/>
      <c r="DF145" s="90"/>
      <c r="DO145" s="21"/>
      <c r="DP145" s="21"/>
      <c r="DQ145" s="468"/>
      <c r="DR145" s="468"/>
      <c r="DS145" s="468"/>
      <c r="DT145" s="468"/>
      <c r="DU145" s="468"/>
      <c r="DV145" s="30"/>
      <c r="DX145" s="115"/>
      <c r="DY145" s="115"/>
    </row>
    <row r="146" spans="1:129" ht="19.5" hidden="1" customHeight="1">
      <c r="A146" s="1048" t="s">
        <v>1234</v>
      </c>
      <c r="B146" s="249"/>
      <c r="C146" s="2616"/>
      <c r="D146" s="2617"/>
      <c r="E146" s="2617"/>
      <c r="F146" s="2617"/>
      <c r="G146" s="2617"/>
      <c r="H146" s="2617"/>
      <c r="I146" s="2618"/>
      <c r="J146" s="2654"/>
      <c r="K146" s="2655"/>
      <c r="L146" s="2655"/>
      <c r="M146" s="2655"/>
      <c r="N146" s="2655"/>
      <c r="O146" s="2655"/>
      <c r="P146" s="2655"/>
      <c r="Q146" s="2655"/>
      <c r="R146" s="2655"/>
      <c r="S146" s="2655"/>
      <c r="T146" s="2655"/>
      <c r="U146" s="2656"/>
      <c r="V146" s="2657"/>
      <c r="W146" s="2658"/>
      <c r="X146" s="2658"/>
      <c r="Y146" s="2658"/>
      <c r="Z146" s="2658"/>
      <c r="AA146" s="2632"/>
      <c r="AB146" s="2619"/>
      <c r="AC146" s="2619"/>
      <c r="AD146" s="312"/>
      <c r="AE146" s="2659"/>
      <c r="AF146" s="2659"/>
      <c r="AG146" s="2659"/>
      <c r="AH146" s="2659"/>
      <c r="AI146" s="2659"/>
      <c r="AJ146" s="2660"/>
      <c r="AK146" s="2638"/>
      <c r="AL146" s="2639"/>
      <c r="AM146" s="2639"/>
      <c r="AN146" s="2639"/>
      <c r="AO146" s="2639"/>
      <c r="AP146" s="2639"/>
      <c r="AQ146" s="2639"/>
      <c r="AR146" s="2639"/>
      <c r="AS146" s="2639"/>
      <c r="AT146" s="2637"/>
      <c r="AU146" s="234"/>
      <c r="AV146" s="199" t="s">
        <v>1956</v>
      </c>
      <c r="BZ146" s="22"/>
      <c r="CA146" s="121"/>
      <c r="CB146" s="204"/>
      <c r="CC146" s="22"/>
      <c r="CD146" s="145"/>
      <c r="CE146" s="145"/>
      <c r="CF146" s="145"/>
      <c r="CG146" s="30"/>
      <c r="CH146" s="65" t="s">
        <v>144</v>
      </c>
      <c r="CI146" s="112"/>
      <c r="CJ146" s="112"/>
      <c r="CK146" s="112"/>
      <c r="CL146" s="112"/>
      <c r="CM146" s="112"/>
      <c r="CN146" s="112"/>
      <c r="CO146" s="113" t="s">
        <v>533</v>
      </c>
      <c r="CP146" s="114"/>
      <c r="CQ146" s="129"/>
      <c r="CR146" s="61"/>
      <c r="CS146" s="61"/>
      <c r="CT146" s="61"/>
      <c r="CU146" s="61"/>
      <c r="CV146" s="60"/>
      <c r="CW146" s="55"/>
      <c r="CX146" s="55"/>
      <c r="CY146" s="55"/>
      <c r="CZ146" s="44"/>
      <c r="DA146" s="56"/>
      <c r="DB146" s="42"/>
      <c r="DC146" s="44"/>
      <c r="DD146" s="43"/>
      <c r="DE146" s="90"/>
      <c r="DF146" s="90"/>
      <c r="DO146" s="21"/>
      <c r="DP146" s="21"/>
      <c r="DQ146" s="468"/>
      <c r="DR146" s="468"/>
      <c r="DS146" s="468"/>
      <c r="DT146" s="468"/>
      <c r="DU146" s="468"/>
      <c r="DV146" s="30"/>
      <c r="DX146" s="115"/>
      <c r="DY146" s="115"/>
    </row>
    <row r="147" spans="1:129" ht="19.5" customHeight="1" thickBot="1">
      <c r="A147" s="210"/>
      <c r="B147" s="249"/>
      <c r="C147" s="2616"/>
      <c r="D147" s="2617"/>
      <c r="E147" s="2617"/>
      <c r="F147" s="2617"/>
      <c r="G147" s="2617"/>
      <c r="H147" s="2617"/>
      <c r="I147" s="2618"/>
      <c r="J147" s="2745" t="s">
        <v>984</v>
      </c>
      <c r="K147" s="2746"/>
      <c r="L147" s="2746"/>
      <c r="M147" s="2746"/>
      <c r="N147" s="2746"/>
      <c r="O147" s="2746"/>
      <c r="P147" s="2746"/>
      <c r="Q147" s="2746"/>
      <c r="R147" s="2746"/>
      <c r="S147" s="2746"/>
      <c r="T147" s="2746"/>
      <c r="U147" s="2747"/>
      <c r="V147" s="2748"/>
      <c r="W147" s="2749"/>
      <c r="X147" s="2749"/>
      <c r="Y147" s="2749"/>
      <c r="Z147" s="2749"/>
      <c r="AA147" s="499"/>
      <c r="AB147" s="500"/>
      <c r="AC147" s="500"/>
      <c r="AD147" s="313"/>
      <c r="AE147" s="2750">
        <f>SUM(AE126:AJ146)</f>
        <v>102800</v>
      </c>
      <c r="AF147" s="2750"/>
      <c r="AG147" s="2750"/>
      <c r="AH147" s="2750"/>
      <c r="AI147" s="2750"/>
      <c r="AJ147" s="2751"/>
      <c r="AK147" s="2638"/>
      <c r="AL147" s="2639"/>
      <c r="AM147" s="2639"/>
      <c r="AN147" s="2639"/>
      <c r="AO147" s="2639"/>
      <c r="AP147" s="2639"/>
      <c r="AQ147" s="2639"/>
      <c r="AR147" s="2639"/>
      <c r="AS147" s="2639"/>
      <c r="AT147" s="2637"/>
      <c r="AU147" s="234"/>
      <c r="BY147" s="21"/>
      <c r="BZ147" s="22"/>
      <c r="CA147" s="121"/>
      <c r="CB147" s="204"/>
      <c r="CC147" s="22"/>
      <c r="CD147" s="145"/>
      <c r="CE147" s="145"/>
      <c r="CF147" s="145"/>
      <c r="CG147" s="30"/>
      <c r="CH147" s="65" t="s">
        <v>142</v>
      </c>
      <c r="CI147" s="112"/>
      <c r="CJ147" s="112"/>
      <c r="CK147" s="112"/>
      <c r="CL147" s="112"/>
      <c r="CM147" s="112"/>
      <c r="CN147" s="112"/>
      <c r="CO147" s="113" t="s">
        <v>534</v>
      </c>
      <c r="CP147" s="114"/>
      <c r="CQ147" s="129"/>
      <c r="CR147" s="61"/>
      <c r="CS147" s="61"/>
      <c r="CT147" s="61"/>
      <c r="CU147" s="61"/>
      <c r="CV147" s="60"/>
      <c r="CW147" s="55"/>
      <c r="CX147" s="55"/>
      <c r="CY147" s="56"/>
      <c r="CZ147" s="44"/>
      <c r="DA147" s="56"/>
      <c r="DC147" s="43"/>
      <c r="DD147" s="43"/>
      <c r="DE147" s="90"/>
      <c r="DF147" s="90"/>
      <c r="DO147" s="21"/>
      <c r="DP147" s="21"/>
      <c r="DQ147" s="468"/>
      <c r="DR147" s="468"/>
      <c r="DS147" s="468"/>
      <c r="DT147" s="468"/>
      <c r="DU147" s="468"/>
      <c r="DV147" s="30"/>
      <c r="DX147" s="115"/>
      <c r="DY147" s="115"/>
    </row>
    <row r="148" spans="1:129" ht="19.5" customHeight="1" thickTop="1" thickBot="1">
      <c r="A148" s="210"/>
      <c r="B148" s="249"/>
      <c r="C148" s="242"/>
      <c r="D148" s="243"/>
      <c r="E148" s="243"/>
      <c r="F148" s="243"/>
      <c r="G148" s="243"/>
      <c r="H148" s="243"/>
      <c r="I148" s="903"/>
      <c r="J148" s="243"/>
      <c r="K148" s="243"/>
      <c r="L148" s="232"/>
      <c r="M148" s="232"/>
      <c r="N148" s="232"/>
      <c r="O148" s="233"/>
      <c r="P148" s="233"/>
      <c r="Q148" s="216"/>
      <c r="R148" s="216"/>
      <c r="S148" s="216"/>
      <c r="T148" s="216"/>
      <c r="U148" s="216"/>
      <c r="V148" s="2784" t="str">
        <f>IF(AND(AV18=TRUE,AV126="NG"),"申込まない項目についてもゼロをご入力ください","")</f>
        <v/>
      </c>
      <c r="W148" s="2784"/>
      <c r="X148" s="2784"/>
      <c r="Y148" s="2784"/>
      <c r="Z148" s="2784"/>
      <c r="AA148" s="2784"/>
      <c r="AB148" s="2784"/>
      <c r="AC148" s="2784"/>
      <c r="AD148" s="2784"/>
      <c r="AE148" s="2784"/>
      <c r="AF148" s="2784"/>
      <c r="AG148" s="2784"/>
      <c r="AH148" s="2784"/>
      <c r="AI148" s="2784"/>
      <c r="AJ148" s="2784"/>
      <c r="AK148" s="2752" t="s">
        <v>1055</v>
      </c>
      <c r="AL148" s="2753"/>
      <c r="AM148" s="2753"/>
      <c r="AN148" s="2753"/>
      <c r="AO148" s="2753"/>
      <c r="AP148" s="2754">
        <f>記入シート2!AP148</f>
        <v>11013</v>
      </c>
      <c r="AQ148" s="2754"/>
      <c r="AR148" s="2754"/>
      <c r="AS148" s="1078"/>
      <c r="AT148" s="1079"/>
      <c r="AU148" s="234"/>
      <c r="AW148" s="201"/>
      <c r="BY148" s="21"/>
      <c r="BZ148" s="22"/>
      <c r="CA148" s="121"/>
      <c r="CB148" s="204"/>
      <c r="CC148" s="22"/>
      <c r="CD148" s="145"/>
      <c r="CE148" s="145"/>
      <c r="CF148" s="145"/>
      <c r="CG148" s="30"/>
      <c r="CH148" s="65" t="s">
        <v>140</v>
      </c>
      <c r="CI148" s="112"/>
      <c r="CJ148" s="112"/>
      <c r="CK148" s="112"/>
      <c r="CL148" s="112"/>
      <c r="CM148" s="112"/>
      <c r="CN148" s="112"/>
      <c r="CO148" s="113" t="s">
        <v>535</v>
      </c>
      <c r="CP148" s="114"/>
      <c r="CQ148" s="129"/>
      <c r="CR148" s="61"/>
      <c r="CS148" s="61"/>
      <c r="CT148" s="61"/>
      <c r="CU148" s="61"/>
      <c r="CV148" s="60"/>
      <c r="CW148" s="55"/>
      <c r="CX148" s="55"/>
      <c r="CY148" s="56"/>
      <c r="CZ148" s="44"/>
      <c r="DA148" s="56"/>
      <c r="DC148" s="43"/>
      <c r="DD148" s="43"/>
      <c r="DE148" s="90"/>
      <c r="DF148" s="90"/>
      <c r="DO148" s="21"/>
      <c r="DP148" s="24"/>
      <c r="DQ148" s="202"/>
      <c r="DR148" s="202"/>
      <c r="DS148" s="202"/>
      <c r="DT148" s="202"/>
      <c r="DU148" s="202"/>
      <c r="DV148" s="30"/>
      <c r="DW148" s="24"/>
      <c r="DX148" s="115"/>
      <c r="DY148" s="115"/>
    </row>
    <row r="149" spans="1:129" ht="19.5" customHeight="1" thickTop="1">
      <c r="A149" s="210"/>
      <c r="B149" s="249"/>
      <c r="C149" s="2137" t="s">
        <v>858</v>
      </c>
      <c r="D149" s="2759"/>
      <c r="E149" s="2759"/>
      <c r="F149" s="2759"/>
      <c r="G149" s="2759"/>
      <c r="H149" s="2759"/>
      <c r="I149" s="2759"/>
      <c r="J149" s="2760"/>
      <c r="K149" s="2767"/>
      <c r="L149" s="2767"/>
      <c r="M149" s="2770" t="s">
        <v>1001</v>
      </c>
      <c r="N149" s="2651"/>
      <c r="O149" s="2651"/>
      <c r="P149" s="2651"/>
      <c r="Q149" s="2651"/>
      <c r="R149" s="2651"/>
      <c r="S149" s="2651"/>
      <c r="T149" s="2651"/>
      <c r="U149" s="2651"/>
      <c r="V149" s="2771"/>
      <c r="W149" s="2651"/>
      <c r="X149" s="2651"/>
      <c r="Y149" s="2774" t="s">
        <v>861</v>
      </c>
      <c r="Z149" s="2775"/>
      <c r="AA149" s="2775"/>
      <c r="AB149" s="2775"/>
      <c r="AC149" s="2775"/>
      <c r="AD149" s="2775"/>
      <c r="AE149" s="2775"/>
      <c r="AF149" s="2775"/>
      <c r="AG149" s="2775"/>
      <c r="AH149" s="2776"/>
      <c r="AI149" s="2651"/>
      <c r="AJ149" s="2651"/>
      <c r="AK149" s="2755" t="s">
        <v>3585</v>
      </c>
      <c r="AL149" s="2652"/>
      <c r="AM149" s="2652"/>
      <c r="AN149" s="2652"/>
      <c r="AO149" s="2652"/>
      <c r="AP149" s="2652"/>
      <c r="AQ149" s="2652"/>
      <c r="AR149" s="2652"/>
      <c r="AS149" s="2652"/>
      <c r="AT149" s="2756"/>
      <c r="AU149" s="234"/>
      <c r="BZ149" s="14"/>
      <c r="CA149" s="121"/>
      <c r="CB149" s="204"/>
      <c r="CC149" s="22"/>
      <c r="CD149" s="145"/>
      <c r="CE149" s="145"/>
      <c r="CF149" s="145"/>
      <c r="CG149" s="30"/>
      <c r="CH149" s="65" t="s">
        <v>138</v>
      </c>
      <c r="CI149" s="112"/>
      <c r="CJ149" s="112"/>
      <c r="CK149" s="112"/>
      <c r="CL149" s="112"/>
      <c r="CM149" s="112"/>
      <c r="CN149" s="112"/>
      <c r="CO149" s="113" t="s">
        <v>536</v>
      </c>
      <c r="CP149" s="114"/>
      <c r="CQ149" s="129"/>
      <c r="CR149" s="61"/>
      <c r="CS149" s="61"/>
      <c r="CT149" s="61"/>
      <c r="CU149" s="61"/>
      <c r="CV149" s="60"/>
      <c r="CW149" s="55"/>
      <c r="CX149" s="55"/>
      <c r="CY149" s="56"/>
      <c r="CZ149" s="44"/>
      <c r="DA149" s="56"/>
      <c r="DC149" s="43"/>
      <c r="DD149" s="43"/>
      <c r="DE149" s="90"/>
      <c r="DF149" s="90"/>
      <c r="DO149" s="21"/>
      <c r="DP149" s="24"/>
      <c r="DQ149" s="202"/>
      <c r="DR149" s="202"/>
      <c r="DS149" s="202"/>
      <c r="DT149" s="202"/>
      <c r="DU149" s="202"/>
      <c r="DV149" s="30"/>
      <c r="DW149" s="24"/>
      <c r="DX149" s="115"/>
      <c r="DY149" s="115"/>
    </row>
    <row r="150" spans="1:129" ht="19.5" customHeight="1">
      <c r="A150" s="210"/>
      <c r="B150" s="249"/>
      <c r="C150" s="2761"/>
      <c r="D150" s="2762"/>
      <c r="E150" s="2762"/>
      <c r="F150" s="2762"/>
      <c r="G150" s="2762"/>
      <c r="H150" s="2762"/>
      <c r="I150" s="2762"/>
      <c r="J150" s="2763"/>
      <c r="K150" s="2768"/>
      <c r="L150" s="2768"/>
      <c r="M150" s="2755"/>
      <c r="N150" s="2652"/>
      <c r="O150" s="2652"/>
      <c r="P150" s="2652"/>
      <c r="Q150" s="2652"/>
      <c r="R150" s="2652"/>
      <c r="S150" s="2652"/>
      <c r="T150" s="2652"/>
      <c r="U150" s="2652"/>
      <c r="V150" s="2772"/>
      <c r="W150" s="2652"/>
      <c r="X150" s="2652"/>
      <c r="Y150" s="2777"/>
      <c r="Z150" s="2778"/>
      <c r="AA150" s="2778"/>
      <c r="AB150" s="2778"/>
      <c r="AC150" s="2778"/>
      <c r="AD150" s="2778"/>
      <c r="AE150" s="2778"/>
      <c r="AF150" s="2778"/>
      <c r="AG150" s="2778"/>
      <c r="AH150" s="2779"/>
      <c r="AI150" s="2652"/>
      <c r="AJ150" s="2652"/>
      <c r="AK150" s="2755"/>
      <c r="AL150" s="2652"/>
      <c r="AM150" s="2652"/>
      <c r="AN150" s="2652"/>
      <c r="AO150" s="2652"/>
      <c r="AP150" s="2652"/>
      <c r="AQ150" s="2652"/>
      <c r="AR150" s="2652"/>
      <c r="AS150" s="2652"/>
      <c r="AT150" s="2756"/>
      <c r="AU150" s="234"/>
      <c r="AV150" s="199">
        <v>1</v>
      </c>
      <c r="BZ150" s="14"/>
      <c r="CA150" s="121"/>
      <c r="CB150" s="204"/>
      <c r="CC150" s="22"/>
      <c r="CD150" s="145"/>
      <c r="CE150" s="145"/>
      <c r="CF150" s="145"/>
      <c r="CG150" s="30"/>
      <c r="CH150" s="65" t="s">
        <v>135</v>
      </c>
      <c r="CI150" s="112"/>
      <c r="CJ150" s="112"/>
      <c r="CK150" s="112"/>
      <c r="CL150" s="112"/>
      <c r="CM150" s="112"/>
      <c r="CN150" s="112"/>
      <c r="CO150" s="113" t="s">
        <v>537</v>
      </c>
      <c r="CP150" s="114"/>
      <c r="CQ150" s="129"/>
      <c r="CR150" s="61"/>
      <c r="CS150" s="61"/>
      <c r="CT150" s="61"/>
      <c r="CU150" s="61"/>
      <c r="CV150" s="60"/>
      <c r="CW150" s="55"/>
      <c r="CX150" s="55"/>
      <c r="CY150" s="56"/>
      <c r="CZ150" s="44"/>
      <c r="DA150" s="56"/>
      <c r="DC150" s="43"/>
      <c r="DD150" s="43"/>
      <c r="DE150" s="90"/>
      <c r="DF150" s="90"/>
      <c r="DO150" s="21"/>
      <c r="DV150" s="30"/>
      <c r="DW150" s="24"/>
      <c r="DX150" s="115"/>
      <c r="DY150" s="115"/>
    </row>
    <row r="151" spans="1:129" ht="19.5" customHeight="1">
      <c r="A151" s="210"/>
      <c r="B151" s="249"/>
      <c r="C151" s="2764"/>
      <c r="D151" s="2765"/>
      <c r="E151" s="2765"/>
      <c r="F151" s="2765"/>
      <c r="G151" s="2765"/>
      <c r="H151" s="2765"/>
      <c r="I151" s="2765"/>
      <c r="J151" s="2766"/>
      <c r="K151" s="2769"/>
      <c r="L151" s="2769"/>
      <c r="M151" s="2757"/>
      <c r="N151" s="2653"/>
      <c r="O151" s="2653"/>
      <c r="P151" s="2653"/>
      <c r="Q151" s="2653"/>
      <c r="R151" s="2653"/>
      <c r="S151" s="2653"/>
      <c r="T151" s="2653"/>
      <c r="U151" s="2653"/>
      <c r="V151" s="2773"/>
      <c r="W151" s="2653"/>
      <c r="X151" s="2653"/>
      <c r="Y151" s="2780"/>
      <c r="Z151" s="2781"/>
      <c r="AA151" s="2781"/>
      <c r="AB151" s="2781"/>
      <c r="AC151" s="2781"/>
      <c r="AD151" s="2781"/>
      <c r="AE151" s="2781"/>
      <c r="AF151" s="2781"/>
      <c r="AG151" s="2781"/>
      <c r="AH151" s="2782"/>
      <c r="AI151" s="2653"/>
      <c r="AJ151" s="2653"/>
      <c r="AK151" s="2757"/>
      <c r="AL151" s="2653"/>
      <c r="AM151" s="2653"/>
      <c r="AN151" s="2653"/>
      <c r="AO151" s="2653"/>
      <c r="AP151" s="2653"/>
      <c r="AQ151" s="2653"/>
      <c r="AR151" s="2653"/>
      <c r="AS151" s="2653"/>
      <c r="AT151" s="2758"/>
      <c r="AU151" s="234"/>
      <c r="BZ151" s="14"/>
      <c r="CA151" s="121"/>
      <c r="CB151" s="204"/>
      <c r="CC151" s="22"/>
      <c r="CD151" s="145"/>
      <c r="CE151" s="145"/>
      <c r="CF151" s="145"/>
      <c r="CG151" s="30"/>
      <c r="CH151" s="65" t="s">
        <v>639</v>
      </c>
      <c r="CI151" s="112"/>
      <c r="CJ151" s="112"/>
      <c r="CK151" s="112"/>
      <c r="CL151" s="112"/>
      <c r="CM151" s="112"/>
      <c r="CN151" s="112"/>
      <c r="CO151" s="113" t="s">
        <v>538</v>
      </c>
      <c r="CP151" s="114"/>
      <c r="CQ151" s="129"/>
      <c r="CR151" s="61"/>
      <c r="CS151" s="61"/>
      <c r="CT151" s="61"/>
      <c r="CU151" s="61"/>
      <c r="CV151" s="60"/>
      <c r="CX151" s="55"/>
      <c r="CY151" s="56"/>
      <c r="CZ151" s="44"/>
      <c r="DA151" s="56"/>
      <c r="DC151" s="43"/>
      <c r="DD151" s="43"/>
      <c r="DE151" s="90"/>
      <c r="DF151" s="90"/>
      <c r="DO151" s="24"/>
      <c r="DV151" s="30"/>
      <c r="DW151" s="24"/>
      <c r="DX151" s="115"/>
      <c r="DY151" s="115"/>
    </row>
    <row r="152" spans="1:129" ht="19.5" customHeight="1">
      <c r="A152" s="210"/>
      <c r="B152" s="249"/>
      <c r="C152" s="2663" t="s">
        <v>3580</v>
      </c>
      <c r="D152" s="2664"/>
      <c r="E152" s="2664"/>
      <c r="F152" s="2664"/>
      <c r="G152" s="2664"/>
      <c r="H152" s="2664"/>
      <c r="I152" s="2667" t="s">
        <v>3581</v>
      </c>
      <c r="J152" s="2668"/>
      <c r="K152" s="2671"/>
      <c r="L152" s="2671"/>
      <c r="M152" s="2671"/>
      <c r="N152" s="2671"/>
      <c r="O152" s="2671"/>
      <c r="P152" s="2671"/>
      <c r="Q152" s="2671"/>
      <c r="R152" s="2671"/>
      <c r="S152" s="2671"/>
      <c r="T152" s="2671"/>
      <c r="U152" s="2671"/>
      <c r="V152" s="2671"/>
      <c r="W152" s="2671"/>
      <c r="X152" s="2671"/>
      <c r="Y152" s="2673" t="s">
        <v>3582</v>
      </c>
      <c r="Z152" s="2674"/>
      <c r="AA152" s="899" t="s">
        <v>3583</v>
      </c>
      <c r="AB152" s="2677"/>
      <c r="AC152" s="2677"/>
      <c r="AD152" s="899" t="s">
        <v>991</v>
      </c>
      <c r="AE152" s="2677"/>
      <c r="AF152" s="2677"/>
      <c r="AG152" s="2678" t="s">
        <v>3584</v>
      </c>
      <c r="AH152" s="2679"/>
      <c r="AI152" s="2679"/>
      <c r="AJ152" s="2680"/>
      <c r="AK152" s="1415"/>
      <c r="AL152" s="1415"/>
      <c r="AM152" s="1415"/>
      <c r="AN152" s="1415"/>
      <c r="AO152" s="1415"/>
      <c r="AP152" s="1415"/>
      <c r="AQ152" s="1415"/>
      <c r="AR152" s="1415"/>
      <c r="AS152" s="1415"/>
      <c r="AT152" s="2681"/>
      <c r="AU152" s="234"/>
      <c r="AX152" s="201"/>
      <c r="BZ152" s="14"/>
      <c r="CA152" s="121"/>
      <c r="CB152" s="204"/>
      <c r="CC152" s="22"/>
      <c r="CD152" s="145"/>
      <c r="CE152" s="145"/>
      <c r="CF152" s="145"/>
      <c r="CG152" s="30"/>
      <c r="CH152" s="65" t="s">
        <v>131</v>
      </c>
      <c r="CI152" s="112"/>
      <c r="CJ152" s="112"/>
      <c r="CK152" s="112"/>
      <c r="CL152" s="112"/>
      <c r="CM152" s="112"/>
      <c r="CN152" s="112"/>
      <c r="CO152" s="113" t="s">
        <v>635</v>
      </c>
      <c r="CP152" s="114"/>
      <c r="CQ152" s="129"/>
      <c r="CR152" s="61"/>
      <c r="CS152" s="61"/>
      <c r="CT152" s="61"/>
      <c r="CU152" s="61"/>
      <c r="CV152" s="60"/>
      <c r="CX152" s="55"/>
      <c r="CY152" s="56"/>
      <c r="CZ152" s="44"/>
      <c r="DA152" s="56"/>
      <c r="DC152" s="43"/>
      <c r="DD152" s="43"/>
      <c r="DE152" s="90"/>
      <c r="DF152" s="90"/>
      <c r="DO152" s="24"/>
      <c r="DP152" s="24"/>
      <c r="DQ152" s="202"/>
      <c r="DR152" s="202"/>
      <c r="DS152" s="202"/>
      <c r="DT152" s="202"/>
      <c r="DU152" s="202"/>
      <c r="DV152" s="30"/>
      <c r="DW152" s="24"/>
      <c r="DX152" s="115"/>
      <c r="DY152" s="115"/>
    </row>
    <row r="153" spans="1:129" ht="19.5" customHeight="1" thickBot="1">
      <c r="A153" s="210"/>
      <c r="B153" s="249"/>
      <c r="C153" s="2665"/>
      <c r="D153" s="2666"/>
      <c r="E153" s="2666"/>
      <c r="F153" s="2666"/>
      <c r="G153" s="2666"/>
      <c r="H153" s="2666"/>
      <c r="I153" s="2669"/>
      <c r="J153" s="2670"/>
      <c r="K153" s="2672"/>
      <c r="L153" s="2672"/>
      <c r="M153" s="2672"/>
      <c r="N153" s="2672"/>
      <c r="O153" s="2672"/>
      <c r="P153" s="2672"/>
      <c r="Q153" s="2672"/>
      <c r="R153" s="2672"/>
      <c r="S153" s="2672"/>
      <c r="T153" s="2672"/>
      <c r="U153" s="2672"/>
      <c r="V153" s="2672"/>
      <c r="W153" s="2672"/>
      <c r="X153" s="2672"/>
      <c r="Y153" s="2675"/>
      <c r="Z153" s="2676"/>
      <c r="AA153" s="2682"/>
      <c r="AB153" s="2682"/>
      <c r="AC153" s="2682"/>
      <c r="AD153" s="2682"/>
      <c r="AE153" s="2682"/>
      <c r="AF153" s="2682"/>
      <c r="AG153" s="2682"/>
      <c r="AH153" s="2682"/>
      <c r="AI153" s="2682"/>
      <c r="AJ153" s="2682"/>
      <c r="AK153" s="2682"/>
      <c r="AL153" s="2682"/>
      <c r="AM153" s="2682"/>
      <c r="AN153" s="2682"/>
      <c r="AO153" s="2682"/>
      <c r="AP153" s="2682"/>
      <c r="AQ153" s="2682"/>
      <c r="AR153" s="2682"/>
      <c r="AS153" s="2682"/>
      <c r="AT153" s="2683"/>
      <c r="AU153" s="234"/>
      <c r="AX153" s="201"/>
      <c r="BZ153" s="14"/>
      <c r="CA153" s="121"/>
      <c r="CB153" s="204"/>
      <c r="CC153" s="22"/>
      <c r="CD153" s="145"/>
      <c r="CE153" s="145"/>
      <c r="CF153" s="145"/>
      <c r="CG153" s="30"/>
      <c r="CH153" s="65" t="s">
        <v>128</v>
      </c>
      <c r="CI153" s="112"/>
      <c r="CJ153" s="112"/>
      <c r="CK153" s="112"/>
      <c r="CL153" s="112"/>
      <c r="CM153" s="112"/>
      <c r="CN153" s="112"/>
      <c r="CO153" s="113" t="s">
        <v>539</v>
      </c>
      <c r="CP153" s="114"/>
      <c r="CQ153" s="129"/>
      <c r="CR153" s="61"/>
      <c r="CS153" s="61"/>
      <c r="CT153" s="61"/>
      <c r="CU153" s="61"/>
      <c r="CV153" s="60"/>
      <c r="CY153" s="56"/>
      <c r="DC153" s="43"/>
      <c r="DE153" s="90"/>
      <c r="DF153" s="90"/>
      <c r="DP153" s="21"/>
      <c r="DQ153" s="468"/>
      <c r="DR153" s="468"/>
      <c r="DS153" s="468"/>
      <c r="DT153" s="468"/>
      <c r="DU153" s="468"/>
      <c r="DV153" s="39"/>
      <c r="DX153" s="115"/>
      <c r="DY153" s="115"/>
    </row>
    <row r="154" spans="1:129" ht="19.5" customHeight="1">
      <c r="A154" s="210"/>
      <c r="B154" s="249"/>
      <c r="C154" s="1923" t="s">
        <v>4350</v>
      </c>
      <c r="D154" s="1924"/>
      <c r="E154" s="1924"/>
      <c r="F154" s="1924"/>
      <c r="G154" s="1924"/>
      <c r="H154" s="1924"/>
      <c r="I154" s="1924"/>
      <c r="J154" s="1925"/>
      <c r="K154" s="2649" t="s">
        <v>4351</v>
      </c>
      <c r="L154" s="2649"/>
      <c r="M154" s="2649"/>
      <c r="N154" s="2649"/>
      <c r="O154" s="2649"/>
      <c r="P154" s="2650"/>
      <c r="Q154" s="1132"/>
      <c r="R154" s="1132"/>
      <c r="S154" s="1881" t="s">
        <v>4359</v>
      </c>
      <c r="T154" s="1881"/>
      <c r="U154" s="1881"/>
      <c r="V154" s="1881"/>
      <c r="W154" s="1132"/>
      <c r="X154" s="1132"/>
      <c r="Y154" s="1881" t="s">
        <v>4360</v>
      </c>
      <c r="Z154" s="1881"/>
      <c r="AA154" s="1881"/>
      <c r="AB154" s="1881"/>
      <c r="AC154" s="1131"/>
      <c r="AD154" s="1132"/>
      <c r="AE154" s="1132"/>
      <c r="AF154" s="1132"/>
      <c r="AG154" s="1132"/>
      <c r="AH154" s="1132"/>
      <c r="AI154" s="1132"/>
      <c r="AJ154" s="1132"/>
      <c r="AK154" s="1132"/>
      <c r="AL154" s="1132"/>
      <c r="AM154" s="1132"/>
      <c r="AN154" s="1132"/>
      <c r="AO154" s="1132"/>
      <c r="AP154" s="1132"/>
      <c r="AQ154" s="1132"/>
      <c r="AR154" s="1132"/>
      <c r="AS154" s="1132"/>
      <c r="AT154" s="1135"/>
      <c r="AU154" s="234"/>
      <c r="AV154" s="199">
        <v>2</v>
      </c>
      <c r="AX154" s="201"/>
      <c r="BZ154" s="14"/>
      <c r="CA154" s="121"/>
      <c r="CB154" s="204"/>
      <c r="CC154" s="22"/>
      <c r="CD154" s="145"/>
      <c r="CE154" s="145"/>
      <c r="CF154" s="145"/>
      <c r="CG154" s="30"/>
      <c r="CH154" s="65" t="s">
        <v>125</v>
      </c>
      <c r="CI154" s="112"/>
      <c r="CJ154" s="112"/>
      <c r="CK154" s="112"/>
      <c r="CL154" s="112"/>
      <c r="CM154" s="112"/>
      <c r="CN154" s="112"/>
      <c r="CO154" s="113" t="s">
        <v>540</v>
      </c>
      <c r="CP154" s="114"/>
      <c r="CQ154" s="129"/>
      <c r="CR154" s="61"/>
      <c r="CS154" s="61"/>
      <c r="CT154" s="61"/>
      <c r="CU154" s="61"/>
      <c r="CV154" s="60"/>
      <c r="CY154" s="56"/>
      <c r="DC154" s="43"/>
      <c r="DE154" s="90"/>
      <c r="DF154" s="90"/>
      <c r="DP154" s="21"/>
      <c r="DQ154" s="468"/>
      <c r="DR154" s="468"/>
      <c r="DS154" s="468"/>
      <c r="DT154" s="468"/>
      <c r="DU154" s="468"/>
      <c r="DV154" s="39"/>
      <c r="DX154" s="115"/>
      <c r="DY154" s="115"/>
    </row>
    <row r="155" spans="1:129" ht="19.5" customHeight="1">
      <c r="A155" s="210"/>
      <c r="B155" s="249"/>
      <c r="C155" s="2661"/>
      <c r="D155" s="2488"/>
      <c r="E155" s="2488"/>
      <c r="F155" s="2488"/>
      <c r="G155" s="2488"/>
      <c r="H155" s="2488"/>
      <c r="I155" s="2488"/>
      <c r="J155" s="2662"/>
      <c r="K155" s="2684" t="s">
        <v>4352</v>
      </c>
      <c r="L155" s="2684"/>
      <c r="M155" s="2684"/>
      <c r="N155" s="2684"/>
      <c r="O155" s="2684"/>
      <c r="P155" s="2685"/>
      <c r="Q155" s="2686" t="s">
        <v>4435</v>
      </c>
      <c r="R155" s="2687"/>
      <c r="S155" s="2687"/>
      <c r="T155" s="2687"/>
      <c r="U155" s="2687"/>
      <c r="V155" s="2687"/>
      <c r="W155" s="2687"/>
      <c r="X155" s="2687"/>
      <c r="Y155" s="2687"/>
      <c r="Z155" s="2687"/>
      <c r="AA155" s="2687"/>
      <c r="AB155" s="2687"/>
      <c r="AC155" s="2687"/>
      <c r="AD155" s="2687"/>
      <c r="AE155" s="2687"/>
      <c r="AF155" s="2687"/>
      <c r="AG155" s="2687"/>
      <c r="AH155" s="2687"/>
      <c r="AI155" s="1133"/>
      <c r="AJ155" s="1137"/>
      <c r="AK155" s="1137"/>
      <c r="AL155" s="1137"/>
      <c r="AM155" s="1137"/>
      <c r="AN155" s="1137"/>
      <c r="AO155" s="1137"/>
      <c r="AP155" s="1137"/>
      <c r="AQ155" s="1137"/>
      <c r="AR155" s="1137"/>
      <c r="AS155" s="1137"/>
      <c r="AT155" s="1138"/>
      <c r="AU155" s="234"/>
      <c r="AV155" s="651" t="str">
        <f>IF(AV57=TRUE,IF(AND(Q155&lt;&gt;"",Q157&lt;&gt;"",Q158&lt;&gt;"",Q159&lt;&gt;"",Q160&lt;&gt;"",Q161&lt;&gt;"",AE161&lt;&gt;"",Q162&lt;&gt;"",Q163&lt;&gt;""),"OK","NG"),"OK")</f>
        <v>OK</v>
      </c>
      <c r="AW155" s="618" t="s">
        <v>2077</v>
      </c>
      <c r="AX155" s="201"/>
      <c r="BZ155" s="14"/>
      <c r="CA155" s="121"/>
      <c r="CB155" s="204"/>
      <c r="CC155" s="22"/>
      <c r="CD155" s="145"/>
      <c r="CE155" s="145"/>
      <c r="CF155" s="145"/>
      <c r="CG155" s="30"/>
      <c r="CH155" s="65" t="s">
        <v>124</v>
      </c>
      <c r="CI155" s="112"/>
      <c r="CJ155" s="112"/>
      <c r="CK155" s="112"/>
      <c r="CL155" s="112"/>
      <c r="CM155" s="112"/>
      <c r="CN155" s="112"/>
      <c r="CO155" s="113" t="s">
        <v>541</v>
      </c>
      <c r="CP155" s="114"/>
      <c r="CQ155" s="129"/>
      <c r="CR155" s="61"/>
      <c r="CS155" s="61"/>
      <c r="CT155" s="61"/>
      <c r="CU155" s="61"/>
      <c r="CV155" s="60"/>
      <c r="DE155" s="90"/>
      <c r="DF155" s="90"/>
      <c r="DO155" s="24"/>
      <c r="DP155" s="21"/>
      <c r="DQ155" s="468"/>
      <c r="DR155" s="468"/>
      <c r="DS155" s="468"/>
      <c r="DT155" s="468"/>
      <c r="DU155" s="468"/>
      <c r="DV155" s="39"/>
      <c r="DX155" s="115"/>
      <c r="DY155" s="115"/>
    </row>
    <row r="156" spans="1:129" ht="19.5" customHeight="1">
      <c r="A156" s="210"/>
      <c r="B156" s="249"/>
      <c r="C156" s="2661"/>
      <c r="D156" s="2488"/>
      <c r="E156" s="2488"/>
      <c r="F156" s="2488"/>
      <c r="G156" s="2488"/>
      <c r="H156" s="2488"/>
      <c r="I156" s="2488"/>
      <c r="J156" s="2662"/>
      <c r="K156" s="2684" t="s">
        <v>4353</v>
      </c>
      <c r="L156" s="2684"/>
      <c r="M156" s="2684"/>
      <c r="N156" s="2684"/>
      <c r="O156" s="2684"/>
      <c r="P156" s="2685"/>
      <c r="Q156" s="1134"/>
      <c r="R156" s="1134"/>
      <c r="S156" s="2698" t="s">
        <v>4363</v>
      </c>
      <c r="T156" s="2698"/>
      <c r="U156" s="2698"/>
      <c r="V156" s="2698"/>
      <c r="W156" s="1134"/>
      <c r="X156" s="1134"/>
      <c r="Y156" s="2698" t="s">
        <v>4364</v>
      </c>
      <c r="Z156" s="2698"/>
      <c r="AA156" s="2698"/>
      <c r="AB156" s="2699"/>
      <c r="AC156" s="2734" t="s">
        <v>4354</v>
      </c>
      <c r="AD156" s="2698"/>
      <c r="AE156" s="2698"/>
      <c r="AF156" s="2698"/>
      <c r="AG156" s="2698"/>
      <c r="AH156" s="2735"/>
      <c r="AI156" s="1134"/>
      <c r="AJ156" s="1134"/>
      <c r="AK156" s="2698" t="s">
        <v>4372</v>
      </c>
      <c r="AL156" s="2698"/>
      <c r="AM156" s="2698"/>
      <c r="AN156" s="2698"/>
      <c r="AO156" s="1134"/>
      <c r="AP156" s="1134"/>
      <c r="AQ156" s="2698" t="s">
        <v>4371</v>
      </c>
      <c r="AR156" s="2698"/>
      <c r="AS156" s="2698"/>
      <c r="AT156" s="2783"/>
      <c r="AU156" s="234"/>
      <c r="AV156" s="199">
        <v>1</v>
      </c>
      <c r="AW156" s="200">
        <v>2</v>
      </c>
      <c r="AX156" s="201"/>
      <c r="BZ156" s="14"/>
      <c r="CA156" s="121"/>
      <c r="CB156" s="204"/>
      <c r="CC156" s="22"/>
      <c r="CD156" s="145"/>
      <c r="CE156" s="145"/>
      <c r="CF156" s="145"/>
      <c r="CG156" s="30"/>
      <c r="CH156" s="65" t="s">
        <v>119</v>
      </c>
      <c r="CI156" s="112"/>
      <c r="CJ156" s="112"/>
      <c r="CK156" s="112"/>
      <c r="CL156" s="112"/>
      <c r="CM156" s="112"/>
      <c r="CN156" s="112"/>
      <c r="CO156" s="113" t="s">
        <v>542</v>
      </c>
      <c r="CP156" s="114"/>
      <c r="CQ156" s="129"/>
      <c r="CR156" s="61"/>
      <c r="CS156" s="61"/>
      <c r="CT156" s="61"/>
      <c r="CU156" s="61"/>
      <c r="CV156" s="60"/>
      <c r="DE156" s="90"/>
      <c r="DF156" s="90"/>
      <c r="DO156" s="21"/>
      <c r="DP156" s="21"/>
      <c r="DQ156" s="468"/>
      <c r="DR156" s="468"/>
      <c r="DS156" s="468"/>
      <c r="DT156" s="468"/>
      <c r="DU156" s="468"/>
      <c r="DV156" s="31"/>
      <c r="DX156" s="115"/>
      <c r="DY156" s="115"/>
    </row>
    <row r="157" spans="1:129" ht="19.5" customHeight="1">
      <c r="A157" s="210"/>
      <c r="B157" s="249"/>
      <c r="C157" s="2661"/>
      <c r="D157" s="2488"/>
      <c r="E157" s="2488"/>
      <c r="F157" s="2488"/>
      <c r="G157" s="2488"/>
      <c r="H157" s="2488"/>
      <c r="I157" s="2488"/>
      <c r="J157" s="2662"/>
      <c r="K157" s="2684" t="s">
        <v>4355</v>
      </c>
      <c r="L157" s="2684"/>
      <c r="M157" s="2684"/>
      <c r="N157" s="2684"/>
      <c r="O157" s="2684"/>
      <c r="P157" s="2685"/>
      <c r="Q157" s="1134"/>
      <c r="R157" s="1134"/>
      <c r="S157" s="2698" t="s">
        <v>4361</v>
      </c>
      <c r="T157" s="2698"/>
      <c r="U157" s="2698"/>
      <c r="V157" s="2698"/>
      <c r="W157" s="1134"/>
      <c r="X157" s="1134"/>
      <c r="Y157" s="2698" t="s">
        <v>4362</v>
      </c>
      <c r="Z157" s="2698"/>
      <c r="AA157" s="2698"/>
      <c r="AB157" s="2699"/>
      <c r="AC157" s="1133"/>
      <c r="AD157" s="1134"/>
      <c r="AE157" s="1134"/>
      <c r="AF157" s="1134"/>
      <c r="AG157" s="1134"/>
      <c r="AH157" s="1134"/>
      <c r="AI157" s="1134"/>
      <c r="AJ157" s="1134"/>
      <c r="AK157" s="1134"/>
      <c r="AL157" s="1134"/>
      <c r="AM157" s="1134"/>
      <c r="AN157" s="1134"/>
      <c r="AO157" s="1134"/>
      <c r="AP157" s="1134"/>
      <c r="AQ157" s="1134"/>
      <c r="AR157" s="1134"/>
      <c r="AS157" s="1134"/>
      <c r="AT157" s="1136"/>
      <c r="AU157" s="234"/>
      <c r="AV157" s="199">
        <v>1</v>
      </c>
      <c r="AX157" s="201"/>
      <c r="BZ157" s="14"/>
      <c r="CA157" s="121"/>
      <c r="CB157" s="204"/>
      <c r="CC157" s="22"/>
      <c r="CD157" s="145"/>
      <c r="CE157" s="145"/>
      <c r="CF157" s="145"/>
      <c r="CG157" s="39"/>
      <c r="CH157" s="65" t="s">
        <v>118</v>
      </c>
      <c r="CI157" s="112"/>
      <c r="CJ157" s="112"/>
      <c r="CK157" s="112"/>
      <c r="CL157" s="112"/>
      <c r="CM157" s="112"/>
      <c r="CN157" s="112"/>
      <c r="CO157" s="113" t="s">
        <v>543</v>
      </c>
      <c r="CP157" s="114"/>
      <c r="CQ157" s="129"/>
      <c r="CR157" s="61"/>
      <c r="CS157" s="61"/>
      <c r="CT157" s="61"/>
      <c r="CU157" s="61"/>
      <c r="CV157" s="60"/>
      <c r="DE157" s="90"/>
      <c r="DF157" s="90"/>
      <c r="DO157" s="21"/>
      <c r="DP157" s="21"/>
      <c r="DQ157" s="468"/>
      <c r="DR157" s="468"/>
      <c r="DS157" s="468"/>
      <c r="DT157" s="468"/>
      <c r="DU157" s="468"/>
      <c r="DV157" s="31"/>
      <c r="DX157" s="115"/>
      <c r="DY157" s="115"/>
    </row>
    <row r="158" spans="1:129" ht="19.5" customHeight="1" thickBot="1">
      <c r="A158" s="210"/>
      <c r="B158" s="249"/>
      <c r="C158" s="2661"/>
      <c r="D158" s="2488"/>
      <c r="E158" s="2488"/>
      <c r="F158" s="2488"/>
      <c r="G158" s="2488"/>
      <c r="H158" s="2488"/>
      <c r="I158" s="2488"/>
      <c r="J158" s="2662"/>
      <c r="K158" s="2700" t="s">
        <v>4356</v>
      </c>
      <c r="L158" s="2700"/>
      <c r="M158" s="2700"/>
      <c r="N158" s="2700"/>
      <c r="O158" s="2700"/>
      <c r="P158" s="2701"/>
      <c r="Q158" s="1137"/>
      <c r="R158" s="1137"/>
      <c r="S158" s="2702" t="s">
        <v>4363</v>
      </c>
      <c r="T158" s="2702"/>
      <c r="U158" s="2702"/>
      <c r="V158" s="1137"/>
      <c r="W158" s="1137"/>
      <c r="X158" s="2702" t="s">
        <v>4367</v>
      </c>
      <c r="Y158" s="2702"/>
      <c r="Z158" s="2702"/>
      <c r="AA158" s="1137"/>
      <c r="AB158" s="1137"/>
      <c r="AC158" s="2702" t="s">
        <v>4366</v>
      </c>
      <c r="AD158" s="2702"/>
      <c r="AE158" s="2744"/>
      <c r="AF158" s="1350"/>
      <c r="AG158" s="1137"/>
      <c r="AH158" s="1137"/>
      <c r="AI158" s="1137"/>
      <c r="AJ158" s="1137"/>
      <c r="AK158" s="1137"/>
      <c r="AL158" s="1137"/>
      <c r="AM158" s="1137"/>
      <c r="AN158" s="1137"/>
      <c r="AO158" s="1137"/>
      <c r="AP158" s="1137"/>
      <c r="AQ158" s="1137"/>
      <c r="AR158" s="1137"/>
      <c r="AS158" s="1137"/>
      <c r="AT158" s="1138"/>
      <c r="AU158" s="234"/>
      <c r="AV158" s="199">
        <v>1</v>
      </c>
      <c r="AX158" s="201"/>
      <c r="BZ158" s="14"/>
      <c r="CA158" s="121"/>
      <c r="CB158" s="204"/>
      <c r="CC158" s="22"/>
      <c r="CD158" s="145"/>
      <c r="CE158" s="145"/>
      <c r="CF158" s="145"/>
      <c r="CG158" s="39"/>
      <c r="CH158" s="65" t="s">
        <v>109</v>
      </c>
      <c r="CI158" s="112"/>
      <c r="CJ158" s="112"/>
      <c r="CK158" s="112"/>
      <c r="CL158" s="112"/>
      <c r="CM158" s="112"/>
      <c r="CN158" s="112"/>
      <c r="CO158" s="113" t="s">
        <v>545</v>
      </c>
      <c r="CP158" s="114"/>
      <c r="CQ158" s="129"/>
      <c r="CR158" s="61"/>
      <c r="CS158" s="61"/>
      <c r="CT158" s="61"/>
      <c r="CU158" s="61"/>
      <c r="CV158" s="60"/>
      <c r="DE158" s="90"/>
      <c r="DF158" s="90"/>
      <c r="DO158" s="21"/>
      <c r="DP158" s="21"/>
      <c r="DQ158" s="468"/>
      <c r="DR158" s="468"/>
      <c r="DS158" s="468"/>
      <c r="DT158" s="468"/>
      <c r="DU158" s="468"/>
      <c r="DV158" s="31"/>
      <c r="DX158" s="115"/>
      <c r="DY158" s="115"/>
    </row>
    <row r="159" spans="1:129" ht="19.5" customHeight="1" thickTop="1" thickBot="1">
      <c r="A159" s="210"/>
      <c r="B159" s="249"/>
      <c r="C159" s="1346"/>
      <c r="D159" s="1347"/>
      <c r="E159" s="1347"/>
      <c r="F159" s="1347"/>
      <c r="G159" s="1860" t="s">
        <v>5648</v>
      </c>
      <c r="H159" s="1861"/>
      <c r="I159" s="1861"/>
      <c r="J159" s="1862"/>
      <c r="K159" s="2740" t="s">
        <v>4376</v>
      </c>
      <c r="L159" s="2741"/>
      <c r="M159" s="2741"/>
      <c r="N159" s="2741"/>
      <c r="O159" s="2741"/>
      <c r="P159" s="2742"/>
      <c r="Q159" s="1352"/>
      <c r="R159" s="1352"/>
      <c r="S159" s="2738" t="s">
        <v>4377</v>
      </c>
      <c r="T159" s="2738"/>
      <c r="U159" s="2738"/>
      <c r="V159" s="2738"/>
      <c r="W159" s="1353"/>
      <c r="X159" s="1353"/>
      <c r="Y159" s="2738" t="s">
        <v>4378</v>
      </c>
      <c r="Z159" s="2738"/>
      <c r="AA159" s="2738"/>
      <c r="AB159" s="2739"/>
      <c r="AC159" s="2740" t="s">
        <v>4357</v>
      </c>
      <c r="AD159" s="2741"/>
      <c r="AE159" s="2741"/>
      <c r="AF159" s="2741"/>
      <c r="AG159" s="2741"/>
      <c r="AH159" s="2741"/>
      <c r="AI159" s="2741"/>
      <c r="AJ159" s="2742"/>
      <c r="AK159" s="2688">
        <v>10000</v>
      </c>
      <c r="AL159" s="2688"/>
      <c r="AM159" s="2688"/>
      <c r="AN159" s="2688"/>
      <c r="AO159" s="2688"/>
      <c r="AP159" s="2688"/>
      <c r="AQ159" s="2688"/>
      <c r="AR159" s="2688"/>
      <c r="AS159" s="2688"/>
      <c r="AT159" s="2689"/>
      <c r="AU159" s="234"/>
      <c r="AV159" s="199">
        <v>2</v>
      </c>
      <c r="AX159" s="201"/>
      <c r="BZ159" s="14"/>
      <c r="CA159" s="121"/>
      <c r="CB159" s="204"/>
      <c r="CC159" s="22"/>
      <c r="CD159" s="145"/>
      <c r="CE159" s="145"/>
      <c r="CF159" s="145"/>
      <c r="CG159" s="39"/>
      <c r="CH159" s="65" t="s">
        <v>108</v>
      </c>
      <c r="CI159" s="112"/>
      <c r="CJ159" s="112"/>
      <c r="CK159" s="112"/>
      <c r="CL159" s="112"/>
      <c r="CM159" s="112"/>
      <c r="CN159" s="112"/>
      <c r="CO159" s="113" t="s">
        <v>546</v>
      </c>
      <c r="CP159" s="114"/>
      <c r="CQ159" s="129"/>
      <c r="CR159" s="61"/>
      <c r="CS159" s="61"/>
      <c r="CT159" s="61"/>
      <c r="CU159" s="61"/>
      <c r="CV159" s="60"/>
      <c r="DE159" s="90"/>
      <c r="DF159" s="90"/>
      <c r="DO159" s="21"/>
      <c r="DP159" s="21"/>
      <c r="DQ159" s="468"/>
      <c r="DR159" s="468"/>
      <c r="DS159" s="468"/>
      <c r="DT159" s="468"/>
      <c r="DU159" s="468"/>
      <c r="DV159" s="31"/>
      <c r="DX159" s="115"/>
      <c r="DY159" s="115"/>
    </row>
    <row r="160" spans="1:129" ht="19.5" hidden="1" customHeight="1">
      <c r="A160" s="1048" t="s">
        <v>1234</v>
      </c>
      <c r="B160" s="249"/>
      <c r="C160" s="1346"/>
      <c r="D160" s="1347"/>
      <c r="E160" s="1347"/>
      <c r="F160" s="1347"/>
      <c r="G160" s="1347"/>
      <c r="H160" s="1347"/>
      <c r="I160" s="1347"/>
      <c r="J160" s="1347"/>
      <c r="K160" s="2692" t="s">
        <v>4358</v>
      </c>
      <c r="L160" s="2693"/>
      <c r="M160" s="2693"/>
      <c r="N160" s="2693"/>
      <c r="O160" s="2693"/>
      <c r="P160" s="2694"/>
      <c r="Q160" s="1351"/>
      <c r="R160" s="1351"/>
      <c r="S160" s="2693" t="s">
        <v>4359</v>
      </c>
      <c r="T160" s="2693"/>
      <c r="U160" s="2693"/>
      <c r="V160" s="2693"/>
      <c r="W160" s="1351"/>
      <c r="X160" s="1351"/>
      <c r="Y160" s="2693" t="s">
        <v>4360</v>
      </c>
      <c r="Z160" s="2693"/>
      <c r="AA160" s="2693"/>
      <c r="AB160" s="2693"/>
      <c r="AC160" s="1152"/>
      <c r="AD160" s="670"/>
      <c r="AE160" s="670"/>
      <c r="AF160" s="670"/>
      <c r="AG160" s="670"/>
      <c r="AH160" s="670"/>
      <c r="AI160" s="670"/>
      <c r="AJ160" s="670"/>
      <c r="AK160" s="670"/>
      <c r="AL160" s="222"/>
      <c r="AM160" s="222"/>
      <c r="AN160" s="222"/>
      <c r="AO160" s="222"/>
      <c r="AP160" s="222"/>
      <c r="AQ160" s="222"/>
      <c r="AR160" s="222"/>
      <c r="AS160" s="222"/>
      <c r="AT160" s="1153"/>
      <c r="AU160" s="234"/>
      <c r="AV160" s="199">
        <v>2</v>
      </c>
      <c r="AX160" s="201"/>
      <c r="BZ160" s="14"/>
      <c r="CA160" s="121"/>
      <c r="CB160" s="204"/>
      <c r="CC160" s="22"/>
      <c r="CD160" s="145"/>
      <c r="CE160" s="145"/>
      <c r="CF160" s="145"/>
      <c r="CG160" s="31"/>
      <c r="CH160" s="65" t="s">
        <v>104</v>
      </c>
      <c r="CI160" s="112"/>
      <c r="CJ160" s="112"/>
      <c r="CK160" s="112"/>
      <c r="CL160" s="112"/>
      <c r="CM160" s="112"/>
      <c r="CN160" s="112"/>
      <c r="CO160" s="113" t="s">
        <v>103</v>
      </c>
      <c r="CP160" s="114"/>
      <c r="CQ160" s="129"/>
      <c r="CR160" s="61"/>
      <c r="CS160" s="61"/>
      <c r="CT160" s="61"/>
      <c r="CU160" s="61"/>
      <c r="CV160" s="60"/>
      <c r="DE160" s="90"/>
      <c r="DO160" s="21"/>
      <c r="DP160" s="21"/>
      <c r="DQ160" s="468"/>
      <c r="DR160" s="468"/>
      <c r="DS160" s="468"/>
      <c r="DT160" s="468"/>
      <c r="DU160" s="468"/>
      <c r="DV160" s="31"/>
      <c r="DX160" s="115"/>
      <c r="DY160" s="115"/>
    </row>
    <row r="161" spans="1:129" ht="19.5" hidden="1" customHeight="1" thickBot="1">
      <c r="A161" s="1048" t="s">
        <v>1234</v>
      </c>
      <c r="B161" s="249"/>
      <c r="C161" s="1348"/>
      <c r="D161" s="1349"/>
      <c r="E161" s="1349"/>
      <c r="F161" s="1349"/>
      <c r="G161" s="1349"/>
      <c r="H161" s="1349"/>
      <c r="I161" s="1349"/>
      <c r="J161" s="1349"/>
      <c r="K161" s="2736" t="s">
        <v>4368</v>
      </c>
      <c r="L161" s="2737"/>
      <c r="M161" s="2737"/>
      <c r="N161" s="2737"/>
      <c r="O161" s="2695" t="s">
        <v>4369</v>
      </c>
      <c r="P161" s="2696"/>
      <c r="Q161" s="2696"/>
      <c r="R161" s="2697"/>
      <c r="S161" s="1139"/>
      <c r="T161" s="1139"/>
      <c r="U161" s="2690" t="s">
        <v>4359</v>
      </c>
      <c r="V161" s="2690"/>
      <c r="W161" s="2690"/>
      <c r="X161" s="2690"/>
      <c r="Y161" s="1139"/>
      <c r="Z161" s="1139"/>
      <c r="AA161" s="2690" t="s">
        <v>4360</v>
      </c>
      <c r="AB161" s="2690"/>
      <c r="AC161" s="2690"/>
      <c r="AD161" s="2743"/>
      <c r="AE161" s="2695" t="s">
        <v>4370</v>
      </c>
      <c r="AF161" s="2696"/>
      <c r="AG161" s="2696"/>
      <c r="AH161" s="2697"/>
      <c r="AI161" s="1139"/>
      <c r="AJ161" s="1139"/>
      <c r="AK161" s="2690" t="s">
        <v>4359</v>
      </c>
      <c r="AL161" s="2690"/>
      <c r="AM161" s="2690"/>
      <c r="AN161" s="2690"/>
      <c r="AO161" s="1139"/>
      <c r="AP161" s="1139"/>
      <c r="AQ161" s="2690" t="s">
        <v>4360</v>
      </c>
      <c r="AR161" s="2690"/>
      <c r="AS161" s="2690"/>
      <c r="AT161" s="2691"/>
      <c r="AU161" s="234"/>
      <c r="AV161" s="199">
        <v>2</v>
      </c>
      <c r="AW161" s="200">
        <v>2</v>
      </c>
      <c r="AX161" s="201"/>
      <c r="BZ161" s="14"/>
      <c r="CA161" s="121"/>
      <c r="CB161" s="204"/>
      <c r="CC161" s="22"/>
      <c r="CD161" s="145"/>
      <c r="CE161" s="145"/>
      <c r="CF161" s="145"/>
      <c r="CG161" s="31"/>
      <c r="CH161" s="65" t="s">
        <v>98</v>
      </c>
      <c r="CI161" s="112"/>
      <c r="CJ161" s="112"/>
      <c r="CK161" s="112"/>
      <c r="CL161" s="112"/>
      <c r="CM161" s="112"/>
      <c r="CN161" s="112"/>
      <c r="CO161" s="113" t="s">
        <v>547</v>
      </c>
      <c r="CP161" s="114"/>
      <c r="CQ161" s="129"/>
      <c r="CR161" s="61"/>
      <c r="CS161" s="61"/>
      <c r="CT161" s="61"/>
      <c r="CU161" s="61"/>
      <c r="CV161" s="60"/>
      <c r="DE161" s="90"/>
      <c r="DO161" s="21"/>
      <c r="DP161" s="21"/>
      <c r="DQ161" s="468"/>
      <c r="DR161" s="468"/>
      <c r="DS161" s="468"/>
      <c r="DT161" s="468"/>
      <c r="DU161" s="468"/>
      <c r="DV161" s="31"/>
      <c r="DX161" s="115"/>
      <c r="DY161" s="115"/>
    </row>
    <row r="162" spans="1:129" ht="19.5" customHeight="1" thickTop="1" thickBot="1">
      <c r="A162" s="1048"/>
      <c r="B162" s="249"/>
      <c r="C162" s="1239"/>
      <c r="D162" s="1239"/>
      <c r="E162" s="1239"/>
      <c r="F162" s="1239"/>
      <c r="G162" s="1239"/>
      <c r="H162" s="1239"/>
      <c r="I162" s="1239"/>
      <c r="J162" s="1239"/>
      <c r="K162" s="1239"/>
      <c r="L162" s="1240"/>
      <c r="M162" s="1240"/>
      <c r="N162" s="1240"/>
      <c r="O162" s="1241"/>
      <c r="P162" s="1241"/>
      <c r="Q162" s="1242"/>
      <c r="R162" s="1242"/>
      <c r="S162" s="1242"/>
      <c r="T162" s="1242"/>
      <c r="U162" s="1242"/>
      <c r="V162" s="1242"/>
      <c r="W162" s="1242"/>
      <c r="X162" s="1242"/>
      <c r="Y162" s="1243"/>
      <c r="Z162" s="1243"/>
      <c r="AA162" s="1243"/>
      <c r="AB162" s="1243"/>
      <c r="AC162" s="1243"/>
      <c r="AD162" s="1243"/>
      <c r="AE162" s="1243"/>
      <c r="AF162" s="1243"/>
      <c r="AG162" s="1242"/>
      <c r="AH162" s="1242"/>
      <c r="AI162" s="1242"/>
      <c r="AJ162" s="1242"/>
      <c r="AK162" s="1244"/>
      <c r="AL162" s="1244"/>
      <c r="AM162" s="1245"/>
      <c r="AN162" s="1245"/>
      <c r="AO162" s="1244"/>
      <c r="AP162" s="1244"/>
      <c r="AQ162" s="1244"/>
      <c r="AR162" s="1244"/>
      <c r="AS162" s="1244"/>
      <c r="AT162" s="1244"/>
      <c r="AU162" s="234"/>
      <c r="AX162" s="201"/>
      <c r="BZ162" s="14"/>
      <c r="CA162" s="121"/>
      <c r="CB162" s="204"/>
      <c r="CC162" s="22"/>
      <c r="CD162" s="145"/>
      <c r="CE162" s="145"/>
      <c r="CF162" s="145"/>
      <c r="CG162" s="31"/>
      <c r="CH162" s="65" t="s">
        <v>97</v>
      </c>
      <c r="CI162" s="112"/>
      <c r="CJ162" s="112"/>
      <c r="CK162" s="112"/>
      <c r="CL162" s="112"/>
      <c r="CM162" s="112"/>
      <c r="CN162" s="112"/>
      <c r="CO162" s="113" t="s">
        <v>548</v>
      </c>
      <c r="CP162" s="114"/>
      <c r="CQ162" s="129"/>
      <c r="CR162" s="61"/>
      <c r="CS162" s="61"/>
      <c r="CT162" s="61"/>
      <c r="CU162" s="61"/>
      <c r="CV162" s="60"/>
      <c r="DE162" s="90"/>
      <c r="DO162" s="21"/>
      <c r="DP162" s="21"/>
      <c r="DQ162" s="468"/>
      <c r="DR162" s="468"/>
      <c r="DS162" s="468"/>
      <c r="DT162" s="468"/>
      <c r="DU162" s="468"/>
      <c r="DV162" s="31"/>
      <c r="DX162" s="115"/>
      <c r="DY162" s="115"/>
    </row>
    <row r="163" spans="1:129" ht="19.5" customHeight="1" thickTop="1">
      <c r="A163" s="1048"/>
      <c r="B163" s="249"/>
      <c r="C163" s="2712" t="s">
        <v>2052</v>
      </c>
      <c r="D163" s="2713"/>
      <c r="E163" s="2713"/>
      <c r="F163" s="2713"/>
      <c r="G163" s="2713"/>
      <c r="H163" s="2713"/>
      <c r="I163" s="2713"/>
      <c r="J163" s="2714"/>
      <c r="K163" s="1195"/>
      <c r="L163" s="1196"/>
      <c r="M163" s="1196"/>
      <c r="N163" s="1196"/>
      <c r="O163" s="1196"/>
      <c r="P163" s="1196"/>
      <c r="Q163" s="1196"/>
      <c r="R163" s="1196"/>
      <c r="S163" s="1196"/>
      <c r="T163" s="1196"/>
      <c r="U163" s="1196"/>
      <c r="V163" s="1196"/>
      <c r="W163" s="1196"/>
      <c r="X163" s="1196"/>
      <c r="Y163" s="2721" t="s">
        <v>5023</v>
      </c>
      <c r="Z163" s="2722"/>
      <c r="AA163" s="2722"/>
      <c r="AB163" s="2723"/>
      <c r="AC163" s="2721" t="s">
        <v>4345</v>
      </c>
      <c r="AD163" s="2722"/>
      <c r="AE163" s="2722"/>
      <c r="AF163" s="2723"/>
      <c r="AG163" s="1196"/>
      <c r="AH163" s="1196"/>
      <c r="AI163" s="1196"/>
      <c r="AJ163" s="1196"/>
      <c r="AK163" s="1196"/>
      <c r="AL163" s="1196"/>
      <c r="AM163" s="1196"/>
      <c r="AN163" s="1196"/>
      <c r="AO163" s="1196"/>
      <c r="AP163" s="1196"/>
      <c r="AQ163" s="1196"/>
      <c r="AR163" s="1196"/>
      <c r="AS163" s="1196"/>
      <c r="AT163" s="1197"/>
      <c r="AU163" s="234"/>
      <c r="AX163" s="201"/>
      <c r="BZ163" s="14"/>
      <c r="CA163" s="121"/>
      <c r="CB163" s="204"/>
      <c r="CC163" s="22"/>
      <c r="CD163" s="145"/>
      <c r="CE163" s="145"/>
      <c r="CF163" s="145"/>
      <c r="CG163" s="31"/>
      <c r="CH163" s="65" t="s">
        <v>87</v>
      </c>
      <c r="CI163" s="112"/>
      <c r="CJ163" s="112"/>
      <c r="CK163" s="112"/>
      <c r="CL163" s="112"/>
      <c r="CM163" s="112"/>
      <c r="CN163" s="112"/>
      <c r="CO163" s="113" t="s">
        <v>549</v>
      </c>
      <c r="CP163" s="114"/>
      <c r="CQ163" s="129"/>
      <c r="CR163" s="61"/>
      <c r="CS163" s="61"/>
      <c r="CT163" s="61"/>
      <c r="CU163" s="61"/>
      <c r="CV163" s="60"/>
      <c r="CW163" s="55"/>
      <c r="DE163" s="90"/>
      <c r="DO163" s="21"/>
      <c r="DP163" s="21"/>
      <c r="DQ163" s="468"/>
      <c r="DR163" s="468"/>
      <c r="DS163" s="468"/>
      <c r="DT163" s="468"/>
      <c r="DU163" s="468"/>
      <c r="DV163" s="31"/>
      <c r="DX163" s="115"/>
      <c r="DY163" s="115"/>
    </row>
    <row r="164" spans="1:129" ht="19.5" customHeight="1">
      <c r="A164" s="1048"/>
      <c r="B164" s="249"/>
      <c r="C164" s="2715"/>
      <c r="D164" s="2716"/>
      <c r="E164" s="2716"/>
      <c r="F164" s="2716"/>
      <c r="G164" s="2716"/>
      <c r="H164" s="2716"/>
      <c r="I164" s="2716"/>
      <c r="J164" s="2717"/>
      <c r="K164" s="2724" t="s">
        <v>5015</v>
      </c>
      <c r="L164" s="2725"/>
      <c r="M164" s="2725"/>
      <c r="N164" s="2725"/>
      <c r="O164" s="2725"/>
      <c r="P164" s="2726"/>
      <c r="Q164" s="2731" t="s">
        <v>5016</v>
      </c>
      <c r="R164" s="2731"/>
      <c r="S164" s="2731"/>
      <c r="T164" s="2731"/>
      <c r="U164" s="2731"/>
      <c r="V164" s="2731"/>
      <c r="W164" s="2731"/>
      <c r="X164" s="2731"/>
      <c r="Y164" s="2732" t="s">
        <v>995</v>
      </c>
      <c r="Z164" s="2732"/>
      <c r="AA164" s="2732"/>
      <c r="AB164" s="2732"/>
      <c r="AC164" s="2732" t="s">
        <v>995</v>
      </c>
      <c r="AD164" s="2732"/>
      <c r="AE164" s="2732"/>
      <c r="AF164" s="2732"/>
      <c r="AG164" s="1192"/>
      <c r="AH164" s="1193"/>
      <c r="AI164" s="1193"/>
      <c r="AJ164" s="1193"/>
      <c r="AK164" s="1193"/>
      <c r="AL164" s="1193"/>
      <c r="AM164" s="1193"/>
      <c r="AN164" s="1193"/>
      <c r="AO164" s="1193"/>
      <c r="AP164" s="1193"/>
      <c r="AQ164" s="1193"/>
      <c r="AR164" s="1193"/>
      <c r="AS164" s="1193"/>
      <c r="AT164" s="1194"/>
      <c r="AU164" s="234"/>
      <c r="AX164" s="201"/>
      <c r="BZ164" s="14"/>
      <c r="CA164" s="121"/>
      <c r="CB164" s="204"/>
      <c r="CC164" s="22"/>
      <c r="CD164" s="145"/>
      <c r="CE164" s="145"/>
      <c r="CF164" s="145"/>
      <c r="CG164" s="31"/>
      <c r="CH164" s="65" t="s">
        <v>45</v>
      </c>
      <c r="CI164" s="112"/>
      <c r="CJ164" s="112"/>
      <c r="CK164" s="112"/>
      <c r="CL164" s="112"/>
      <c r="CM164" s="112"/>
      <c r="CN164" s="112"/>
      <c r="CO164" s="113" t="s">
        <v>44</v>
      </c>
      <c r="CP164" s="114"/>
      <c r="CQ164" s="129"/>
      <c r="CR164" s="61"/>
      <c r="CS164" s="61"/>
      <c r="CT164" s="61"/>
      <c r="CU164" s="61"/>
      <c r="CV164" s="60"/>
      <c r="CW164" s="55"/>
      <c r="DE164" s="90"/>
      <c r="DO164" s="21"/>
      <c r="DP164" s="21"/>
      <c r="DQ164" s="468"/>
      <c r="DR164" s="468"/>
      <c r="DS164" s="468"/>
      <c r="DT164" s="468"/>
      <c r="DU164" s="468"/>
      <c r="DV164" s="31"/>
      <c r="DX164" s="115"/>
      <c r="DY164" s="115"/>
    </row>
    <row r="165" spans="1:129" ht="19.5" customHeight="1">
      <c r="A165" s="1048"/>
      <c r="B165" s="249"/>
      <c r="C165" s="2715"/>
      <c r="D165" s="2716"/>
      <c r="E165" s="2716"/>
      <c r="F165" s="2716"/>
      <c r="G165" s="2716"/>
      <c r="H165" s="2716"/>
      <c r="I165" s="2716"/>
      <c r="J165" s="2717"/>
      <c r="K165" s="2727"/>
      <c r="L165" s="2725"/>
      <c r="M165" s="2725"/>
      <c r="N165" s="2725"/>
      <c r="O165" s="2725"/>
      <c r="P165" s="2726"/>
      <c r="Q165" s="2731" t="s">
        <v>5017</v>
      </c>
      <c r="R165" s="2731"/>
      <c r="S165" s="2731"/>
      <c r="T165" s="2731"/>
      <c r="U165" s="2731"/>
      <c r="V165" s="2731"/>
      <c r="W165" s="2731"/>
      <c r="X165" s="2731"/>
      <c r="Y165" s="2732" t="s">
        <v>995</v>
      </c>
      <c r="Z165" s="2732"/>
      <c r="AA165" s="2732"/>
      <c r="AB165" s="2732"/>
      <c r="AC165" s="2732" t="s">
        <v>995</v>
      </c>
      <c r="AD165" s="2732"/>
      <c r="AE165" s="2732"/>
      <c r="AF165" s="2732"/>
      <c r="AG165" s="781"/>
      <c r="AH165" s="782"/>
      <c r="AI165" s="782"/>
      <c r="AJ165" s="782"/>
      <c r="AK165" s="782"/>
      <c r="AL165" s="782"/>
      <c r="AM165" s="782"/>
      <c r="AN165" s="782"/>
      <c r="AO165" s="782"/>
      <c r="AP165" s="782"/>
      <c r="AQ165" s="782"/>
      <c r="AR165" s="782"/>
      <c r="AS165" s="782"/>
      <c r="AT165" s="1198"/>
      <c r="AU165" s="234"/>
      <c r="AX165" s="201"/>
      <c r="BZ165" s="14"/>
      <c r="CA165" s="121"/>
      <c r="CB165" s="204"/>
      <c r="CC165" s="22"/>
      <c r="CD165" s="145"/>
      <c r="CE165" s="145"/>
      <c r="CF165" s="145"/>
      <c r="CG165" s="31"/>
      <c r="CH165" s="65" t="s">
        <v>43</v>
      </c>
      <c r="CI165" s="112"/>
      <c r="CJ165" s="112"/>
      <c r="CK165" s="112"/>
      <c r="CL165" s="112"/>
      <c r="CM165" s="112"/>
      <c r="CN165" s="112"/>
      <c r="CO165" s="113" t="s">
        <v>42</v>
      </c>
      <c r="CP165" s="114"/>
      <c r="CQ165" s="129"/>
      <c r="CR165" s="61"/>
      <c r="CS165" s="61"/>
      <c r="CT165" s="61"/>
      <c r="CU165" s="61"/>
      <c r="CV165" s="60"/>
      <c r="CW165" s="55"/>
      <c r="CX165" s="55"/>
      <c r="CZ165" s="90"/>
      <c r="DE165" s="90"/>
      <c r="DO165" s="21"/>
      <c r="DP165" s="21"/>
      <c r="DQ165" s="468"/>
      <c r="DR165" s="468"/>
      <c r="DS165" s="468"/>
      <c r="DT165" s="468"/>
      <c r="DU165" s="468"/>
      <c r="DV165" s="33"/>
      <c r="DX165" s="115"/>
      <c r="DY165" s="115"/>
    </row>
    <row r="166" spans="1:129" ht="19.5" customHeight="1">
      <c r="A166" s="1048"/>
      <c r="B166" s="249"/>
      <c r="C166" s="2715"/>
      <c r="D166" s="2716"/>
      <c r="E166" s="2716"/>
      <c r="F166" s="2716"/>
      <c r="G166" s="2716"/>
      <c r="H166" s="2716"/>
      <c r="I166" s="2716"/>
      <c r="J166" s="2717"/>
      <c r="K166" s="2727"/>
      <c r="L166" s="2725"/>
      <c r="M166" s="2725"/>
      <c r="N166" s="2725"/>
      <c r="O166" s="2725"/>
      <c r="P166" s="2726"/>
      <c r="Q166" s="2731" t="s">
        <v>5018</v>
      </c>
      <c r="R166" s="2731"/>
      <c r="S166" s="2731"/>
      <c r="T166" s="2731"/>
      <c r="U166" s="2731"/>
      <c r="V166" s="2731"/>
      <c r="W166" s="2731"/>
      <c r="X166" s="2731"/>
      <c r="Y166" s="2732" t="s">
        <v>5026</v>
      </c>
      <c r="Z166" s="2732"/>
      <c r="AA166" s="2732"/>
      <c r="AB166" s="2732"/>
      <c r="AC166" s="2732" t="s">
        <v>5026</v>
      </c>
      <c r="AD166" s="2732"/>
      <c r="AE166" s="2732"/>
      <c r="AF166" s="2732"/>
      <c r="AG166" s="781"/>
      <c r="AH166" s="782"/>
      <c r="AI166" s="782"/>
      <c r="AJ166" s="782"/>
      <c r="AK166" s="782"/>
      <c r="AL166" s="782"/>
      <c r="AM166" s="782"/>
      <c r="AN166" s="782"/>
      <c r="AO166" s="782"/>
      <c r="AP166" s="782"/>
      <c r="AQ166" s="782"/>
      <c r="AR166" s="782"/>
      <c r="AS166" s="782"/>
      <c r="AT166" s="1198"/>
      <c r="AU166" s="234"/>
      <c r="AX166" s="201"/>
      <c r="BZ166" s="14"/>
      <c r="CA166" s="121"/>
      <c r="CB166" s="204"/>
      <c r="CC166" s="22"/>
      <c r="CD166" s="145"/>
      <c r="CE166" s="145"/>
      <c r="CF166" s="145"/>
      <c r="CG166" s="31"/>
      <c r="CH166" s="65" t="s">
        <v>41</v>
      </c>
      <c r="CI166" s="112"/>
      <c r="CJ166" s="112"/>
      <c r="CK166" s="112"/>
      <c r="CL166" s="112"/>
      <c r="CM166" s="112"/>
      <c r="CN166" s="112"/>
      <c r="CO166" s="113" t="s">
        <v>40</v>
      </c>
      <c r="CP166" s="114"/>
      <c r="CQ166" s="129"/>
      <c r="CR166" s="61"/>
      <c r="CS166" s="61"/>
      <c r="CT166" s="61"/>
      <c r="CU166" s="61"/>
      <c r="CV166" s="60"/>
      <c r="CX166" s="55"/>
      <c r="CZ166" s="90"/>
      <c r="DE166" s="43"/>
      <c r="DO166" s="21"/>
      <c r="DP166" s="21"/>
      <c r="DQ166" s="468"/>
      <c r="DR166" s="468"/>
      <c r="DS166" s="468"/>
      <c r="DT166" s="468"/>
      <c r="DU166" s="468"/>
      <c r="DV166" s="33"/>
      <c r="DX166" s="115"/>
      <c r="DY166" s="115"/>
    </row>
    <row r="167" spans="1:129" ht="19.5" customHeight="1" thickBot="1">
      <c r="A167" s="1048"/>
      <c r="B167" s="249"/>
      <c r="C167" s="2718"/>
      <c r="D167" s="2719"/>
      <c r="E167" s="2719"/>
      <c r="F167" s="2719"/>
      <c r="G167" s="2719"/>
      <c r="H167" s="2719"/>
      <c r="I167" s="2719"/>
      <c r="J167" s="2720"/>
      <c r="K167" s="2728"/>
      <c r="L167" s="2729"/>
      <c r="M167" s="2729"/>
      <c r="N167" s="2729"/>
      <c r="O167" s="2729"/>
      <c r="P167" s="2730"/>
      <c r="Q167" s="2733" t="s">
        <v>5019</v>
      </c>
      <c r="R167" s="2733"/>
      <c r="S167" s="2733"/>
      <c r="T167" s="2733"/>
      <c r="U167" s="2733"/>
      <c r="V167" s="2733"/>
      <c r="W167" s="2733"/>
      <c r="X167" s="2733"/>
      <c r="Y167" s="2711" t="s">
        <v>5026</v>
      </c>
      <c r="Z167" s="2711"/>
      <c r="AA167" s="2711"/>
      <c r="AB167" s="2711"/>
      <c r="AC167" s="2711" t="s">
        <v>5026</v>
      </c>
      <c r="AD167" s="2711"/>
      <c r="AE167" s="2711"/>
      <c r="AF167" s="2711"/>
      <c r="AG167" s="1199"/>
      <c r="AH167" s="1200"/>
      <c r="AI167" s="1200"/>
      <c r="AJ167" s="1200"/>
      <c r="AK167" s="1200"/>
      <c r="AL167" s="1200"/>
      <c r="AM167" s="1200"/>
      <c r="AN167" s="1200"/>
      <c r="AO167" s="1200"/>
      <c r="AP167" s="1200"/>
      <c r="AQ167" s="1200"/>
      <c r="AR167" s="1200"/>
      <c r="AS167" s="1200"/>
      <c r="AT167" s="1201"/>
      <c r="AU167" s="234"/>
      <c r="AX167" s="201"/>
      <c r="BZ167" s="14"/>
      <c r="CA167" s="121"/>
      <c r="CB167" s="204"/>
      <c r="CC167" s="22"/>
      <c r="CD167" s="145"/>
      <c r="CE167" s="145"/>
      <c r="CF167" s="145"/>
      <c r="CG167" s="31"/>
      <c r="CH167" s="65" t="s">
        <v>39</v>
      </c>
      <c r="CI167" s="112"/>
      <c r="CJ167" s="112"/>
      <c r="CK167" s="112"/>
      <c r="CL167" s="112"/>
      <c r="CM167" s="112"/>
      <c r="CN167" s="112"/>
      <c r="CO167" s="113" t="s">
        <v>38</v>
      </c>
      <c r="CP167" s="114"/>
      <c r="CQ167" s="129"/>
      <c r="CR167" s="61"/>
      <c r="CS167" s="61"/>
      <c r="CT167" s="61"/>
      <c r="CU167" s="61"/>
      <c r="CV167" s="60"/>
      <c r="CX167" s="55"/>
      <c r="CZ167" s="90"/>
      <c r="DE167" s="43"/>
      <c r="DO167" s="21"/>
      <c r="DP167" s="21"/>
      <c r="DQ167" s="468"/>
      <c r="DR167" s="468"/>
      <c r="DS167" s="468"/>
      <c r="DT167" s="468"/>
      <c r="DU167" s="468"/>
      <c r="DX167" s="115"/>
      <c r="DY167" s="115"/>
    </row>
    <row r="168" spans="1:129" ht="19.5" customHeight="1" thickTop="1">
      <c r="A168" s="210"/>
      <c r="B168" s="249"/>
      <c r="C168" s="1260"/>
      <c r="D168" s="1260"/>
      <c r="E168" s="1260"/>
      <c r="F168" s="1260"/>
      <c r="G168" s="1260"/>
      <c r="H168" s="1260"/>
      <c r="I168" s="1260"/>
      <c r="J168" s="1260"/>
      <c r="K168" s="1260"/>
      <c r="L168" s="212"/>
      <c r="M168" s="212"/>
      <c r="N168" s="212"/>
      <c r="O168" s="254"/>
      <c r="P168" s="254"/>
      <c r="Q168" s="213"/>
      <c r="R168" s="213"/>
      <c r="S168" s="213"/>
      <c r="T168" s="213"/>
      <c r="U168" s="213"/>
      <c r="V168" s="213"/>
      <c r="W168" s="213"/>
      <c r="X168" s="213"/>
      <c r="Y168" s="214"/>
      <c r="Z168" s="214"/>
      <c r="AA168" s="214"/>
      <c r="AB168" s="214"/>
      <c r="AC168" s="214"/>
      <c r="AD168" s="214"/>
      <c r="AE168" s="214"/>
      <c r="AF168" s="214"/>
      <c r="AG168" s="213"/>
      <c r="AH168" s="213"/>
      <c r="AI168" s="213"/>
      <c r="AJ168" s="213"/>
      <c r="AK168" s="253"/>
      <c r="AL168" s="253"/>
      <c r="AM168" s="215"/>
      <c r="AN168" s="215"/>
      <c r="AO168" s="253"/>
      <c r="AP168" s="253"/>
      <c r="AQ168" s="253"/>
      <c r="AR168" s="253"/>
      <c r="AS168" s="253"/>
      <c r="AT168" s="253"/>
      <c r="AU168" s="234"/>
      <c r="AX168" s="201"/>
      <c r="BZ168" s="21"/>
      <c r="CA168" s="121"/>
      <c r="CB168" s="204"/>
      <c r="CC168" s="22"/>
      <c r="CD168" s="145"/>
      <c r="CE168" s="145"/>
      <c r="CF168" s="145"/>
      <c r="CG168" s="31"/>
      <c r="CH168" s="65" t="s">
        <v>37</v>
      </c>
      <c r="CI168" s="112"/>
      <c r="CJ168" s="112"/>
      <c r="CK168" s="112"/>
      <c r="CL168" s="112"/>
      <c r="CM168" s="112"/>
      <c r="CN168" s="112"/>
      <c r="CO168" s="113" t="s">
        <v>36</v>
      </c>
      <c r="CP168" s="114"/>
      <c r="CQ168" s="129"/>
      <c r="CR168" s="61"/>
      <c r="CS168" s="61"/>
      <c r="CT168" s="61"/>
      <c r="CU168" s="61"/>
      <c r="CV168" s="60"/>
      <c r="DE168" s="43"/>
      <c r="DO168" s="21"/>
      <c r="DP168" s="21"/>
      <c r="DQ168" s="468"/>
      <c r="DR168" s="468"/>
      <c r="DS168" s="468"/>
      <c r="DT168" s="468"/>
      <c r="DU168" s="468"/>
      <c r="DX168" s="115"/>
      <c r="DY168" s="115"/>
    </row>
    <row r="169" spans="1:129" ht="19.5" hidden="1" customHeight="1">
      <c r="A169" s="1048" t="s">
        <v>1234</v>
      </c>
      <c r="B169" s="249"/>
      <c r="C169" s="1260"/>
      <c r="D169" s="1260"/>
      <c r="E169" s="1260"/>
      <c r="F169" s="1260"/>
      <c r="G169" s="1260"/>
      <c r="H169" s="1260"/>
      <c r="I169" s="1260"/>
      <c r="J169" s="1260"/>
      <c r="K169" s="1260"/>
      <c r="L169" s="212"/>
      <c r="M169" s="212"/>
      <c r="N169" s="212"/>
      <c r="O169" s="254"/>
      <c r="P169" s="254"/>
      <c r="Q169" s="213"/>
      <c r="R169" s="213"/>
      <c r="S169" s="213"/>
      <c r="T169" s="213"/>
      <c r="U169" s="213"/>
      <c r="V169" s="213"/>
      <c r="W169" s="213"/>
      <c r="X169" s="213"/>
      <c r="Y169" s="214"/>
      <c r="Z169" s="214"/>
      <c r="AA169" s="214"/>
      <c r="AB169" s="214"/>
      <c r="AC169" s="214"/>
      <c r="AD169" s="214"/>
      <c r="AE169" s="214"/>
      <c r="AF169" s="214"/>
      <c r="AG169" s="213"/>
      <c r="AH169" s="213"/>
      <c r="AI169" s="213"/>
      <c r="AJ169" s="213"/>
      <c r="AK169" s="253"/>
      <c r="AL169" s="253"/>
      <c r="AM169" s="215"/>
      <c r="AN169" s="215"/>
      <c r="AO169" s="253"/>
      <c r="AP169" s="253"/>
      <c r="AQ169" s="253"/>
      <c r="AR169" s="253"/>
      <c r="AS169" s="253"/>
      <c r="AT169" s="253"/>
      <c r="AU169" s="234"/>
      <c r="BZ169" s="14"/>
      <c r="CA169" s="121"/>
      <c r="CB169" s="204"/>
      <c r="CC169" s="22"/>
      <c r="CD169" s="145"/>
      <c r="CE169" s="145"/>
      <c r="CF169" s="145"/>
      <c r="CG169" s="33"/>
      <c r="CH169" s="65" t="s">
        <v>35</v>
      </c>
      <c r="CI169" s="112"/>
      <c r="CJ169" s="112"/>
      <c r="CK169" s="112"/>
      <c r="CL169" s="112"/>
      <c r="CM169" s="112"/>
      <c r="CN169" s="112"/>
      <c r="CO169" s="113" t="s">
        <v>34</v>
      </c>
      <c r="CP169" s="114"/>
      <c r="CQ169" s="129"/>
      <c r="CR169" s="61"/>
      <c r="CS169" s="61"/>
      <c r="CT169" s="61"/>
      <c r="CU169" s="61"/>
      <c r="CV169" s="60"/>
      <c r="DE169" s="43"/>
      <c r="DO169" s="21"/>
      <c r="DP169" s="21"/>
      <c r="DQ169" s="468"/>
      <c r="DR169" s="468"/>
      <c r="DS169" s="468"/>
      <c r="DT169" s="468"/>
      <c r="DU169" s="468"/>
      <c r="DV169" s="33"/>
      <c r="DX169" s="115"/>
      <c r="DY169" s="115"/>
    </row>
    <row r="170" spans="1:129" ht="19.5" hidden="1" customHeight="1">
      <c r="A170" s="1048" t="s">
        <v>1234</v>
      </c>
      <c r="B170" s="249"/>
      <c r="C170" s="1260"/>
      <c r="D170" s="1260"/>
      <c r="E170" s="1260"/>
      <c r="F170" s="1260"/>
      <c r="G170" s="1260"/>
      <c r="H170" s="1260"/>
      <c r="I170" s="1260"/>
      <c r="J170" s="1260"/>
      <c r="K170" s="1260"/>
      <c r="L170" s="212"/>
      <c r="M170" s="212"/>
      <c r="N170" s="212"/>
      <c r="O170" s="254"/>
      <c r="P170" s="254"/>
      <c r="Q170" s="213"/>
      <c r="R170" s="213"/>
      <c r="S170" s="213"/>
      <c r="T170" s="213"/>
      <c r="U170" s="213"/>
      <c r="V170" s="213"/>
      <c r="W170" s="213"/>
      <c r="X170" s="213"/>
      <c r="Y170" s="214"/>
      <c r="Z170" s="214"/>
      <c r="AA170" s="214"/>
      <c r="AB170" s="214"/>
      <c r="AC170" s="214"/>
      <c r="AD170" s="214"/>
      <c r="AE170" s="214"/>
      <c r="AF170" s="214"/>
      <c r="AG170" s="213"/>
      <c r="AH170" s="213"/>
      <c r="AI170" s="213"/>
      <c r="AJ170" s="213"/>
      <c r="AK170" s="253"/>
      <c r="AL170" s="253"/>
      <c r="AM170" s="215"/>
      <c r="AN170" s="215"/>
      <c r="AO170" s="253"/>
      <c r="AP170" s="253"/>
      <c r="AQ170" s="253"/>
      <c r="AR170" s="253"/>
      <c r="AS170" s="253"/>
      <c r="AT170" s="253"/>
      <c r="AU170" s="234"/>
      <c r="BZ170" s="21"/>
      <c r="CA170" s="121"/>
      <c r="CB170" s="204"/>
      <c r="CC170" s="22"/>
      <c r="CD170" s="145"/>
      <c r="CE170" s="145"/>
      <c r="CF170" s="145"/>
      <c r="CG170" s="33"/>
      <c r="CH170" s="65" t="s">
        <v>640</v>
      </c>
      <c r="CI170" s="112"/>
      <c r="CJ170" s="112"/>
      <c r="CK170" s="112"/>
      <c r="CL170" s="112"/>
      <c r="CM170" s="112"/>
      <c r="CN170" s="112"/>
      <c r="CO170" s="113" t="s">
        <v>33</v>
      </c>
      <c r="CP170" s="114"/>
      <c r="CQ170" s="129"/>
      <c r="CR170" s="61"/>
      <c r="CS170" s="61"/>
      <c r="CT170" s="61"/>
      <c r="CU170" s="61"/>
      <c r="CV170" s="60"/>
      <c r="DE170" s="43"/>
      <c r="DO170" s="21"/>
      <c r="DP170" s="21"/>
      <c r="DQ170" s="468"/>
      <c r="DR170" s="468"/>
      <c r="DS170" s="468"/>
      <c r="DT170" s="468"/>
      <c r="DU170" s="468"/>
      <c r="DV170" s="31"/>
      <c r="DX170" s="115"/>
      <c r="DY170" s="115"/>
    </row>
    <row r="171" spans="1:129" ht="19.5" hidden="1" customHeight="1">
      <c r="A171" s="1048" t="s">
        <v>1234</v>
      </c>
      <c r="B171" s="249"/>
      <c r="C171" s="1260"/>
      <c r="D171" s="1260"/>
      <c r="E171" s="1260"/>
      <c r="F171" s="1260"/>
      <c r="G171" s="1260"/>
      <c r="H171" s="1260"/>
      <c r="I171" s="1260"/>
      <c r="J171" s="1260"/>
      <c r="K171" s="1260"/>
      <c r="L171" s="212"/>
      <c r="M171" s="212"/>
      <c r="N171" s="212"/>
      <c r="O171" s="254"/>
      <c r="P171" s="254"/>
      <c r="Q171" s="213"/>
      <c r="R171" s="213"/>
      <c r="S171" s="213"/>
      <c r="T171" s="213"/>
      <c r="U171" s="213"/>
      <c r="V171" s="213"/>
      <c r="W171" s="213"/>
      <c r="X171" s="213"/>
      <c r="Y171" s="214"/>
      <c r="Z171" s="214"/>
      <c r="AA171" s="214"/>
      <c r="AB171" s="214"/>
      <c r="AC171" s="214"/>
      <c r="AD171" s="214"/>
      <c r="AE171" s="214"/>
      <c r="AF171" s="214"/>
      <c r="AG171" s="213"/>
      <c r="AH171" s="213"/>
      <c r="AI171" s="213"/>
      <c r="AJ171" s="213"/>
      <c r="AK171" s="253"/>
      <c r="AL171" s="253"/>
      <c r="AM171" s="215"/>
      <c r="AN171" s="215"/>
      <c r="AO171" s="253"/>
      <c r="AP171" s="253"/>
      <c r="AQ171" s="253"/>
      <c r="AR171" s="253"/>
      <c r="AS171" s="253"/>
      <c r="AT171" s="253"/>
      <c r="AU171" s="234"/>
      <c r="BZ171" s="21"/>
      <c r="CA171" s="121"/>
      <c r="CB171" s="204"/>
      <c r="CC171" s="22"/>
      <c r="CD171" s="145"/>
      <c r="CE171" s="145"/>
      <c r="CF171" s="145"/>
      <c r="CH171" s="65" t="s">
        <v>32</v>
      </c>
      <c r="CI171" s="112"/>
      <c r="CJ171" s="112"/>
      <c r="CK171" s="112"/>
      <c r="CL171" s="112"/>
      <c r="CM171" s="112"/>
      <c r="CN171" s="112"/>
      <c r="CO171" s="113" t="s">
        <v>31</v>
      </c>
      <c r="CP171" s="114"/>
      <c r="CQ171" s="129"/>
      <c r="CR171" s="61"/>
      <c r="CS171" s="61"/>
      <c r="CT171" s="61"/>
      <c r="CU171" s="61"/>
      <c r="CV171" s="60"/>
      <c r="DE171" s="43"/>
      <c r="DO171" s="21"/>
      <c r="DP171" s="21"/>
      <c r="DQ171" s="468"/>
      <c r="DR171" s="468"/>
      <c r="DS171" s="468"/>
      <c r="DT171" s="468"/>
      <c r="DU171" s="468"/>
      <c r="DV171" s="31"/>
      <c r="DX171" s="115"/>
      <c r="DY171" s="115"/>
    </row>
    <row r="172" spans="1:129" ht="19.5" customHeight="1">
      <c r="A172" s="186"/>
      <c r="B172" s="249"/>
      <c r="C172" s="1260"/>
      <c r="D172" s="1260"/>
      <c r="E172" s="1260"/>
      <c r="F172" s="1260"/>
      <c r="G172" s="1260"/>
      <c r="H172" s="1260"/>
      <c r="I172" s="1260"/>
      <c r="J172" s="1260"/>
      <c r="K172" s="1260"/>
      <c r="L172" s="212"/>
      <c r="M172" s="212"/>
      <c r="N172" s="212"/>
      <c r="O172" s="254"/>
      <c r="P172" s="254"/>
      <c r="Q172" s="213"/>
      <c r="R172" s="213"/>
      <c r="S172" s="213"/>
      <c r="T172" s="213"/>
      <c r="U172" s="213"/>
      <c r="V172" s="213"/>
      <c r="W172" s="213"/>
      <c r="X172" s="213"/>
      <c r="Y172" s="214"/>
      <c r="Z172" s="214"/>
      <c r="AA172" s="214"/>
      <c r="AB172" s="214"/>
      <c r="AC172" s="214"/>
      <c r="AD172" s="214"/>
      <c r="AE172" s="214"/>
      <c r="AF172" s="214"/>
      <c r="AG172" s="213"/>
      <c r="AH172" s="213"/>
      <c r="AI172" s="213"/>
      <c r="AJ172" s="213"/>
      <c r="AK172" s="253"/>
      <c r="AL172" s="253"/>
      <c r="AM172" s="215"/>
      <c r="AN172" s="215"/>
      <c r="AO172" s="253"/>
      <c r="AP172" s="253"/>
      <c r="AQ172" s="253"/>
      <c r="AR172" s="253"/>
      <c r="AS172" s="253"/>
      <c r="AT172" s="253"/>
      <c r="AU172" s="234"/>
      <c r="BZ172" s="21"/>
      <c r="CA172" s="121"/>
      <c r="CB172" s="204"/>
      <c r="CC172" s="22"/>
      <c r="CD172" s="145"/>
      <c r="CE172" s="145"/>
      <c r="CF172" s="145"/>
      <c r="CH172" s="65" t="s">
        <v>30</v>
      </c>
      <c r="CI172" s="112"/>
      <c r="CJ172" s="112"/>
      <c r="CK172" s="112"/>
      <c r="CL172" s="112"/>
      <c r="CM172" s="112"/>
      <c r="CN172" s="112"/>
      <c r="CO172" s="113" t="s">
        <v>29</v>
      </c>
      <c r="CP172" s="114"/>
      <c r="CQ172" s="129"/>
      <c r="CR172" s="61"/>
      <c r="CS172" s="61"/>
      <c r="CT172" s="61"/>
      <c r="CU172" s="61"/>
      <c r="CV172" s="60"/>
      <c r="DE172" s="43"/>
      <c r="DO172" s="21"/>
      <c r="DP172" s="21"/>
      <c r="DQ172" s="468"/>
      <c r="DR172" s="468"/>
      <c r="DS172" s="468"/>
      <c r="DT172" s="468"/>
      <c r="DU172" s="468"/>
      <c r="DV172" s="31"/>
      <c r="DX172" s="115"/>
      <c r="DY172" s="115"/>
    </row>
    <row r="173" spans="1:129" ht="19.5" customHeight="1" thickBot="1">
      <c r="A173" s="186"/>
      <c r="B173" s="249"/>
      <c r="C173" s="1260"/>
      <c r="D173" s="1260"/>
      <c r="E173" s="1260"/>
      <c r="F173" s="1260"/>
      <c r="G173" s="1260"/>
      <c r="H173" s="1260"/>
      <c r="I173" s="1260"/>
      <c r="J173" s="1260"/>
      <c r="K173" s="1260"/>
      <c r="L173" s="212"/>
      <c r="M173" s="212"/>
      <c r="N173" s="212"/>
      <c r="O173" s="254"/>
      <c r="P173" s="254"/>
      <c r="Q173" s="213"/>
      <c r="R173" s="213"/>
      <c r="S173" s="213"/>
      <c r="T173" s="213"/>
      <c r="U173" s="213"/>
      <c r="V173" s="213"/>
      <c r="W173" s="213"/>
      <c r="X173" s="213"/>
      <c r="Y173" s="214"/>
      <c r="Z173" s="214"/>
      <c r="AA173" s="214"/>
      <c r="AB173" s="214"/>
      <c r="AC173" s="214"/>
      <c r="AD173" s="214"/>
      <c r="AE173" s="214"/>
      <c r="AF173" s="214"/>
      <c r="AG173" s="213"/>
      <c r="AH173" s="213"/>
      <c r="AI173" s="213"/>
      <c r="AJ173" s="213"/>
      <c r="AK173" s="253"/>
      <c r="AL173" s="253"/>
      <c r="AM173" s="215"/>
      <c r="AN173" s="215"/>
      <c r="AO173" s="253"/>
      <c r="AP173" s="253"/>
      <c r="AQ173" s="253"/>
      <c r="AR173" s="253"/>
      <c r="AS173" s="253"/>
      <c r="AT173" s="253"/>
      <c r="AU173" s="234"/>
      <c r="BZ173" s="21"/>
      <c r="CA173" s="121"/>
      <c r="CB173" s="204"/>
      <c r="CC173" s="22"/>
      <c r="CD173" s="145"/>
      <c r="CE173" s="145"/>
      <c r="CF173" s="145"/>
      <c r="CG173" s="33"/>
      <c r="CH173" s="65" t="s">
        <v>28</v>
      </c>
      <c r="CI173" s="112"/>
      <c r="CJ173" s="112"/>
      <c r="CK173" s="112"/>
      <c r="CL173" s="112"/>
      <c r="CM173" s="112"/>
      <c r="CN173" s="112"/>
      <c r="CO173" s="113" t="s">
        <v>551</v>
      </c>
      <c r="CP173" s="114"/>
      <c r="CQ173" s="129"/>
      <c r="CR173" s="61"/>
      <c r="CS173" s="61"/>
      <c r="CT173" s="61"/>
      <c r="CU173" s="61"/>
      <c r="CV173" s="60"/>
      <c r="DE173" s="43"/>
      <c r="DO173" s="21"/>
      <c r="DP173" s="21"/>
      <c r="DQ173" s="468"/>
      <c r="DR173" s="468"/>
      <c r="DS173" s="468"/>
      <c r="DT173" s="468"/>
      <c r="DU173" s="468"/>
      <c r="DV173" s="31"/>
      <c r="DX173" s="115"/>
      <c r="DY173" s="115"/>
    </row>
    <row r="174" spans="1:129" ht="19.5" customHeight="1">
      <c r="A174" s="186"/>
      <c r="B174" s="249"/>
      <c r="C174" s="1923" t="s">
        <v>5107</v>
      </c>
      <c r="D174" s="1924"/>
      <c r="E174" s="1924"/>
      <c r="F174" s="1924"/>
      <c r="G174" s="1924"/>
      <c r="H174" s="1924"/>
      <c r="I174" s="1924"/>
      <c r="J174" s="1925"/>
      <c r="K174" s="1929" t="s">
        <v>5108</v>
      </c>
      <c r="L174" s="1929"/>
      <c r="M174" s="1929"/>
      <c r="N174" s="1929"/>
      <c r="O174" s="1929"/>
      <c r="P174" s="1929"/>
      <c r="Q174" s="1929"/>
      <c r="R174" s="1929"/>
      <c r="S174" s="1929"/>
      <c r="T174" s="1929"/>
      <c r="U174" s="1929"/>
      <c r="V174" s="1929"/>
      <c r="W174" s="1929"/>
      <c r="X174" s="1929"/>
      <c r="Y174" s="1929"/>
      <c r="Z174" s="1929"/>
      <c r="AA174" s="1929"/>
      <c r="AB174" s="1929"/>
      <c r="AC174" s="1929"/>
      <c r="AD174" s="1929"/>
      <c r="AE174" s="1929"/>
      <c r="AF174" s="1929"/>
      <c r="AG174" s="1929"/>
      <c r="AH174" s="1929"/>
      <c r="AI174" s="1929"/>
      <c r="AJ174" s="1929"/>
      <c r="AK174" s="1929"/>
      <c r="AL174" s="1929"/>
      <c r="AM174" s="1929"/>
      <c r="AN174" s="1929"/>
      <c r="AO174" s="1929"/>
      <c r="AP174" s="1929"/>
      <c r="AQ174" s="1929"/>
      <c r="AR174" s="1929"/>
      <c r="AS174" s="1929"/>
      <c r="AT174" s="1930"/>
      <c r="AU174" s="234"/>
      <c r="BA174" s="200"/>
      <c r="BB174" s="200"/>
      <c r="BC174" s="200"/>
      <c r="BD174" s="200"/>
      <c r="BE174" s="200"/>
      <c r="BF174" s="200"/>
      <c r="BG174" s="200"/>
      <c r="BH174" s="200"/>
      <c r="BI174" s="200"/>
      <c r="BZ174" s="24"/>
      <c r="CA174" s="121"/>
      <c r="CB174" s="204"/>
      <c r="CD174" s="145"/>
      <c r="CE174" s="145"/>
      <c r="CF174" s="145"/>
      <c r="CG174" s="31"/>
      <c r="CH174" s="65" t="s">
        <v>27</v>
      </c>
      <c r="CI174" s="112"/>
      <c r="CJ174" s="112"/>
      <c r="CK174" s="112"/>
      <c r="CL174" s="112"/>
      <c r="CM174" s="112"/>
      <c r="CN174" s="112"/>
      <c r="CO174" s="113" t="s">
        <v>552</v>
      </c>
      <c r="CP174" s="114"/>
      <c r="CQ174" s="129"/>
      <c r="CR174" s="61"/>
      <c r="CS174" s="61"/>
      <c r="CT174" s="61"/>
      <c r="CU174" s="61"/>
      <c r="CV174" s="60"/>
      <c r="DE174" s="43"/>
      <c r="DO174" s="21"/>
      <c r="DP174" s="21"/>
      <c r="DQ174" s="468"/>
      <c r="DR174" s="468"/>
      <c r="DS174" s="468"/>
      <c r="DT174" s="468"/>
      <c r="DU174" s="468"/>
      <c r="DV174" s="31"/>
      <c r="DX174" s="115"/>
      <c r="DY174" s="115"/>
    </row>
    <row r="175" spans="1:129" ht="19.5" customHeight="1">
      <c r="A175" s="186"/>
      <c r="B175" s="249"/>
      <c r="C175" s="1926"/>
      <c r="D175" s="1927"/>
      <c r="E175" s="1927"/>
      <c r="F175" s="1927"/>
      <c r="G175" s="1927"/>
      <c r="H175" s="1927"/>
      <c r="I175" s="1927"/>
      <c r="J175" s="1928"/>
      <c r="K175" s="1931" t="s">
        <v>5109</v>
      </c>
      <c r="L175" s="1931"/>
      <c r="M175" s="1931"/>
      <c r="N175" s="1931"/>
      <c r="O175" s="1931"/>
      <c r="P175" s="1931"/>
      <c r="Q175" s="1931"/>
      <c r="R175" s="1931"/>
      <c r="S175" s="1931"/>
      <c r="T175" s="1931"/>
      <c r="U175" s="1931"/>
      <c r="V175" s="1931"/>
      <c r="W175" s="1931"/>
      <c r="X175" s="1931"/>
      <c r="Y175" s="1931"/>
      <c r="Z175" s="1931"/>
      <c r="AA175" s="1931"/>
      <c r="AB175" s="1931"/>
      <c r="AC175" s="1931"/>
      <c r="AD175" s="1931"/>
      <c r="AE175" s="1931"/>
      <c r="AF175" s="1931"/>
      <c r="AG175" s="1931"/>
      <c r="AH175" s="1931"/>
      <c r="AI175" s="1931"/>
      <c r="AJ175" s="1931"/>
      <c r="AK175" s="1931"/>
      <c r="AL175" s="1931"/>
      <c r="AM175" s="1931"/>
      <c r="AN175" s="1931"/>
      <c r="AO175" s="1931"/>
      <c r="AP175" s="1931"/>
      <c r="AQ175" s="1931"/>
      <c r="AR175" s="1931"/>
      <c r="AS175" s="1931"/>
      <c r="AT175" s="1932"/>
      <c r="AU175" s="234"/>
      <c r="AV175" s="199" t="b">
        <v>1</v>
      </c>
      <c r="AX175" s="166" t="s">
        <v>2078</v>
      </c>
      <c r="AY175" s="166" t="s">
        <v>2275</v>
      </c>
      <c r="AZ175" s="166" t="s">
        <v>2276</v>
      </c>
      <c r="BA175" s="158" t="s">
        <v>2277</v>
      </c>
      <c r="BB175" s="158" t="s">
        <v>2278</v>
      </c>
      <c r="BC175" s="158" t="s">
        <v>2279</v>
      </c>
      <c r="BD175" s="158" t="s">
        <v>2280</v>
      </c>
      <c r="BE175" s="158" t="s">
        <v>2281</v>
      </c>
      <c r="BF175" s="158" t="s">
        <v>2282</v>
      </c>
      <c r="BG175" s="158" t="s">
        <v>2283</v>
      </c>
      <c r="BH175" s="158"/>
      <c r="BI175" s="158"/>
      <c r="BZ175" s="24"/>
      <c r="CA175" s="121"/>
      <c r="CB175" s="204"/>
      <c r="CD175" s="145"/>
      <c r="CE175" s="145"/>
      <c r="CF175" s="145"/>
      <c r="CG175" s="31"/>
      <c r="CH175" s="65" t="s">
        <v>26</v>
      </c>
      <c r="CI175" s="112"/>
      <c r="CJ175" s="112"/>
      <c r="CK175" s="112"/>
      <c r="CL175" s="112"/>
      <c r="CM175" s="112"/>
      <c r="CN175" s="112"/>
      <c r="CO175" s="113" t="s">
        <v>553</v>
      </c>
      <c r="CP175" s="114"/>
      <c r="CQ175" s="129"/>
      <c r="CR175" s="61"/>
      <c r="CS175" s="61"/>
      <c r="CT175" s="61"/>
      <c r="CU175" s="61"/>
      <c r="CV175" s="60"/>
      <c r="DE175" s="43"/>
      <c r="DO175" s="21"/>
      <c r="DP175" s="21"/>
      <c r="DQ175" s="468"/>
      <c r="DR175" s="468"/>
      <c r="DS175" s="468"/>
      <c r="DT175" s="468"/>
      <c r="DU175" s="468"/>
      <c r="DV175" s="31"/>
      <c r="DX175" s="115"/>
      <c r="DY175" s="115"/>
    </row>
    <row r="176" spans="1:129" ht="19.5" customHeight="1" thickBot="1">
      <c r="A176" s="186"/>
      <c r="B176" s="249"/>
      <c r="C176" s="1262"/>
      <c r="D176" s="1263"/>
      <c r="E176" s="1263"/>
      <c r="F176" s="1263"/>
      <c r="G176" s="1263"/>
      <c r="H176" s="1263"/>
      <c r="I176" s="1263"/>
      <c r="J176" s="1264"/>
      <c r="K176" s="2709" t="s">
        <v>5110</v>
      </c>
      <c r="L176" s="2709"/>
      <c r="M176" s="2709"/>
      <c r="N176" s="2709"/>
      <c r="O176" s="2709"/>
      <c r="P176" s="2709"/>
      <c r="Q176" s="2709"/>
      <c r="R176" s="2709"/>
      <c r="S176" s="2709"/>
      <c r="T176" s="2709"/>
      <c r="U176" s="2709"/>
      <c r="V176" s="2709"/>
      <c r="W176" s="2709"/>
      <c r="X176" s="2709"/>
      <c r="Y176" s="2709"/>
      <c r="Z176" s="2709"/>
      <c r="AA176" s="2709"/>
      <c r="AB176" s="2709"/>
      <c r="AC176" s="2709"/>
      <c r="AD176" s="2709"/>
      <c r="AE176" s="2709"/>
      <c r="AF176" s="2709"/>
      <c r="AG176" s="2709"/>
      <c r="AH176" s="2709"/>
      <c r="AI176" s="2709"/>
      <c r="AJ176" s="2709"/>
      <c r="AK176" s="2709"/>
      <c r="AL176" s="2709"/>
      <c r="AM176" s="2709"/>
      <c r="AN176" s="2709"/>
      <c r="AO176" s="2709"/>
      <c r="AP176" s="2709"/>
      <c r="AQ176" s="2709"/>
      <c r="AR176" s="2709"/>
      <c r="AS176" s="2709"/>
      <c r="AT176" s="2710"/>
      <c r="AU176" s="234"/>
      <c r="AX176" s="659" t="s">
        <v>2072</v>
      </c>
      <c r="AY176" s="788" t="s">
        <v>2284</v>
      </c>
      <c r="AZ176" s="788" t="s">
        <v>2283</v>
      </c>
      <c r="BA176" s="789" t="s">
        <v>2285</v>
      </c>
      <c r="BB176" s="789" t="s">
        <v>2286</v>
      </c>
      <c r="BC176" s="788" t="s">
        <v>2287</v>
      </c>
      <c r="BD176" s="789" t="s">
        <v>2276</v>
      </c>
      <c r="BE176" s="660" t="s">
        <v>2281</v>
      </c>
      <c r="BF176" s="789" t="s">
        <v>2079</v>
      </c>
      <c r="BG176" s="788" t="s">
        <v>2289</v>
      </c>
      <c r="BH176" s="661" t="s">
        <v>2290</v>
      </c>
      <c r="BI176" s="661" t="s">
        <v>2080</v>
      </c>
      <c r="BZ176" s="24"/>
      <c r="CA176" s="121"/>
      <c r="CB176" s="204"/>
      <c r="CD176" s="145"/>
      <c r="CE176" s="145"/>
      <c r="CF176" s="145"/>
      <c r="CG176" s="31"/>
      <c r="CH176" s="65" t="s">
        <v>25</v>
      </c>
      <c r="CI176" s="112"/>
      <c r="CJ176" s="112"/>
      <c r="CK176" s="112"/>
      <c r="CL176" s="112"/>
      <c r="CM176" s="112"/>
      <c r="CN176" s="112"/>
      <c r="CO176" s="113" t="s">
        <v>554</v>
      </c>
      <c r="CP176" s="114"/>
      <c r="CQ176" s="23"/>
      <c r="CR176" s="61"/>
      <c r="CS176" s="61"/>
      <c r="CT176" s="61"/>
      <c r="CU176" s="61"/>
      <c r="CV176" s="60"/>
      <c r="DE176" s="43"/>
      <c r="DO176" s="21"/>
      <c r="DP176" s="21"/>
      <c r="DQ176" s="468"/>
      <c r="DR176" s="468"/>
      <c r="DS176" s="468"/>
      <c r="DT176" s="468"/>
      <c r="DU176" s="468"/>
      <c r="DV176" s="31"/>
      <c r="DX176" s="115"/>
      <c r="DY176" s="115"/>
    </row>
    <row r="177" spans="1:129" ht="19.5" customHeight="1">
      <c r="A177" s="186"/>
      <c r="B177" s="249"/>
      <c r="C177" s="1260"/>
      <c r="D177" s="1260"/>
      <c r="E177" s="1260"/>
      <c r="F177" s="1260"/>
      <c r="G177" s="1260"/>
      <c r="H177" s="1260"/>
      <c r="I177" s="1260"/>
      <c r="J177" s="1260"/>
      <c r="K177" s="1260"/>
      <c r="L177" s="212"/>
      <c r="M177" s="212"/>
      <c r="N177" s="212"/>
      <c r="O177" s="254"/>
      <c r="P177" s="254"/>
      <c r="Q177" s="213"/>
      <c r="R177" s="213"/>
      <c r="S177" s="213"/>
      <c r="T177" s="213"/>
      <c r="U177" s="213"/>
      <c r="V177" s="213"/>
      <c r="W177" s="213"/>
      <c r="X177" s="213"/>
      <c r="Y177" s="214"/>
      <c r="Z177" s="214"/>
      <c r="AA177" s="214"/>
      <c r="AB177" s="214"/>
      <c r="AC177" s="214"/>
      <c r="AD177" s="214"/>
      <c r="AE177" s="214"/>
      <c r="AF177" s="214"/>
      <c r="AG177" s="213"/>
      <c r="AH177" s="213"/>
      <c r="AI177" s="213"/>
      <c r="AJ177" s="213"/>
      <c r="AK177" s="253"/>
      <c r="AL177" s="253"/>
      <c r="AM177" s="215"/>
      <c r="AN177" s="215"/>
      <c r="AO177" s="253"/>
      <c r="AP177" s="253"/>
      <c r="AQ177" s="253"/>
      <c r="AR177" s="253"/>
      <c r="AS177" s="253"/>
      <c r="AT177" s="253"/>
      <c r="AU177" s="234"/>
      <c r="AX177" s="786" t="s">
        <v>2073</v>
      </c>
      <c r="AY177" s="786" t="s">
        <v>2073</v>
      </c>
      <c r="AZ177" s="786" t="s">
        <v>2073</v>
      </c>
      <c r="BA177" s="786" t="s">
        <v>2073</v>
      </c>
      <c r="BB177" s="786" t="s">
        <v>2073</v>
      </c>
      <c r="BC177" s="786" t="s">
        <v>2073</v>
      </c>
      <c r="BD177" s="663" t="s">
        <v>2073</v>
      </c>
      <c r="BE177" s="151" t="s">
        <v>2073</v>
      </c>
      <c r="BF177" s="786" t="s">
        <v>2073</v>
      </c>
      <c r="BG177" s="786" t="s">
        <v>2073</v>
      </c>
      <c r="BH177" s="663" t="s">
        <v>2073</v>
      </c>
      <c r="BI177" s="790" t="s">
        <v>2073</v>
      </c>
      <c r="BZ177" s="24"/>
      <c r="CA177" s="121"/>
      <c r="CB177" s="204"/>
      <c r="CD177" s="145"/>
      <c r="CE177" s="145"/>
      <c r="CF177" s="145"/>
      <c r="CG177" s="31"/>
      <c r="CH177" s="65" t="s">
        <v>641</v>
      </c>
      <c r="CI177" s="112"/>
      <c r="CJ177" s="112"/>
      <c r="CK177" s="112"/>
      <c r="CL177" s="112"/>
      <c r="CM177" s="112"/>
      <c r="CN177" s="112"/>
      <c r="CO177" s="113" t="s">
        <v>561</v>
      </c>
      <c r="CP177" s="114"/>
      <c r="CQ177" s="23"/>
      <c r="CR177" s="61"/>
      <c r="CS177" s="61"/>
      <c r="CT177" s="61"/>
      <c r="CU177" s="61"/>
      <c r="CV177" s="60"/>
      <c r="DE177" s="43"/>
      <c r="DO177" s="21"/>
      <c r="DP177" s="21"/>
      <c r="DQ177" s="468"/>
      <c r="DR177" s="468"/>
      <c r="DS177" s="468"/>
      <c r="DT177" s="468"/>
      <c r="DU177" s="468"/>
      <c r="DV177" s="31"/>
      <c r="DX177" s="115"/>
      <c r="DY177" s="115"/>
    </row>
    <row r="178" spans="1:129" ht="19.5" customHeight="1">
      <c r="A178" s="186"/>
      <c r="B178" s="249"/>
      <c r="C178" s="1260"/>
      <c r="D178" s="1260"/>
      <c r="E178" s="1260"/>
      <c r="F178" s="1260"/>
      <c r="G178" s="1260"/>
      <c r="H178" s="1260"/>
      <c r="I178" s="1260"/>
      <c r="J178" s="1260"/>
      <c r="K178" s="1260"/>
      <c r="L178" s="212"/>
      <c r="M178" s="212"/>
      <c r="N178" s="212"/>
      <c r="O178" s="254"/>
      <c r="P178" s="254"/>
      <c r="Q178" s="213"/>
      <c r="R178" s="213"/>
      <c r="S178" s="213"/>
      <c r="T178" s="213"/>
      <c r="U178" s="213"/>
      <c r="V178" s="213"/>
      <c r="W178" s="213"/>
      <c r="X178" s="213"/>
      <c r="Y178" s="214"/>
      <c r="Z178" s="214"/>
      <c r="AA178" s="214"/>
      <c r="AB178" s="214"/>
      <c r="AC178" s="214"/>
      <c r="AD178" s="214"/>
      <c r="AE178" s="214"/>
      <c r="AF178" s="214"/>
      <c r="AG178" s="213"/>
      <c r="AH178" s="213"/>
      <c r="AI178" s="213"/>
      <c r="AJ178" s="213"/>
      <c r="AK178" s="253"/>
      <c r="AL178" s="253"/>
      <c r="AM178" s="215"/>
      <c r="AN178" s="215"/>
      <c r="AO178" s="253"/>
      <c r="AP178" s="253"/>
      <c r="AQ178" s="253"/>
      <c r="AR178" s="253"/>
      <c r="AS178" s="253"/>
      <c r="AT178" s="253"/>
      <c r="AU178" s="234"/>
      <c r="AX178" s="664" t="s">
        <v>2265</v>
      </c>
      <c r="AY178" s="664" t="s">
        <v>2292</v>
      </c>
      <c r="AZ178" s="664" t="s">
        <v>2293</v>
      </c>
      <c r="BA178" s="666" t="s">
        <v>2294</v>
      </c>
      <c r="BB178" s="666" t="s">
        <v>2295</v>
      </c>
      <c r="BC178" s="666" t="s">
        <v>2296</v>
      </c>
      <c r="BD178" s="667" t="s">
        <v>2297</v>
      </c>
      <c r="BE178" s="152" t="s">
        <v>2298</v>
      </c>
      <c r="BF178" s="666" t="s">
        <v>2299</v>
      </c>
      <c r="BG178" s="666" t="s">
        <v>2300</v>
      </c>
      <c r="BH178" s="667" t="s">
        <v>2301</v>
      </c>
      <c r="BI178" s="158"/>
      <c r="BZ178" s="24"/>
      <c r="CA178" s="121"/>
      <c r="CB178" s="204"/>
      <c r="CD178" s="145"/>
      <c r="CE178" s="145"/>
      <c r="CF178" s="145"/>
      <c r="CG178" s="31"/>
      <c r="CH178" s="65" t="s">
        <v>580</v>
      </c>
      <c r="CI178" s="112"/>
      <c r="CJ178" s="112"/>
      <c r="CK178" s="112"/>
      <c r="CL178" s="112"/>
      <c r="CM178" s="112"/>
      <c r="CN178" s="112"/>
      <c r="CO178" s="113" t="s">
        <v>636</v>
      </c>
      <c r="CP178" s="114"/>
      <c r="CQ178" s="23"/>
      <c r="CR178" s="61"/>
      <c r="CS178" s="61"/>
      <c r="CT178" s="61"/>
      <c r="CU178" s="61"/>
      <c r="CV178" s="60"/>
      <c r="DE178" s="43"/>
      <c r="DO178" s="21"/>
      <c r="DP178" s="21"/>
      <c r="DQ178" s="468"/>
      <c r="DR178" s="468"/>
      <c r="DS178" s="468"/>
      <c r="DT178" s="468"/>
      <c r="DU178" s="468"/>
      <c r="DV178" s="31"/>
      <c r="DX178" s="115"/>
      <c r="DY178" s="115"/>
    </row>
    <row r="179" spans="1:129" ht="19.5" customHeight="1">
      <c r="A179" s="186"/>
      <c r="B179" s="249"/>
      <c r="C179" s="1260"/>
      <c r="D179" s="1260"/>
      <c r="E179" s="1260"/>
      <c r="F179" s="1260"/>
      <c r="G179" s="1260"/>
      <c r="H179" s="1260"/>
      <c r="I179" s="1260"/>
      <c r="J179" s="1260"/>
      <c r="K179" s="1260"/>
      <c r="L179" s="212"/>
      <c r="M179" s="212"/>
      <c r="N179" s="212"/>
      <c r="O179" s="254"/>
      <c r="P179" s="254"/>
      <c r="Q179" s="213"/>
      <c r="R179" s="213"/>
      <c r="S179" s="213"/>
      <c r="T179" s="213"/>
      <c r="U179" s="213"/>
      <c r="V179" s="213"/>
      <c r="W179" s="213"/>
      <c r="X179" s="213"/>
      <c r="Y179" s="214"/>
      <c r="Z179" s="214"/>
      <c r="AA179" s="214"/>
      <c r="AB179" s="214"/>
      <c r="AC179" s="214"/>
      <c r="AD179" s="214"/>
      <c r="AE179" s="214"/>
      <c r="AF179" s="214"/>
      <c r="AG179" s="213"/>
      <c r="AH179" s="213"/>
      <c r="AI179" s="213"/>
      <c r="AJ179" s="213"/>
      <c r="AK179" s="253"/>
      <c r="AL179" s="253"/>
      <c r="AM179" s="215"/>
      <c r="AN179" s="215"/>
      <c r="AO179" s="253"/>
      <c r="AP179" s="253"/>
      <c r="AQ179" s="253"/>
      <c r="AR179" s="253"/>
      <c r="AS179" s="253"/>
      <c r="AT179" s="253"/>
      <c r="AU179" s="234"/>
      <c r="AX179" s="664" t="s">
        <v>2266</v>
      </c>
      <c r="AY179" s="664" t="s">
        <v>2302</v>
      </c>
      <c r="AZ179" s="664" t="s">
        <v>2303</v>
      </c>
      <c r="BA179" s="666" t="s">
        <v>2304</v>
      </c>
      <c r="BB179" s="666" t="s">
        <v>2305</v>
      </c>
      <c r="BC179" s="666" t="s">
        <v>2306</v>
      </c>
      <c r="BD179" s="667" t="s">
        <v>2307</v>
      </c>
      <c r="BE179" s="152" t="s">
        <v>2308</v>
      </c>
      <c r="BF179" s="666" t="s">
        <v>2309</v>
      </c>
      <c r="BG179" s="666" t="s">
        <v>2310</v>
      </c>
      <c r="BH179" s="667" t="s">
        <v>2311</v>
      </c>
      <c r="BI179" s="158"/>
      <c r="BZ179" s="24"/>
      <c r="CA179" s="121"/>
      <c r="CB179" s="204"/>
      <c r="CD179" s="145"/>
      <c r="CE179" s="145"/>
      <c r="CF179" s="145"/>
      <c r="CG179" s="31"/>
      <c r="CH179" s="86"/>
      <c r="CI179" s="57"/>
      <c r="CJ179" s="57"/>
      <c r="CK179" s="57"/>
      <c r="CL179" s="57"/>
      <c r="CO179" s="129"/>
      <c r="CP179" s="58"/>
      <c r="CQ179" s="23"/>
      <c r="CR179" s="61"/>
      <c r="CS179" s="61"/>
      <c r="CT179" s="61"/>
      <c r="CU179" s="61"/>
      <c r="CV179" s="60"/>
      <c r="DE179" s="43"/>
      <c r="DO179" s="21"/>
      <c r="DP179" s="21"/>
      <c r="DQ179" s="468"/>
      <c r="DR179" s="468"/>
      <c r="DS179" s="468"/>
      <c r="DT179" s="468"/>
      <c r="DU179" s="468"/>
      <c r="DV179" s="31"/>
      <c r="DX179" s="115"/>
      <c r="DY179" s="115"/>
    </row>
    <row r="180" spans="1:129" ht="19.5" customHeight="1">
      <c r="A180" s="186"/>
      <c r="B180" s="249"/>
      <c r="C180" s="217" t="s">
        <v>852</v>
      </c>
      <c r="D180" s="218"/>
      <c r="E180" s="218"/>
      <c r="F180" s="218"/>
      <c r="G180" s="218"/>
      <c r="H180" s="218"/>
      <c r="I180" s="218"/>
      <c r="J180" s="218"/>
      <c r="K180" s="218"/>
      <c r="L180" s="218"/>
      <c r="M180" s="218"/>
      <c r="N180" s="219"/>
      <c r="O180" s="219"/>
      <c r="P180" s="219"/>
      <c r="Q180" s="219"/>
      <c r="R180" s="219"/>
      <c r="S180" s="219"/>
      <c r="T180" s="219"/>
      <c r="U180" s="219"/>
      <c r="V180" s="219"/>
      <c r="W180" s="219"/>
      <c r="X180" s="219"/>
      <c r="Y180" s="220"/>
      <c r="Z180" s="220"/>
      <c r="AA180" s="220"/>
      <c r="AB180" s="220"/>
      <c r="AC180" s="220"/>
      <c r="AD180" s="220"/>
      <c r="AE180" s="220"/>
      <c r="AF180" s="220"/>
      <c r="AG180" s="220"/>
      <c r="AH180" s="220"/>
      <c r="AI180" s="220"/>
      <c r="AJ180" s="220"/>
      <c r="AK180" s="220"/>
      <c r="AL180" s="220"/>
      <c r="AM180" s="220"/>
      <c r="AN180" s="220"/>
      <c r="AO180" s="220"/>
      <c r="AP180" s="220"/>
      <c r="AQ180" s="220"/>
      <c r="AR180" s="220"/>
      <c r="AS180" s="220"/>
      <c r="AT180" s="220"/>
      <c r="AU180" s="234"/>
      <c r="AX180" s="664" t="s">
        <v>2267</v>
      </c>
      <c r="AY180" s="664" t="s">
        <v>2312</v>
      </c>
      <c r="AZ180" s="787" t="s">
        <v>2313</v>
      </c>
      <c r="BA180" s="666" t="s">
        <v>2314</v>
      </c>
      <c r="BB180" s="668" t="s">
        <v>2315</v>
      </c>
      <c r="BC180" s="666" t="s">
        <v>2316</v>
      </c>
      <c r="BD180" s="667" t="s">
        <v>2317</v>
      </c>
      <c r="BE180" s="791" t="s">
        <v>2318</v>
      </c>
      <c r="BF180" s="666" t="s">
        <v>2319</v>
      </c>
      <c r="BG180" s="666" t="s">
        <v>2320</v>
      </c>
      <c r="BH180" s="667" t="s">
        <v>2321</v>
      </c>
      <c r="BI180" s="158"/>
      <c r="BZ180" s="24"/>
      <c r="CA180" s="121"/>
      <c r="CB180" s="204"/>
      <c r="CD180" s="145"/>
      <c r="CE180" s="145"/>
      <c r="CF180" s="145"/>
      <c r="CG180" s="31"/>
      <c r="CH180" s="86"/>
      <c r="CI180" s="57"/>
      <c r="CJ180" s="57"/>
      <c r="CK180" s="57"/>
      <c r="CL180" s="57"/>
      <c r="CO180" s="129"/>
      <c r="CP180" s="58"/>
      <c r="CQ180" s="23"/>
      <c r="CR180" s="61"/>
      <c r="CS180" s="61"/>
      <c r="CT180" s="61"/>
      <c r="CU180" s="61"/>
      <c r="CV180" s="60"/>
      <c r="DE180" s="43"/>
      <c r="DO180" s="21"/>
      <c r="DP180" s="21"/>
      <c r="DQ180" s="468"/>
      <c r="DR180" s="468"/>
      <c r="DS180" s="468"/>
      <c r="DT180" s="468"/>
      <c r="DU180" s="468"/>
      <c r="DV180" s="31"/>
      <c r="DX180" s="115"/>
      <c r="DY180" s="115"/>
    </row>
    <row r="181" spans="1:129" ht="19.5" customHeight="1">
      <c r="A181" s="186"/>
      <c r="B181" s="249"/>
      <c r="C181" s="2703" t="s">
        <v>943</v>
      </c>
      <c r="D181" s="2704"/>
      <c r="E181" s="2704"/>
      <c r="F181" s="2704"/>
      <c r="G181" s="2704"/>
      <c r="H181" s="2704"/>
      <c r="I181" s="2704"/>
      <c r="J181" s="2704"/>
      <c r="K181" s="2704"/>
      <c r="L181" s="2704"/>
      <c r="M181" s="2705"/>
      <c r="N181" s="2706" t="s">
        <v>1014</v>
      </c>
      <c r="O181" s="2706"/>
      <c r="P181" s="2706"/>
      <c r="Q181" s="2706"/>
      <c r="R181" s="2706" t="s">
        <v>3825</v>
      </c>
      <c r="S181" s="2706"/>
      <c r="T181" s="2706"/>
      <c r="U181" s="2706"/>
      <c r="V181" s="2707" t="s">
        <v>942</v>
      </c>
      <c r="W181" s="2707"/>
      <c r="X181" s="2707"/>
      <c r="Y181" s="2707"/>
      <c r="Z181" s="2707"/>
      <c r="AA181" s="2707"/>
      <c r="AB181" s="2707"/>
      <c r="AC181" s="2707"/>
      <c r="AD181" s="2707"/>
      <c r="AE181" s="2707"/>
      <c r="AF181" s="2707"/>
      <c r="AG181" s="2707"/>
      <c r="AH181" s="2707"/>
      <c r="AI181" s="2707"/>
      <c r="AJ181" s="2707"/>
      <c r="AK181" s="2707"/>
      <c r="AL181" s="2707"/>
      <c r="AM181" s="2707"/>
      <c r="AN181" s="2707"/>
      <c r="AO181" s="2707"/>
      <c r="AP181" s="2707"/>
      <c r="AQ181" s="2707"/>
      <c r="AR181" s="2707"/>
      <c r="AS181" s="2707"/>
      <c r="AT181" s="2708"/>
      <c r="AU181" s="234"/>
      <c r="AX181" s="664" t="s">
        <v>2268</v>
      </c>
      <c r="AY181" s="664" t="s">
        <v>2322</v>
      </c>
      <c r="AZ181" s="151"/>
      <c r="BA181" s="666" t="s">
        <v>2323</v>
      </c>
      <c r="BB181" s="152"/>
      <c r="BC181" s="666" t="s">
        <v>2324</v>
      </c>
      <c r="BD181" s="667" t="s">
        <v>2325</v>
      </c>
      <c r="BE181" s="158"/>
      <c r="BF181" s="666" t="s">
        <v>2326</v>
      </c>
      <c r="BG181" s="668" t="s">
        <v>2327</v>
      </c>
      <c r="BH181" s="667" t="s">
        <v>2328</v>
      </c>
      <c r="BI181" s="158"/>
      <c r="BZ181" s="21"/>
      <c r="CA181" s="22"/>
      <c r="CB181" s="204"/>
      <c r="CD181" s="145"/>
      <c r="CE181" s="145"/>
      <c r="CF181" s="145"/>
      <c r="CG181" s="31"/>
      <c r="CH181" s="86"/>
      <c r="CI181" s="57"/>
      <c r="CJ181" s="57"/>
      <c r="CK181" s="57"/>
      <c r="CL181" s="57"/>
      <c r="CO181" s="129"/>
      <c r="CP181" s="58"/>
      <c r="CQ181" s="23"/>
      <c r="CR181" s="61"/>
      <c r="CS181" s="61"/>
      <c r="CT181" s="61"/>
      <c r="CU181" s="61"/>
      <c r="CV181" s="60"/>
      <c r="DE181" s="43"/>
      <c r="DO181" s="21"/>
      <c r="DP181" s="21"/>
      <c r="DQ181" s="468"/>
      <c r="DR181" s="468"/>
      <c r="DS181" s="468"/>
      <c r="DT181" s="468"/>
      <c r="DU181" s="468"/>
      <c r="DV181" s="31"/>
      <c r="DX181" s="115"/>
      <c r="DY181" s="115"/>
    </row>
    <row r="182" spans="1:129" ht="19.5" customHeight="1">
      <c r="A182" s="186"/>
      <c r="B182" s="249"/>
      <c r="C182" s="1874" t="s">
        <v>3573</v>
      </c>
      <c r="D182" s="1875"/>
      <c r="E182" s="1875"/>
      <c r="F182" s="1875"/>
      <c r="G182" s="1875"/>
      <c r="H182" s="1875"/>
      <c r="I182" s="1875"/>
      <c r="J182" s="1875"/>
      <c r="K182" s="1875"/>
      <c r="L182" s="1875"/>
      <c r="M182" s="1875"/>
      <c r="N182" s="1900" t="s">
        <v>3826</v>
      </c>
      <c r="O182" s="1900"/>
      <c r="P182" s="1900"/>
      <c r="Q182" s="1900"/>
      <c r="R182" s="1900" t="s">
        <v>3826</v>
      </c>
      <c r="S182" s="1900"/>
      <c r="T182" s="1900"/>
      <c r="U182" s="1900"/>
      <c r="V182" s="1901" t="s">
        <v>3852</v>
      </c>
      <c r="W182" s="1902"/>
      <c r="X182" s="1902"/>
      <c r="Y182" s="1902"/>
      <c r="Z182" s="1902"/>
      <c r="AA182" s="1902"/>
      <c r="AB182" s="1902"/>
      <c r="AC182" s="1902"/>
      <c r="AD182" s="1902"/>
      <c r="AE182" s="1902"/>
      <c r="AF182" s="1902"/>
      <c r="AG182" s="1902"/>
      <c r="AH182" s="1902"/>
      <c r="AI182" s="1902"/>
      <c r="AJ182" s="1902"/>
      <c r="AK182" s="1902"/>
      <c r="AL182" s="1902"/>
      <c r="AM182" s="1902"/>
      <c r="AN182" s="1902"/>
      <c r="AO182" s="1902"/>
      <c r="AP182" s="1902"/>
      <c r="AQ182" s="1902"/>
      <c r="AR182" s="1902"/>
      <c r="AS182" s="1902"/>
      <c r="AT182" s="1902"/>
      <c r="AU182" s="234"/>
      <c r="AX182" s="664" t="s">
        <v>2269</v>
      </c>
      <c r="AY182" s="664" t="s">
        <v>2329</v>
      </c>
      <c r="AZ182" s="151"/>
      <c r="BA182" s="666" t="s">
        <v>2330</v>
      </c>
      <c r="BB182" s="152"/>
      <c r="BC182" s="668" t="s">
        <v>2331</v>
      </c>
      <c r="BD182" s="667" t="s">
        <v>2332</v>
      </c>
      <c r="BE182" s="158"/>
      <c r="BF182" s="667" t="s">
        <v>2333</v>
      </c>
      <c r="BG182" s="158"/>
      <c r="BH182" s="667" t="s">
        <v>2334</v>
      </c>
      <c r="BI182" s="158"/>
      <c r="BZ182" s="120"/>
      <c r="CA182" s="22"/>
      <c r="CB182" s="204"/>
      <c r="CD182" s="145"/>
      <c r="CE182" s="145"/>
      <c r="CF182" s="145"/>
      <c r="CG182" s="31"/>
      <c r="CH182" s="86"/>
      <c r="CI182" s="57"/>
      <c r="CJ182" s="57"/>
      <c r="CK182" s="57"/>
      <c r="CL182" s="57"/>
      <c r="CO182" s="129"/>
      <c r="CP182" s="58"/>
      <c r="CQ182" s="23"/>
      <c r="CR182" s="61"/>
      <c r="CS182" s="61"/>
      <c r="CT182" s="61"/>
      <c r="CU182" s="61"/>
      <c r="CV182" s="60"/>
      <c r="DE182" s="43"/>
      <c r="DO182" s="21"/>
      <c r="DP182" s="21"/>
      <c r="DQ182" s="468"/>
      <c r="DR182" s="468"/>
      <c r="DS182" s="468"/>
      <c r="DT182" s="468"/>
      <c r="DU182" s="468"/>
      <c r="DV182" s="31"/>
      <c r="DX182" s="115"/>
      <c r="DY182" s="115"/>
    </row>
    <row r="183" spans="1:129" ht="19.5" customHeight="1">
      <c r="A183" s="186"/>
      <c r="B183" s="249"/>
      <c r="C183" s="1875"/>
      <c r="D183" s="1875"/>
      <c r="E183" s="1875"/>
      <c r="F183" s="1875"/>
      <c r="G183" s="1875"/>
      <c r="H183" s="1875"/>
      <c r="I183" s="1875"/>
      <c r="J183" s="1875"/>
      <c r="K183" s="1875"/>
      <c r="L183" s="1875"/>
      <c r="M183" s="1875"/>
      <c r="N183" s="1900"/>
      <c r="O183" s="1900"/>
      <c r="P183" s="1900"/>
      <c r="Q183" s="1900"/>
      <c r="R183" s="1900"/>
      <c r="S183" s="1900"/>
      <c r="T183" s="1900"/>
      <c r="U183" s="1900"/>
      <c r="V183" s="1902"/>
      <c r="W183" s="1902"/>
      <c r="X183" s="1902"/>
      <c r="Y183" s="1902"/>
      <c r="Z183" s="1902"/>
      <c r="AA183" s="1902"/>
      <c r="AB183" s="1902"/>
      <c r="AC183" s="1902"/>
      <c r="AD183" s="1902"/>
      <c r="AE183" s="1902"/>
      <c r="AF183" s="1902"/>
      <c r="AG183" s="1902"/>
      <c r="AH183" s="1902"/>
      <c r="AI183" s="1902"/>
      <c r="AJ183" s="1902"/>
      <c r="AK183" s="1902"/>
      <c r="AL183" s="1902"/>
      <c r="AM183" s="1902"/>
      <c r="AN183" s="1902"/>
      <c r="AO183" s="1902"/>
      <c r="AP183" s="1902"/>
      <c r="AQ183" s="1902"/>
      <c r="AR183" s="1902"/>
      <c r="AS183" s="1902"/>
      <c r="AT183" s="1902"/>
      <c r="AU183" s="234"/>
      <c r="AX183" s="664" t="s">
        <v>2270</v>
      </c>
      <c r="AY183" s="664" t="s">
        <v>2335</v>
      </c>
      <c r="AZ183" s="151"/>
      <c r="BA183" s="666" t="s">
        <v>2336</v>
      </c>
      <c r="BB183" s="152"/>
      <c r="BC183" s="152"/>
      <c r="BD183" s="667" t="s">
        <v>2337</v>
      </c>
      <c r="BE183" s="158"/>
      <c r="BF183" s="667" t="s">
        <v>2338</v>
      </c>
      <c r="BG183" s="158"/>
      <c r="BH183" s="667" t="s">
        <v>2339</v>
      </c>
      <c r="BI183" s="158"/>
      <c r="BZ183" s="120"/>
      <c r="CA183" s="22"/>
      <c r="CB183" s="204"/>
      <c r="CD183" s="145"/>
      <c r="CE183" s="145"/>
      <c r="CF183" s="145"/>
      <c r="CG183" s="31"/>
      <c r="CH183" s="86"/>
      <c r="CI183" s="57"/>
      <c r="CJ183" s="57"/>
      <c r="CK183" s="57"/>
      <c r="CL183" s="57"/>
      <c r="CO183" s="129"/>
      <c r="CP183" s="58"/>
      <c r="CQ183" s="129"/>
      <c r="CR183" s="61"/>
      <c r="CS183" s="61"/>
      <c r="CT183" s="61"/>
      <c r="CU183" s="61"/>
      <c r="CV183" s="60"/>
      <c r="DE183" s="43"/>
      <c r="DO183" s="21"/>
      <c r="DP183" s="21"/>
      <c r="DQ183" s="468"/>
      <c r="DR183" s="468"/>
      <c r="DS183" s="468"/>
      <c r="DT183" s="468"/>
      <c r="DU183" s="468"/>
      <c r="DV183" s="31"/>
      <c r="DX183" s="115"/>
      <c r="DY183" s="115"/>
    </row>
    <row r="184" spans="1:129" ht="19.5" customHeight="1">
      <c r="A184" s="186"/>
      <c r="B184" s="249"/>
      <c r="C184" s="1874" t="s">
        <v>3828</v>
      </c>
      <c r="D184" s="1874"/>
      <c r="E184" s="1874"/>
      <c r="F184" s="1874"/>
      <c r="G184" s="1874"/>
      <c r="H184" s="1874"/>
      <c r="I184" s="1874"/>
      <c r="J184" s="1874"/>
      <c r="K184" s="1874"/>
      <c r="L184" s="1874"/>
      <c r="M184" s="1874"/>
      <c r="N184" s="1876" t="s">
        <v>3826</v>
      </c>
      <c r="O184" s="1876"/>
      <c r="P184" s="1876"/>
      <c r="Q184" s="1876"/>
      <c r="R184" s="1876" t="s">
        <v>3827</v>
      </c>
      <c r="S184" s="1876"/>
      <c r="T184" s="1876"/>
      <c r="U184" s="1876"/>
      <c r="V184" s="1902"/>
      <c r="W184" s="1902"/>
      <c r="X184" s="1902"/>
      <c r="Y184" s="1902"/>
      <c r="Z184" s="1902"/>
      <c r="AA184" s="1902"/>
      <c r="AB184" s="1902"/>
      <c r="AC184" s="1902"/>
      <c r="AD184" s="1902"/>
      <c r="AE184" s="1902"/>
      <c r="AF184" s="1902"/>
      <c r="AG184" s="1902"/>
      <c r="AH184" s="1902"/>
      <c r="AI184" s="1902"/>
      <c r="AJ184" s="1902"/>
      <c r="AK184" s="1902"/>
      <c r="AL184" s="1902"/>
      <c r="AM184" s="1902"/>
      <c r="AN184" s="1902"/>
      <c r="AO184" s="1902"/>
      <c r="AP184" s="1902"/>
      <c r="AQ184" s="1902"/>
      <c r="AR184" s="1902"/>
      <c r="AS184" s="1902"/>
      <c r="AT184" s="1902"/>
      <c r="AU184" s="234"/>
      <c r="AX184" s="664" t="s">
        <v>2271</v>
      </c>
      <c r="AY184" s="664" t="s">
        <v>2340</v>
      </c>
      <c r="AZ184" s="151"/>
      <c r="BA184" s="666" t="s">
        <v>2341</v>
      </c>
      <c r="BB184" s="152"/>
      <c r="BC184" s="152"/>
      <c r="BD184" s="667" t="s">
        <v>2342</v>
      </c>
      <c r="BE184" s="158"/>
      <c r="BF184" s="667" t="s">
        <v>2343</v>
      </c>
      <c r="BG184" s="158"/>
      <c r="BH184" s="667" t="s">
        <v>2344</v>
      </c>
      <c r="BI184" s="158"/>
      <c r="CA184" s="22"/>
      <c r="CB184" s="204"/>
      <c r="CD184" s="145"/>
      <c r="CE184" s="145"/>
      <c r="CF184" s="145"/>
      <c r="CG184" s="31"/>
      <c r="CH184" s="86"/>
      <c r="CI184" s="57"/>
      <c r="CJ184" s="57"/>
      <c r="CK184" s="57"/>
      <c r="CL184" s="57"/>
      <c r="CO184" s="129"/>
      <c r="CP184" s="58"/>
      <c r="CQ184" s="23"/>
      <c r="CR184" s="61"/>
      <c r="CS184" s="61"/>
      <c r="CT184" s="61"/>
      <c r="CU184" s="61"/>
      <c r="CV184" s="60"/>
      <c r="DE184" s="43"/>
      <c r="DO184" s="21"/>
      <c r="DP184" s="21"/>
      <c r="DQ184" s="468"/>
      <c r="DR184" s="468"/>
      <c r="DS184" s="468"/>
      <c r="DT184" s="468"/>
      <c r="DU184" s="468"/>
      <c r="DV184" s="31"/>
      <c r="DX184" s="115"/>
      <c r="DY184" s="115"/>
    </row>
    <row r="185" spans="1:129" ht="19.5" customHeight="1">
      <c r="A185" s="186"/>
      <c r="B185" s="249"/>
      <c r="C185" s="1874"/>
      <c r="D185" s="1874"/>
      <c r="E185" s="1874"/>
      <c r="F185" s="1874"/>
      <c r="G185" s="1874"/>
      <c r="H185" s="1874"/>
      <c r="I185" s="1874"/>
      <c r="J185" s="1874"/>
      <c r="K185" s="1874"/>
      <c r="L185" s="1874"/>
      <c r="M185" s="1874"/>
      <c r="N185" s="1876"/>
      <c r="O185" s="1876"/>
      <c r="P185" s="1876"/>
      <c r="Q185" s="1876"/>
      <c r="R185" s="1876"/>
      <c r="S185" s="1876"/>
      <c r="T185" s="1876"/>
      <c r="U185" s="1876"/>
      <c r="V185" s="1902"/>
      <c r="W185" s="1902"/>
      <c r="X185" s="1902"/>
      <c r="Y185" s="1902"/>
      <c r="Z185" s="1902"/>
      <c r="AA185" s="1902"/>
      <c r="AB185" s="1902"/>
      <c r="AC185" s="1902"/>
      <c r="AD185" s="1902"/>
      <c r="AE185" s="1902"/>
      <c r="AF185" s="1902"/>
      <c r="AG185" s="1902"/>
      <c r="AH185" s="1902"/>
      <c r="AI185" s="1902"/>
      <c r="AJ185" s="1902"/>
      <c r="AK185" s="1902"/>
      <c r="AL185" s="1902"/>
      <c r="AM185" s="1902"/>
      <c r="AN185" s="1902"/>
      <c r="AO185" s="1902"/>
      <c r="AP185" s="1902"/>
      <c r="AQ185" s="1902"/>
      <c r="AR185" s="1902"/>
      <c r="AS185" s="1902"/>
      <c r="AT185" s="1902"/>
      <c r="AU185" s="234"/>
      <c r="AX185" s="664" t="s">
        <v>2272</v>
      </c>
      <c r="AY185" s="664" t="s">
        <v>2345</v>
      </c>
      <c r="AZ185" s="151"/>
      <c r="BA185" s="666" t="s">
        <v>2346</v>
      </c>
      <c r="BB185" s="152"/>
      <c r="BC185" s="152"/>
      <c r="BD185" s="667" t="s">
        <v>2347</v>
      </c>
      <c r="BE185" s="158"/>
      <c r="BF185" s="667" t="s">
        <v>2348</v>
      </c>
      <c r="BG185" s="158"/>
      <c r="BH185" s="669" t="s">
        <v>2349</v>
      </c>
      <c r="BI185" s="158"/>
      <c r="CA185" s="22"/>
      <c r="CB185" s="204"/>
      <c r="CD185" s="145"/>
      <c r="CE185" s="145"/>
      <c r="CF185" s="145"/>
      <c r="CG185" s="31"/>
      <c r="CH185" s="86"/>
      <c r="CI185" s="57"/>
      <c r="CJ185" s="57"/>
      <c r="CK185" s="57"/>
      <c r="CL185" s="57"/>
      <c r="CO185" s="129"/>
      <c r="CP185" s="58"/>
      <c r="CQ185" s="23"/>
      <c r="CR185" s="61"/>
      <c r="CS185" s="61"/>
      <c r="CT185" s="61"/>
      <c r="CU185" s="61"/>
      <c r="CV185" s="60"/>
      <c r="DE185" s="43"/>
      <c r="DO185" s="21"/>
      <c r="DV185" s="31"/>
      <c r="DX185" s="115"/>
      <c r="DY185" s="115"/>
    </row>
    <row r="186" spans="1:129" ht="19.5" customHeight="1">
      <c r="A186" s="186"/>
      <c r="B186" s="249"/>
      <c r="C186" s="1874"/>
      <c r="D186" s="1874"/>
      <c r="E186" s="1874"/>
      <c r="F186" s="1874"/>
      <c r="G186" s="1874"/>
      <c r="H186" s="1874"/>
      <c r="I186" s="1874"/>
      <c r="J186" s="1874"/>
      <c r="K186" s="1874"/>
      <c r="L186" s="1874"/>
      <c r="M186" s="1874"/>
      <c r="N186" s="1876"/>
      <c r="O186" s="1876"/>
      <c r="P186" s="1876"/>
      <c r="Q186" s="1876"/>
      <c r="R186" s="1876"/>
      <c r="S186" s="1876"/>
      <c r="T186" s="1876"/>
      <c r="U186" s="1876"/>
      <c r="V186" s="1902"/>
      <c r="W186" s="1902"/>
      <c r="X186" s="1902"/>
      <c r="Y186" s="1902"/>
      <c r="Z186" s="1902"/>
      <c r="AA186" s="1902"/>
      <c r="AB186" s="1902"/>
      <c r="AC186" s="1902"/>
      <c r="AD186" s="1902"/>
      <c r="AE186" s="1902"/>
      <c r="AF186" s="1902"/>
      <c r="AG186" s="1902"/>
      <c r="AH186" s="1902"/>
      <c r="AI186" s="1902"/>
      <c r="AJ186" s="1902"/>
      <c r="AK186" s="1902"/>
      <c r="AL186" s="1902"/>
      <c r="AM186" s="1902"/>
      <c r="AN186" s="1902"/>
      <c r="AO186" s="1902"/>
      <c r="AP186" s="1902"/>
      <c r="AQ186" s="1902"/>
      <c r="AR186" s="1902"/>
      <c r="AS186" s="1902"/>
      <c r="AT186" s="1902"/>
      <c r="AU186" s="234"/>
      <c r="AX186" s="664" t="s">
        <v>2273</v>
      </c>
      <c r="AY186" s="664" t="s">
        <v>2350</v>
      </c>
      <c r="AZ186" s="151"/>
      <c r="BA186" s="667" t="s">
        <v>2351</v>
      </c>
      <c r="BB186" s="158"/>
      <c r="BC186" s="152"/>
      <c r="BD186" s="667" t="s">
        <v>2352</v>
      </c>
      <c r="BE186" s="158"/>
      <c r="BF186" s="669" t="s">
        <v>2353</v>
      </c>
      <c r="BG186" s="158"/>
      <c r="BH186" s="158"/>
      <c r="BI186" s="158"/>
      <c r="CA186" s="22"/>
      <c r="CB186" s="204"/>
      <c r="CD186" s="145"/>
      <c r="CE186" s="145"/>
      <c r="CF186" s="145"/>
      <c r="CG186" s="31"/>
      <c r="CH186" s="86"/>
      <c r="CI186" s="57"/>
      <c r="CJ186" s="57"/>
      <c r="CK186" s="57"/>
      <c r="CL186" s="57"/>
      <c r="CO186" s="129"/>
      <c r="CP186" s="58"/>
      <c r="CQ186" s="23"/>
      <c r="CR186" s="61"/>
      <c r="CS186" s="61"/>
      <c r="CT186" s="61"/>
      <c r="CU186" s="61"/>
      <c r="CV186" s="60"/>
      <c r="DE186" s="43"/>
      <c r="DO186" s="21"/>
      <c r="DV186" s="31"/>
      <c r="DX186" s="115"/>
      <c r="DY186" s="115"/>
    </row>
    <row r="187" spans="1:129" ht="19.5" customHeight="1">
      <c r="A187" s="186"/>
      <c r="B187" s="249"/>
      <c r="C187" s="1874"/>
      <c r="D187" s="1874"/>
      <c r="E187" s="1874"/>
      <c r="F187" s="1874"/>
      <c r="G187" s="1874"/>
      <c r="H187" s="1874"/>
      <c r="I187" s="1874"/>
      <c r="J187" s="1874"/>
      <c r="K187" s="1874"/>
      <c r="L187" s="1874"/>
      <c r="M187" s="1874"/>
      <c r="N187" s="1876"/>
      <c r="O187" s="1876"/>
      <c r="P187" s="1876"/>
      <c r="Q187" s="1876"/>
      <c r="R187" s="1876"/>
      <c r="S187" s="1876"/>
      <c r="T187" s="1876"/>
      <c r="U187" s="1876"/>
      <c r="V187" s="1902"/>
      <c r="W187" s="1902"/>
      <c r="X187" s="1902"/>
      <c r="Y187" s="1902"/>
      <c r="Z187" s="1902"/>
      <c r="AA187" s="1902"/>
      <c r="AB187" s="1902"/>
      <c r="AC187" s="1902"/>
      <c r="AD187" s="1902"/>
      <c r="AE187" s="1902"/>
      <c r="AF187" s="1902"/>
      <c r="AG187" s="1902"/>
      <c r="AH187" s="1902"/>
      <c r="AI187" s="1902"/>
      <c r="AJ187" s="1902"/>
      <c r="AK187" s="1902"/>
      <c r="AL187" s="1902"/>
      <c r="AM187" s="1902"/>
      <c r="AN187" s="1902"/>
      <c r="AO187" s="1902"/>
      <c r="AP187" s="1902"/>
      <c r="AQ187" s="1902"/>
      <c r="AR187" s="1902"/>
      <c r="AS187" s="1902"/>
      <c r="AT187" s="1902"/>
      <c r="AU187" s="234"/>
      <c r="AX187" s="787" t="s">
        <v>2274</v>
      </c>
      <c r="AY187" s="664" t="s">
        <v>2354</v>
      </c>
      <c r="AZ187" s="151"/>
      <c r="BA187" s="669" t="s">
        <v>2355</v>
      </c>
      <c r="BB187" s="158"/>
      <c r="BC187" s="152"/>
      <c r="BD187" s="667" t="s">
        <v>2356</v>
      </c>
      <c r="BE187" s="158"/>
      <c r="BF187" s="158"/>
      <c r="BG187" s="158"/>
      <c r="BH187" s="158"/>
      <c r="BI187" s="158"/>
      <c r="CA187" s="22"/>
      <c r="CB187" s="204"/>
      <c r="CD187" s="145"/>
      <c r="CE187" s="145"/>
      <c r="CF187" s="145"/>
      <c r="CG187" s="31"/>
      <c r="CH187" s="86"/>
      <c r="CI187" s="57"/>
      <c r="CJ187" s="57"/>
      <c r="CK187" s="57"/>
      <c r="CL187" s="57"/>
      <c r="CO187" s="129"/>
      <c r="CP187" s="58"/>
      <c r="CQ187" s="23"/>
      <c r="CR187" s="61"/>
      <c r="CS187" s="61"/>
      <c r="CT187" s="61"/>
      <c r="CU187" s="61"/>
      <c r="CV187" s="60"/>
      <c r="DE187" s="43"/>
      <c r="DO187" s="21"/>
      <c r="DV187" s="31"/>
      <c r="DX187" s="115"/>
      <c r="DY187" s="115"/>
    </row>
    <row r="188" spans="1:129" ht="19.5" customHeight="1">
      <c r="A188" s="186"/>
      <c r="B188" s="249"/>
      <c r="C188" s="1874" t="s">
        <v>3829</v>
      </c>
      <c r="D188" s="1875"/>
      <c r="E188" s="1875"/>
      <c r="F188" s="1875"/>
      <c r="G188" s="1875"/>
      <c r="H188" s="1875"/>
      <c r="I188" s="1875"/>
      <c r="J188" s="1875"/>
      <c r="K188" s="1875"/>
      <c r="L188" s="1875"/>
      <c r="M188" s="1875"/>
      <c r="N188" s="1876" t="s">
        <v>3826</v>
      </c>
      <c r="O188" s="1876"/>
      <c r="P188" s="1876"/>
      <c r="Q188" s="1876"/>
      <c r="R188" s="1876" t="s">
        <v>3826</v>
      </c>
      <c r="S188" s="1876"/>
      <c r="T188" s="1876"/>
      <c r="U188" s="1876"/>
      <c r="V188" s="1902"/>
      <c r="W188" s="1902"/>
      <c r="X188" s="1902"/>
      <c r="Y188" s="1902"/>
      <c r="Z188" s="1902"/>
      <c r="AA188" s="1902"/>
      <c r="AB188" s="1902"/>
      <c r="AC188" s="1902"/>
      <c r="AD188" s="1902"/>
      <c r="AE188" s="1902"/>
      <c r="AF188" s="1902"/>
      <c r="AG188" s="1902"/>
      <c r="AH188" s="1902"/>
      <c r="AI188" s="1902"/>
      <c r="AJ188" s="1902"/>
      <c r="AK188" s="1902"/>
      <c r="AL188" s="1902"/>
      <c r="AM188" s="1902"/>
      <c r="AN188" s="1902"/>
      <c r="AO188" s="1902"/>
      <c r="AP188" s="1902"/>
      <c r="AQ188" s="1902"/>
      <c r="AR188" s="1902"/>
      <c r="AS188" s="1902"/>
      <c r="AT188" s="1902"/>
      <c r="AU188" s="234"/>
      <c r="AX188" s="166"/>
      <c r="AY188" s="664" t="s">
        <v>2357</v>
      </c>
      <c r="AZ188" s="151"/>
      <c r="BA188" s="158"/>
      <c r="BB188" s="158"/>
      <c r="BC188" s="152"/>
      <c r="BD188" s="667" t="s">
        <v>2358</v>
      </c>
      <c r="BE188" s="158"/>
      <c r="BF188" s="158"/>
      <c r="BG188" s="158"/>
      <c r="BH188" s="158"/>
      <c r="BI188" s="158"/>
      <c r="CA188" s="22"/>
      <c r="CB188" s="204"/>
      <c r="CD188" s="145"/>
      <c r="CE188" s="145"/>
      <c r="CF188" s="145"/>
      <c r="CG188" s="31"/>
      <c r="CH188" s="86"/>
      <c r="CI188" s="57"/>
      <c r="CJ188" s="57"/>
      <c r="CK188" s="57"/>
      <c r="CL188" s="57"/>
      <c r="CO188" s="129"/>
      <c r="CP188" s="58"/>
      <c r="CQ188" s="23"/>
      <c r="CR188" s="61"/>
      <c r="CS188" s="61"/>
      <c r="CT188" s="61"/>
      <c r="CU188" s="61"/>
      <c r="CV188" s="60"/>
      <c r="DE188" s="43"/>
      <c r="DV188" s="31"/>
      <c r="DX188" s="115"/>
      <c r="DY188" s="115"/>
    </row>
    <row r="189" spans="1:129" ht="19.5" customHeight="1">
      <c r="A189" s="186"/>
      <c r="B189" s="249"/>
      <c r="C189" s="1875"/>
      <c r="D189" s="1875"/>
      <c r="E189" s="1875"/>
      <c r="F189" s="1875"/>
      <c r="G189" s="1875"/>
      <c r="H189" s="1875"/>
      <c r="I189" s="1875"/>
      <c r="J189" s="1875"/>
      <c r="K189" s="1875"/>
      <c r="L189" s="1875"/>
      <c r="M189" s="1875"/>
      <c r="N189" s="1876"/>
      <c r="O189" s="1876"/>
      <c r="P189" s="1876"/>
      <c r="Q189" s="1876"/>
      <c r="R189" s="1876"/>
      <c r="S189" s="1876"/>
      <c r="T189" s="1876"/>
      <c r="U189" s="1876"/>
      <c r="V189" s="1902"/>
      <c r="W189" s="1902"/>
      <c r="X189" s="1902"/>
      <c r="Y189" s="1902"/>
      <c r="Z189" s="1902"/>
      <c r="AA189" s="1902"/>
      <c r="AB189" s="1902"/>
      <c r="AC189" s="1902"/>
      <c r="AD189" s="1902"/>
      <c r="AE189" s="1902"/>
      <c r="AF189" s="1902"/>
      <c r="AG189" s="1902"/>
      <c r="AH189" s="1902"/>
      <c r="AI189" s="1902"/>
      <c r="AJ189" s="1902"/>
      <c r="AK189" s="1902"/>
      <c r="AL189" s="1902"/>
      <c r="AM189" s="1902"/>
      <c r="AN189" s="1902"/>
      <c r="AO189" s="1902"/>
      <c r="AP189" s="1902"/>
      <c r="AQ189" s="1902"/>
      <c r="AR189" s="1902"/>
      <c r="AS189" s="1902"/>
      <c r="AT189" s="1902"/>
      <c r="AU189" s="234"/>
      <c r="AX189" s="166"/>
      <c r="AY189" s="664" t="s">
        <v>2359</v>
      </c>
      <c r="AZ189" s="151"/>
      <c r="BA189" s="158"/>
      <c r="BB189" s="158"/>
      <c r="BC189" s="152"/>
      <c r="BD189" s="667" t="s">
        <v>2360</v>
      </c>
      <c r="BE189" s="158"/>
      <c r="BF189" s="158"/>
      <c r="BG189" s="158"/>
      <c r="BH189" s="158"/>
      <c r="BI189" s="158"/>
      <c r="CA189" s="14"/>
      <c r="CB189" s="204"/>
      <c r="CD189" s="145"/>
      <c r="CE189" s="145"/>
      <c r="CF189" s="145"/>
      <c r="CG189" s="31"/>
      <c r="CH189" s="86"/>
      <c r="CI189" s="57"/>
      <c r="CJ189" s="57"/>
      <c r="CK189" s="57"/>
      <c r="CL189" s="57"/>
      <c r="CO189" s="129"/>
      <c r="CP189" s="58"/>
      <c r="CQ189" s="23"/>
      <c r="CR189" s="61"/>
      <c r="CS189" s="61"/>
      <c r="CT189" s="61"/>
      <c r="CU189" s="61"/>
      <c r="CV189" s="60"/>
      <c r="DE189" s="43"/>
      <c r="DV189" s="31"/>
      <c r="DX189" s="115"/>
      <c r="DY189" s="115"/>
    </row>
    <row r="190" spans="1:129" ht="19.5" customHeight="1">
      <c r="A190" s="186"/>
      <c r="B190" s="249"/>
      <c r="C190" s="1874" t="s">
        <v>3830</v>
      </c>
      <c r="D190" s="1875"/>
      <c r="E190" s="1875"/>
      <c r="F190" s="1875"/>
      <c r="G190" s="1875"/>
      <c r="H190" s="1875"/>
      <c r="I190" s="1875"/>
      <c r="J190" s="1875"/>
      <c r="K190" s="1875"/>
      <c r="L190" s="1875"/>
      <c r="M190" s="1875"/>
      <c r="N190" s="1876" t="s">
        <v>3827</v>
      </c>
      <c r="O190" s="1876"/>
      <c r="P190" s="1876"/>
      <c r="Q190" s="1876"/>
      <c r="R190" s="1876" t="s">
        <v>3826</v>
      </c>
      <c r="S190" s="1876"/>
      <c r="T190" s="1876"/>
      <c r="U190" s="1876"/>
      <c r="V190" s="1877"/>
      <c r="W190" s="1877"/>
      <c r="X190" s="1877"/>
      <c r="Y190" s="1877"/>
      <c r="Z190" s="1877"/>
      <c r="AA190" s="1877"/>
      <c r="AB190" s="1877"/>
      <c r="AC190" s="1877"/>
      <c r="AD190" s="1877"/>
      <c r="AE190" s="1877"/>
      <c r="AF190" s="1877"/>
      <c r="AG190" s="1877"/>
      <c r="AH190" s="1877"/>
      <c r="AI190" s="1877"/>
      <c r="AJ190" s="1877"/>
      <c r="AK190" s="1877"/>
      <c r="AL190" s="1877"/>
      <c r="AM190" s="1877"/>
      <c r="AN190" s="1877"/>
      <c r="AO190" s="1877"/>
      <c r="AP190" s="1877"/>
      <c r="AQ190" s="1877"/>
      <c r="AR190" s="1877"/>
      <c r="AS190" s="1877"/>
      <c r="AT190" s="1877"/>
      <c r="AU190" s="234"/>
      <c r="AX190" s="166"/>
      <c r="AY190" s="664" t="s">
        <v>2361</v>
      </c>
      <c r="AZ190" s="151"/>
      <c r="BA190" s="158"/>
      <c r="BB190" s="158"/>
      <c r="BC190" s="152"/>
      <c r="BD190" s="667" t="s">
        <v>2362</v>
      </c>
      <c r="BE190" s="158"/>
      <c r="BF190" s="158"/>
      <c r="BG190" s="158"/>
      <c r="BH190" s="158"/>
      <c r="BI190" s="158"/>
      <c r="CA190" s="14"/>
      <c r="CB190" s="204"/>
      <c r="CC190" s="21"/>
      <c r="CD190" s="145"/>
      <c r="CE190" s="145"/>
      <c r="CF190" s="145"/>
      <c r="CG190" s="31"/>
      <c r="CH190" s="86"/>
      <c r="CI190" s="57"/>
      <c r="CJ190" s="57"/>
      <c r="CK190" s="57"/>
      <c r="CL190" s="57"/>
      <c r="CO190" s="129"/>
      <c r="CP190" s="58"/>
      <c r="CQ190" s="23"/>
      <c r="CR190" s="61"/>
      <c r="CS190" s="61"/>
      <c r="CT190" s="61"/>
      <c r="CU190" s="61"/>
      <c r="CV190" s="60"/>
      <c r="DE190" s="43"/>
      <c r="DV190" s="31"/>
      <c r="DX190" s="115"/>
      <c r="DY190" s="115"/>
    </row>
    <row r="191" spans="1:129" ht="19.5" customHeight="1">
      <c r="A191" s="186"/>
      <c r="B191" s="249"/>
      <c r="C191" s="1875"/>
      <c r="D191" s="1875"/>
      <c r="E191" s="1875"/>
      <c r="F191" s="1875"/>
      <c r="G191" s="1875"/>
      <c r="H191" s="1875"/>
      <c r="I191" s="1875"/>
      <c r="J191" s="1875"/>
      <c r="K191" s="1875"/>
      <c r="L191" s="1875"/>
      <c r="M191" s="1875"/>
      <c r="N191" s="1876"/>
      <c r="O191" s="1876"/>
      <c r="P191" s="1876"/>
      <c r="Q191" s="1876"/>
      <c r="R191" s="1876"/>
      <c r="S191" s="1876"/>
      <c r="T191" s="1876"/>
      <c r="U191" s="1876"/>
      <c r="V191" s="1877"/>
      <c r="W191" s="1877"/>
      <c r="X191" s="1877"/>
      <c r="Y191" s="1877"/>
      <c r="Z191" s="1877"/>
      <c r="AA191" s="1877"/>
      <c r="AB191" s="1877"/>
      <c r="AC191" s="1877"/>
      <c r="AD191" s="1877"/>
      <c r="AE191" s="1877"/>
      <c r="AF191" s="1877"/>
      <c r="AG191" s="1877"/>
      <c r="AH191" s="1877"/>
      <c r="AI191" s="1877"/>
      <c r="AJ191" s="1877"/>
      <c r="AK191" s="1877"/>
      <c r="AL191" s="1877"/>
      <c r="AM191" s="1877"/>
      <c r="AN191" s="1877"/>
      <c r="AO191" s="1877"/>
      <c r="AP191" s="1877"/>
      <c r="AQ191" s="1877"/>
      <c r="AR191" s="1877"/>
      <c r="AS191" s="1877"/>
      <c r="AT191" s="1877"/>
      <c r="AU191" s="234"/>
      <c r="AX191" s="166"/>
      <c r="AY191" s="664" t="s">
        <v>2363</v>
      </c>
      <c r="AZ191" s="151"/>
      <c r="BA191" s="158"/>
      <c r="BB191" s="158"/>
      <c r="BC191" s="152"/>
      <c r="BD191" s="667" t="s">
        <v>2364</v>
      </c>
      <c r="BE191" s="158"/>
      <c r="BF191" s="158"/>
      <c r="BG191" s="158"/>
      <c r="BH191" s="158"/>
      <c r="BI191" s="158"/>
      <c r="CA191" s="14"/>
      <c r="CB191" s="206"/>
      <c r="CC191" s="21"/>
      <c r="CD191" s="145"/>
      <c r="CE191" s="145"/>
      <c r="CF191" s="145"/>
      <c r="CG191" s="31"/>
      <c r="CH191" s="86"/>
      <c r="CI191" s="57"/>
      <c r="CJ191" s="57"/>
      <c r="CK191" s="57"/>
      <c r="CL191" s="57"/>
      <c r="CO191" s="129"/>
      <c r="CP191" s="58"/>
      <c r="CQ191" s="129"/>
      <c r="CR191" s="61"/>
      <c r="CS191" s="61"/>
      <c r="CT191" s="61"/>
      <c r="CU191" s="61"/>
      <c r="CV191" s="60"/>
      <c r="DE191" s="43"/>
      <c r="DV191" s="31"/>
      <c r="DX191" s="115"/>
      <c r="DY191" s="115"/>
    </row>
    <row r="192" spans="1:129" ht="19.5" customHeight="1">
      <c r="A192" s="186"/>
      <c r="B192" s="249"/>
      <c r="C192" s="221" t="s">
        <v>950</v>
      </c>
      <c r="D192" s="221"/>
      <c r="E192" s="221"/>
      <c r="F192" s="221"/>
      <c r="G192" s="221"/>
      <c r="H192" s="221"/>
      <c r="I192" s="221"/>
      <c r="J192" s="218"/>
      <c r="K192" s="218"/>
      <c r="L192" s="218"/>
      <c r="M192" s="218"/>
      <c r="N192" s="218"/>
      <c r="O192" s="218"/>
      <c r="P192" s="218"/>
      <c r="Q192" s="218"/>
      <c r="R192" s="218"/>
      <c r="S192" s="218"/>
      <c r="T192" s="218"/>
      <c r="U192" s="218"/>
      <c r="V192" s="218"/>
      <c r="W192" s="218"/>
      <c r="X192" s="218"/>
      <c r="Y192" s="218"/>
      <c r="Z192" s="218"/>
      <c r="AA192" s="218"/>
      <c r="AB192" s="218"/>
      <c r="AC192" s="218"/>
      <c r="AD192" s="218"/>
      <c r="AE192" s="218"/>
      <c r="AF192" s="218"/>
      <c r="AG192" s="218"/>
      <c r="AH192" s="218"/>
      <c r="AI192" s="218"/>
      <c r="AJ192" s="218"/>
      <c r="AK192" s="218"/>
      <c r="AL192" s="218"/>
      <c r="AM192" s="218"/>
      <c r="AN192" s="218"/>
      <c r="AO192" s="218"/>
      <c r="AP192" s="218"/>
      <c r="AQ192" s="218"/>
      <c r="AR192" s="218"/>
      <c r="AS192" s="218"/>
      <c r="AT192" s="218"/>
      <c r="AU192" s="234"/>
      <c r="AX192" s="166"/>
      <c r="AY192" s="664" t="s">
        <v>2365</v>
      </c>
      <c r="AZ192" s="151"/>
      <c r="BA192" s="158"/>
      <c r="BB192" s="158"/>
      <c r="BC192" s="158"/>
      <c r="BD192" s="667" t="s">
        <v>2366</v>
      </c>
      <c r="BE192" s="158"/>
      <c r="BF192" s="158"/>
      <c r="BG192" s="158"/>
      <c r="BH192" s="158"/>
      <c r="BI192" s="158"/>
      <c r="CA192" s="14"/>
      <c r="CB192" s="206"/>
      <c r="CD192" s="145"/>
      <c r="CE192" s="145"/>
      <c r="CF192" s="145"/>
      <c r="CG192" s="31"/>
      <c r="CH192" s="86"/>
      <c r="CI192" s="57"/>
      <c r="CJ192" s="57"/>
      <c r="CK192" s="57"/>
      <c r="CL192" s="57"/>
      <c r="CO192" s="129"/>
      <c r="CP192" s="58"/>
      <c r="CQ192" s="129"/>
      <c r="CR192" s="61"/>
      <c r="CS192" s="61"/>
      <c r="CT192" s="61"/>
      <c r="CU192" s="61"/>
      <c r="CV192" s="60"/>
      <c r="DE192" s="43"/>
      <c r="DV192" s="31"/>
      <c r="DX192" s="115"/>
      <c r="DY192" s="115"/>
    </row>
    <row r="193" spans="1:129" ht="19.5" customHeight="1">
      <c r="A193" s="186"/>
      <c r="B193" s="249"/>
      <c r="C193" s="221" t="s">
        <v>3831</v>
      </c>
      <c r="D193" s="221"/>
      <c r="E193" s="221"/>
      <c r="F193" s="221"/>
      <c r="G193" s="221"/>
      <c r="H193" s="221"/>
      <c r="I193" s="221"/>
      <c r="J193" s="218"/>
      <c r="K193" s="218"/>
      <c r="L193" s="218"/>
      <c r="M193" s="218"/>
      <c r="N193" s="218"/>
      <c r="O193" s="218"/>
      <c r="P193" s="218"/>
      <c r="Q193" s="218"/>
      <c r="R193" s="218"/>
      <c r="S193" s="218"/>
      <c r="T193" s="218"/>
      <c r="U193" s="218"/>
      <c r="V193" s="218"/>
      <c r="W193" s="218"/>
      <c r="X193" s="218"/>
      <c r="Y193" s="218"/>
      <c r="Z193" s="218"/>
      <c r="AA193" s="218"/>
      <c r="AB193" s="218"/>
      <c r="AC193" s="218"/>
      <c r="AD193" s="218"/>
      <c r="AE193" s="218"/>
      <c r="AF193" s="218"/>
      <c r="AG193" s="218"/>
      <c r="AH193" s="218"/>
      <c r="AI193" s="218"/>
      <c r="AJ193" s="218"/>
      <c r="AK193" s="218"/>
      <c r="AL193" s="218"/>
      <c r="AM193" s="218"/>
      <c r="AN193" s="218"/>
      <c r="AO193" s="218"/>
      <c r="AP193" s="218"/>
      <c r="AQ193" s="218"/>
      <c r="AR193" s="218"/>
      <c r="AS193" s="218"/>
      <c r="AT193" s="218"/>
      <c r="AU193" s="234"/>
      <c r="AX193" s="166"/>
      <c r="AY193" s="664" t="s">
        <v>2367</v>
      </c>
      <c r="AZ193" s="151"/>
      <c r="BA193" s="158"/>
      <c r="BB193" s="158"/>
      <c r="BC193" s="158"/>
      <c r="BD193" s="667" t="s">
        <v>2368</v>
      </c>
      <c r="BE193" s="158"/>
      <c r="BF193" s="158"/>
      <c r="BG193" s="158"/>
      <c r="BH193" s="158"/>
      <c r="BI193" s="158"/>
      <c r="CA193" s="21"/>
      <c r="CB193" s="206"/>
      <c r="CD193" s="145"/>
      <c r="CE193" s="145"/>
      <c r="CF193" s="145"/>
      <c r="CG193" s="31"/>
      <c r="CH193" s="86"/>
      <c r="CI193" s="57"/>
      <c r="CJ193" s="57"/>
      <c r="CK193" s="57"/>
      <c r="CL193" s="57"/>
      <c r="CO193" s="129"/>
      <c r="CP193" s="58"/>
      <c r="CQ193" s="129"/>
      <c r="CR193" s="61"/>
      <c r="CS193" s="61"/>
      <c r="CT193" s="61"/>
      <c r="CU193" s="61"/>
      <c r="CV193" s="60"/>
      <c r="DE193" s="43"/>
      <c r="DV193" s="31"/>
      <c r="DX193" s="115"/>
      <c r="DY193" s="115"/>
    </row>
    <row r="194" spans="1:129" ht="19.5" customHeight="1">
      <c r="A194" s="186"/>
      <c r="B194" s="249"/>
      <c r="C194" s="221"/>
      <c r="D194" s="210"/>
      <c r="E194" s="210"/>
      <c r="F194" s="210"/>
      <c r="G194" s="210"/>
      <c r="H194" s="210"/>
      <c r="I194" s="210"/>
      <c r="J194" s="210"/>
      <c r="K194" s="210"/>
      <c r="L194" s="210"/>
      <c r="M194" s="210"/>
      <c r="N194" s="210"/>
      <c r="O194" s="210"/>
      <c r="P194" s="210"/>
      <c r="Q194" s="210"/>
      <c r="R194" s="235"/>
      <c r="S194" s="235"/>
      <c r="T194" s="235"/>
      <c r="U194" s="235"/>
      <c r="V194" s="235"/>
      <c r="W194" s="235"/>
      <c r="X194" s="235"/>
      <c r="Y194" s="235"/>
      <c r="Z194" s="235"/>
      <c r="AA194" s="235"/>
      <c r="AB194" s="235"/>
      <c r="AC194" s="235"/>
      <c r="AD194" s="235"/>
      <c r="AE194" s="235"/>
      <c r="AF194" s="235"/>
      <c r="AG194" s="235"/>
      <c r="AH194" s="235"/>
      <c r="AI194" s="235"/>
      <c r="AJ194" s="235"/>
      <c r="AK194" s="235"/>
      <c r="AL194" s="235"/>
      <c r="AM194" s="235"/>
      <c r="AN194" s="235"/>
      <c r="AO194" s="235"/>
      <c r="AP194" s="235"/>
      <c r="AQ194" s="235"/>
      <c r="AR194" s="235"/>
      <c r="AS194" s="235"/>
      <c r="AT194" s="235"/>
      <c r="AU194" s="183"/>
      <c r="AX194" s="166"/>
      <c r="AY194" s="664" t="s">
        <v>2369</v>
      </c>
      <c r="AZ194" s="151"/>
      <c r="BA194" s="158"/>
      <c r="BB194" s="158"/>
      <c r="BC194" s="158"/>
      <c r="BD194" s="667" t="s">
        <v>2370</v>
      </c>
      <c r="BE194" s="158"/>
      <c r="BF194" s="158"/>
      <c r="BG194" s="158"/>
      <c r="BH194" s="158"/>
      <c r="BI194" s="158"/>
      <c r="CA194" s="14"/>
      <c r="CB194" s="206"/>
      <c r="CD194" s="145"/>
      <c r="CE194" s="145"/>
      <c r="CF194" s="145"/>
      <c r="CG194" s="31"/>
      <c r="CH194" s="86"/>
      <c r="CI194" s="57"/>
      <c r="CJ194" s="57"/>
      <c r="CK194" s="57"/>
      <c r="CL194" s="57"/>
      <c r="CO194" s="129"/>
      <c r="CP194" s="58"/>
      <c r="CQ194" s="129"/>
      <c r="CR194" s="61"/>
      <c r="CS194" s="61"/>
      <c r="CT194" s="61"/>
      <c r="CU194" s="61"/>
      <c r="CV194" s="60"/>
      <c r="DE194" s="43"/>
      <c r="DV194" s="31"/>
      <c r="DX194" s="115"/>
      <c r="DY194" s="115"/>
    </row>
    <row r="195" spans="1:129" ht="19.5" customHeight="1">
      <c r="A195" s="186"/>
      <c r="B195" s="249"/>
      <c r="C195" s="1899" t="str">
        <f>"ご記入ありがとうございました。SBPSにて本書を受け取り次第、お手続きを進めさせていただきます。"</f>
        <v>ご記入ありがとうございました。SBPSにて本書を受け取り次第、お手続きを進めさせていただきます。</v>
      </c>
      <c r="D195" s="1899"/>
      <c r="E195" s="1899"/>
      <c r="F195" s="1899"/>
      <c r="G195" s="1899"/>
      <c r="H195" s="1899"/>
      <c r="I195" s="1899"/>
      <c r="J195" s="1899"/>
      <c r="K195" s="1899"/>
      <c r="L195" s="1899"/>
      <c r="M195" s="1899"/>
      <c r="N195" s="1899"/>
      <c r="O195" s="1899"/>
      <c r="P195" s="1899"/>
      <c r="Q195" s="1899"/>
      <c r="R195" s="1899"/>
      <c r="S195" s="1899"/>
      <c r="T195" s="1899"/>
      <c r="U195" s="1899"/>
      <c r="V195" s="1899"/>
      <c r="W195" s="1899"/>
      <c r="X195" s="1899"/>
      <c r="Y195" s="1899"/>
      <c r="Z195" s="1899"/>
      <c r="AA195" s="1899"/>
      <c r="AB195" s="1899"/>
      <c r="AC195" s="1899"/>
      <c r="AD195" s="1899"/>
      <c r="AE195" s="1899"/>
      <c r="AF195" s="1899"/>
      <c r="AG195" s="1899"/>
      <c r="AH195" s="1899"/>
      <c r="AI195" s="1899"/>
      <c r="AJ195" s="1899"/>
      <c r="AK195" s="1899"/>
      <c r="AL195" s="1899"/>
      <c r="AM195" s="1899"/>
      <c r="AN195" s="1899"/>
      <c r="AO195" s="1899"/>
      <c r="AP195" s="1899"/>
      <c r="AQ195" s="1899"/>
      <c r="AR195" s="1899"/>
      <c r="AS195" s="1899"/>
      <c r="AT195" s="1899"/>
      <c r="AU195" s="183"/>
      <c r="AX195" s="166"/>
      <c r="AY195" s="664" t="s">
        <v>2371</v>
      </c>
      <c r="AZ195" s="151"/>
      <c r="BA195" s="158"/>
      <c r="BB195" s="158"/>
      <c r="BC195" s="158"/>
      <c r="BD195" s="667" t="s">
        <v>2372</v>
      </c>
      <c r="BE195" s="158"/>
      <c r="BF195" s="158"/>
      <c r="BG195" s="158"/>
      <c r="BH195" s="158"/>
      <c r="BI195" s="158"/>
      <c r="CA195" s="21"/>
      <c r="CB195" s="206"/>
      <c r="CD195" s="145"/>
      <c r="CE195" s="145"/>
      <c r="CF195" s="145"/>
      <c r="CG195" s="31"/>
      <c r="CH195" s="86"/>
      <c r="CI195" s="57"/>
      <c r="CJ195" s="57"/>
      <c r="CK195" s="57"/>
      <c r="CL195" s="57"/>
      <c r="CO195" s="23"/>
      <c r="CP195" s="87"/>
      <c r="CR195" s="61"/>
      <c r="CS195" s="61"/>
      <c r="CT195" s="61"/>
      <c r="CU195" s="61"/>
      <c r="CV195" s="60"/>
      <c r="DE195" s="43"/>
      <c r="DV195" s="31"/>
      <c r="DX195" s="115"/>
      <c r="DY195" s="115"/>
    </row>
    <row r="196" spans="1:129" ht="19.5" customHeight="1">
      <c r="A196" s="186"/>
      <c r="B196" s="249"/>
      <c r="C196" s="1899"/>
      <c r="D196" s="1899"/>
      <c r="E196" s="1899"/>
      <c r="F196" s="1899"/>
      <c r="G196" s="1899"/>
      <c r="H196" s="1899"/>
      <c r="I196" s="1899"/>
      <c r="J196" s="1899"/>
      <c r="K196" s="1899"/>
      <c r="L196" s="1899"/>
      <c r="M196" s="1899"/>
      <c r="N196" s="1899"/>
      <c r="O196" s="1899"/>
      <c r="P196" s="1899"/>
      <c r="Q196" s="1899"/>
      <c r="R196" s="1899"/>
      <c r="S196" s="1899"/>
      <c r="T196" s="1899"/>
      <c r="U196" s="1899"/>
      <c r="V196" s="1899"/>
      <c r="W196" s="1899"/>
      <c r="X196" s="1899"/>
      <c r="Y196" s="1899"/>
      <c r="Z196" s="1899"/>
      <c r="AA196" s="1899"/>
      <c r="AB196" s="1899"/>
      <c r="AC196" s="1899"/>
      <c r="AD196" s="1899"/>
      <c r="AE196" s="1899"/>
      <c r="AF196" s="1899"/>
      <c r="AG196" s="1899"/>
      <c r="AH196" s="1899"/>
      <c r="AI196" s="1899"/>
      <c r="AJ196" s="1899"/>
      <c r="AK196" s="1899"/>
      <c r="AL196" s="1899"/>
      <c r="AM196" s="1899"/>
      <c r="AN196" s="1899"/>
      <c r="AO196" s="1899"/>
      <c r="AP196" s="1899"/>
      <c r="AQ196" s="1899"/>
      <c r="AR196" s="1899"/>
      <c r="AS196" s="1899"/>
      <c r="AT196" s="1899"/>
      <c r="AU196" s="183"/>
      <c r="AX196" s="166"/>
      <c r="AY196" s="664" t="s">
        <v>2373</v>
      </c>
      <c r="AZ196" s="151"/>
      <c r="BA196" s="158"/>
      <c r="BB196" s="158"/>
      <c r="BC196" s="158"/>
      <c r="BD196" s="667" t="s">
        <v>2374</v>
      </c>
      <c r="BE196" s="158"/>
      <c r="BF196" s="158"/>
      <c r="BG196" s="158"/>
      <c r="BH196" s="158"/>
      <c r="BI196" s="158"/>
      <c r="CA196" s="21"/>
      <c r="CB196" s="126"/>
      <c r="CD196" s="145"/>
      <c r="CE196" s="145"/>
      <c r="CF196" s="145"/>
      <c r="CG196" s="31"/>
      <c r="CH196" s="86"/>
      <c r="CI196" s="57"/>
      <c r="CJ196" s="57"/>
      <c r="CK196" s="57"/>
      <c r="CL196" s="57"/>
      <c r="CO196" s="23"/>
      <c r="CP196" s="87"/>
      <c r="CR196" s="61"/>
      <c r="CS196" s="61"/>
      <c r="CT196" s="61"/>
      <c r="CU196" s="61"/>
      <c r="CV196" s="60"/>
      <c r="DE196" s="43"/>
      <c r="DV196" s="31"/>
      <c r="DX196" s="115"/>
      <c r="DY196" s="115"/>
    </row>
    <row r="197" spans="1:129" ht="19.5" customHeight="1">
      <c r="A197" s="186"/>
      <c r="B197" s="249"/>
      <c r="C197" s="210"/>
      <c r="D197" s="210"/>
      <c r="E197" s="210"/>
      <c r="F197" s="210"/>
      <c r="G197" s="210"/>
      <c r="H197" s="210"/>
      <c r="I197" s="210"/>
      <c r="J197" s="210"/>
      <c r="K197" s="210"/>
      <c r="L197" s="210"/>
      <c r="M197" s="210"/>
      <c r="N197" s="210"/>
      <c r="O197" s="210"/>
      <c r="P197" s="210"/>
      <c r="Q197" s="210"/>
      <c r="R197" s="235"/>
      <c r="S197" s="235"/>
      <c r="T197" s="235"/>
      <c r="U197" s="235"/>
      <c r="V197" s="235"/>
      <c r="W197" s="235"/>
      <c r="X197" s="235"/>
      <c r="Y197" s="235"/>
      <c r="Z197" s="235"/>
      <c r="AA197" s="235"/>
      <c r="AB197" s="235"/>
      <c r="AC197" s="235"/>
      <c r="AD197" s="235"/>
      <c r="AE197" s="235"/>
      <c r="AF197" s="235"/>
      <c r="AG197" s="235"/>
      <c r="AH197" s="235"/>
      <c r="AI197" s="235"/>
      <c r="AJ197" s="235"/>
      <c r="AK197" s="235"/>
      <c r="AL197" s="235"/>
      <c r="AM197" s="235"/>
      <c r="AN197" s="235"/>
      <c r="AO197" s="235"/>
      <c r="AP197" s="235"/>
      <c r="AQ197" s="235"/>
      <c r="AR197" s="235"/>
      <c r="AS197" s="235"/>
      <c r="AT197" s="235"/>
      <c r="AU197" s="183"/>
      <c r="AX197" s="166"/>
      <c r="AY197" s="664" t="s">
        <v>2375</v>
      </c>
      <c r="AZ197" s="151"/>
      <c r="BA197" s="158"/>
      <c r="BB197" s="158"/>
      <c r="BC197" s="158"/>
      <c r="BD197" s="667" t="s">
        <v>2376</v>
      </c>
      <c r="BE197" s="158"/>
      <c r="BF197" s="158"/>
      <c r="BG197" s="158"/>
      <c r="BH197" s="158"/>
      <c r="BI197" s="158"/>
      <c r="CA197" s="21"/>
      <c r="CB197" s="206"/>
      <c r="CD197" s="145"/>
      <c r="CE197" s="145"/>
      <c r="CF197" s="145"/>
      <c r="CG197" s="31"/>
      <c r="CH197" s="86"/>
      <c r="CI197" s="57"/>
      <c r="CJ197" s="57"/>
      <c r="CK197" s="57"/>
      <c r="CL197" s="57"/>
      <c r="CO197" s="23"/>
      <c r="CP197" s="87"/>
      <c r="CR197" s="61"/>
      <c r="CS197" s="61"/>
      <c r="CT197" s="61"/>
      <c r="CU197" s="61"/>
      <c r="CV197" s="60"/>
      <c r="DE197" s="43"/>
      <c r="DV197" s="31"/>
      <c r="DX197" s="115"/>
      <c r="DY197" s="115"/>
    </row>
    <row r="198" spans="1:129" ht="19.5" customHeight="1">
      <c r="A198" s="186"/>
      <c r="B198" s="249"/>
      <c r="C198" s="210"/>
      <c r="D198" s="210"/>
      <c r="E198" s="210"/>
      <c r="F198" s="210"/>
      <c r="G198" s="210"/>
      <c r="H198" s="210"/>
      <c r="I198" s="210"/>
      <c r="J198" s="210"/>
      <c r="K198" s="210"/>
      <c r="L198" s="210"/>
      <c r="M198" s="210"/>
      <c r="N198" s="210"/>
      <c r="O198" s="210"/>
      <c r="P198" s="210"/>
      <c r="Q198" s="210"/>
      <c r="R198" s="210"/>
      <c r="S198" s="210"/>
      <c r="T198" s="210"/>
      <c r="U198" s="210"/>
      <c r="V198" s="210"/>
      <c r="W198" s="210"/>
      <c r="X198" s="210"/>
      <c r="Y198" s="210"/>
      <c r="Z198" s="210"/>
      <c r="AA198" s="210"/>
      <c r="AB198" s="210"/>
      <c r="AC198" s="210"/>
      <c r="AD198" s="210"/>
      <c r="AE198" s="210"/>
      <c r="AF198" s="210"/>
      <c r="AG198" s="210"/>
      <c r="AH198" s="210"/>
      <c r="AI198" s="210"/>
      <c r="AJ198" s="210"/>
      <c r="AK198" s="210"/>
      <c r="AL198" s="210"/>
      <c r="AM198" s="210"/>
      <c r="AN198" s="210"/>
      <c r="AO198" s="210"/>
      <c r="AP198" s="210"/>
      <c r="AQ198" s="210"/>
      <c r="AR198" s="210"/>
      <c r="AS198" s="210"/>
      <c r="AT198" s="210"/>
      <c r="AU198" s="228"/>
      <c r="AX198" s="166"/>
      <c r="AY198" s="664" t="s">
        <v>2377</v>
      </c>
      <c r="AZ198" s="151"/>
      <c r="BA198" s="158"/>
      <c r="BB198" s="158"/>
      <c r="BC198" s="158"/>
      <c r="BD198" s="667" t="s">
        <v>2378</v>
      </c>
      <c r="BE198" s="158"/>
      <c r="BF198" s="158"/>
      <c r="BG198" s="158"/>
      <c r="BH198" s="158"/>
      <c r="BI198" s="158"/>
      <c r="CA198" s="21"/>
      <c r="CB198" s="126"/>
      <c r="CD198" s="145"/>
      <c r="CE198" s="145"/>
      <c r="CF198" s="145"/>
      <c r="CG198" s="31"/>
      <c r="CH198" s="86"/>
      <c r="CI198" s="57"/>
      <c r="CJ198" s="57"/>
      <c r="CK198" s="57"/>
      <c r="CL198" s="57"/>
      <c r="CO198" s="23"/>
      <c r="CP198" s="87"/>
      <c r="CR198" s="61"/>
      <c r="CS198" s="61"/>
      <c r="CT198" s="61"/>
      <c r="CU198" s="61"/>
      <c r="CV198" s="60"/>
      <c r="DE198" s="43"/>
      <c r="DV198" s="31"/>
      <c r="DX198" s="115"/>
      <c r="DY198" s="115"/>
    </row>
    <row r="199" spans="1:129" ht="19.5" customHeight="1">
      <c r="A199" s="186"/>
      <c r="B199" s="249"/>
      <c r="C199" s="210"/>
      <c r="D199" s="210"/>
      <c r="E199" s="210"/>
      <c r="F199" s="210"/>
      <c r="G199" s="210"/>
      <c r="H199" s="210"/>
      <c r="I199" s="210"/>
      <c r="J199" s="210"/>
      <c r="K199" s="210"/>
      <c r="L199" s="210"/>
      <c r="M199" s="210"/>
      <c r="N199" s="210"/>
      <c r="O199" s="210"/>
      <c r="P199" s="210"/>
      <c r="Q199" s="210"/>
      <c r="R199" s="210"/>
      <c r="S199" s="210"/>
      <c r="T199" s="210"/>
      <c r="U199" s="210"/>
      <c r="V199" s="210"/>
      <c r="W199" s="210"/>
      <c r="X199" s="210"/>
      <c r="Y199" s="210"/>
      <c r="Z199" s="210"/>
      <c r="AA199" s="210"/>
      <c r="AB199" s="210"/>
      <c r="AC199" s="210"/>
      <c r="AD199" s="210"/>
      <c r="AE199" s="210"/>
      <c r="AF199" s="210"/>
      <c r="AG199" s="210"/>
      <c r="AH199" s="210"/>
      <c r="AI199" s="210"/>
      <c r="AJ199" s="210"/>
      <c r="AK199" s="210"/>
      <c r="AL199" s="210"/>
      <c r="AM199" s="210"/>
      <c r="AN199" s="210"/>
      <c r="AO199" s="210"/>
      <c r="AP199" s="210"/>
      <c r="AQ199" s="210"/>
      <c r="AR199" s="210"/>
      <c r="AS199" s="210"/>
      <c r="AT199" s="210"/>
      <c r="AU199" s="228"/>
      <c r="AX199" s="166"/>
      <c r="AY199" s="664" t="s">
        <v>2379</v>
      </c>
      <c r="AZ199" s="151"/>
      <c r="BA199" s="158"/>
      <c r="BB199" s="158"/>
      <c r="BC199" s="158"/>
      <c r="BD199" s="667" t="s">
        <v>2380</v>
      </c>
      <c r="BE199" s="158"/>
      <c r="BF199" s="158"/>
      <c r="BG199" s="158"/>
      <c r="BH199" s="158"/>
      <c r="BI199" s="158"/>
      <c r="CA199" s="24"/>
      <c r="CB199" s="126"/>
      <c r="CD199" s="145"/>
      <c r="CE199" s="145"/>
      <c r="CF199" s="145"/>
      <c r="CG199" s="31"/>
      <c r="CH199" s="86"/>
      <c r="CI199" s="57"/>
      <c r="CJ199" s="57"/>
      <c r="CK199" s="57"/>
      <c r="CL199" s="57"/>
      <c r="CO199" s="23"/>
      <c r="CP199" s="87"/>
      <c r="CR199" s="61"/>
      <c r="CS199" s="61"/>
      <c r="CT199" s="61"/>
      <c r="CU199" s="61"/>
      <c r="CV199" s="60"/>
      <c r="DE199" s="43"/>
      <c r="DV199" s="31"/>
      <c r="DX199" s="115"/>
      <c r="DY199" s="115"/>
    </row>
    <row r="200" spans="1:129" ht="19.5" customHeight="1">
      <c r="A200" s="186"/>
      <c r="B200" s="256"/>
      <c r="C200" s="222"/>
      <c r="D200" s="222"/>
      <c r="E200" s="222"/>
      <c r="F200" s="222"/>
      <c r="G200" s="222"/>
      <c r="H200" s="222"/>
      <c r="I200" s="222"/>
      <c r="J200" s="222"/>
      <c r="K200" s="222"/>
      <c r="L200" s="222"/>
      <c r="M200" s="222"/>
      <c r="N200" s="222"/>
      <c r="O200" s="222"/>
      <c r="P200" s="222"/>
      <c r="Q200" s="222"/>
      <c r="R200" s="222"/>
      <c r="S200" s="222"/>
      <c r="T200" s="222"/>
      <c r="U200" s="222"/>
      <c r="V200" s="222"/>
      <c r="W200" s="222"/>
      <c r="X200" s="222"/>
      <c r="Y200" s="222"/>
      <c r="Z200" s="222"/>
      <c r="AA200" s="222"/>
      <c r="AB200" s="222"/>
      <c r="AC200" s="222"/>
      <c r="AD200" s="222"/>
      <c r="AE200" s="222"/>
      <c r="AF200" s="222"/>
      <c r="AG200" s="222"/>
      <c r="AH200" s="222"/>
      <c r="AI200" s="222"/>
      <c r="AJ200" s="222"/>
      <c r="AK200" s="222"/>
      <c r="AL200" s="222"/>
      <c r="AM200" s="222"/>
      <c r="AN200" s="222"/>
      <c r="AO200" s="222"/>
      <c r="AP200" s="222"/>
      <c r="AQ200" s="222"/>
      <c r="AR200" s="222"/>
      <c r="AS200" s="222"/>
      <c r="AT200" s="670"/>
      <c r="AU200" s="671"/>
      <c r="AX200" s="166"/>
      <c r="AY200" s="664" t="s">
        <v>2381</v>
      </c>
      <c r="AZ200" s="151"/>
      <c r="BA200" s="158"/>
      <c r="BB200" s="158"/>
      <c r="BC200" s="158"/>
      <c r="BD200" s="667" t="s">
        <v>2382</v>
      </c>
      <c r="BE200" s="158"/>
      <c r="BF200" s="158"/>
      <c r="BG200" s="158"/>
      <c r="BH200" s="158"/>
      <c r="BI200" s="158"/>
      <c r="CA200" s="24"/>
      <c r="CB200" s="126"/>
      <c r="CD200" s="145"/>
      <c r="CE200" s="145"/>
      <c r="CF200" s="145"/>
      <c r="CG200" s="31"/>
      <c r="CH200" s="86"/>
      <c r="CI200" s="57"/>
      <c r="CJ200" s="57"/>
      <c r="CK200" s="57"/>
      <c r="CL200" s="57"/>
      <c r="CO200" s="23"/>
      <c r="CP200" s="87"/>
      <c r="CR200" s="61"/>
      <c r="CS200" s="61"/>
      <c r="CT200" s="61"/>
      <c r="CU200" s="61"/>
      <c r="CV200" s="60"/>
      <c r="DE200" s="43"/>
      <c r="DV200" s="31"/>
      <c r="DX200" s="115"/>
      <c r="DY200" s="115"/>
    </row>
    <row r="201" spans="1:129" ht="19.5" customHeight="1" thickBot="1">
      <c r="B201" s="672"/>
      <c r="C201" s="673"/>
      <c r="D201" s="673"/>
      <c r="E201" s="673"/>
      <c r="F201" s="673"/>
      <c r="G201" s="673"/>
      <c r="H201" s="673"/>
      <c r="I201" s="673"/>
      <c r="J201" s="673"/>
      <c r="K201" s="673"/>
      <c r="L201" s="673"/>
      <c r="M201" s="673"/>
      <c r="N201" s="673"/>
      <c r="O201" s="673"/>
      <c r="P201" s="673"/>
      <c r="Q201" s="673"/>
      <c r="R201" s="673"/>
      <c r="S201" s="673"/>
      <c r="T201" s="673"/>
      <c r="U201" s="673"/>
      <c r="V201" s="673"/>
      <c r="W201" s="673"/>
      <c r="X201" s="673"/>
      <c r="Y201" s="673"/>
      <c r="Z201" s="673"/>
      <c r="AA201" s="673"/>
      <c r="AB201" s="673"/>
      <c r="AC201" s="673"/>
      <c r="AD201" s="673"/>
      <c r="AE201" s="673"/>
      <c r="AF201" s="673"/>
      <c r="AG201" s="673"/>
      <c r="AH201" s="673"/>
      <c r="AI201" s="673"/>
      <c r="AJ201" s="673"/>
      <c r="AK201" s="673"/>
      <c r="AL201" s="673"/>
      <c r="AM201" s="673"/>
      <c r="AN201" s="673"/>
      <c r="AO201" s="673"/>
      <c r="AP201" s="673"/>
      <c r="AQ201" s="673"/>
      <c r="AR201" s="673"/>
      <c r="AS201" s="673"/>
      <c r="AT201" s="674"/>
      <c r="AU201" s="675"/>
      <c r="AY201" s="662" t="s">
        <v>2383</v>
      </c>
      <c r="AZ201" s="166"/>
      <c r="BA201" s="158"/>
      <c r="BB201" s="158"/>
      <c r="BC201" s="158"/>
      <c r="BD201" s="667" t="s">
        <v>2384</v>
      </c>
      <c r="BE201" s="158"/>
      <c r="BF201" s="158"/>
      <c r="BG201" s="158"/>
      <c r="BH201" s="158"/>
      <c r="BI201" s="158"/>
      <c r="CA201" s="24"/>
      <c r="CB201" s="126"/>
      <c r="CD201" s="145"/>
      <c r="CE201" s="145"/>
      <c r="CF201" s="145"/>
      <c r="CG201" s="31"/>
      <c r="CH201" s="86"/>
      <c r="CI201" s="57"/>
      <c r="CJ201" s="57"/>
      <c r="CK201" s="57"/>
      <c r="CL201" s="57"/>
      <c r="CO201" s="23"/>
      <c r="CP201" s="87"/>
      <c r="CR201" s="61"/>
      <c r="CS201" s="61"/>
      <c r="CT201" s="61"/>
      <c r="CU201" s="61"/>
      <c r="CV201" s="60"/>
      <c r="DE201" s="43"/>
      <c r="DV201" s="31"/>
      <c r="DX201" s="115"/>
      <c r="DY201" s="115"/>
    </row>
    <row r="202" spans="1:129" ht="19.5" customHeight="1" thickTop="1">
      <c r="B202" s="251"/>
      <c r="C202" s="236"/>
      <c r="AC202" s="236"/>
      <c r="AD202" s="236"/>
      <c r="AE202" s="236"/>
      <c r="AF202" s="236"/>
      <c r="AG202" s="236"/>
      <c r="AH202" s="236"/>
      <c r="AI202" s="236"/>
      <c r="AJ202" s="236"/>
      <c r="AK202" s="236"/>
      <c r="AT202" s="237"/>
      <c r="AU202" s="238"/>
      <c r="AX202" s="166" t="s">
        <v>2118</v>
      </c>
      <c r="AY202" s="662" t="s">
        <v>2385</v>
      </c>
      <c r="AZ202" s="166" t="s">
        <v>2386</v>
      </c>
      <c r="BA202" s="158"/>
      <c r="BB202" s="158"/>
      <c r="BC202" s="158"/>
      <c r="BD202" s="667" t="s">
        <v>2387</v>
      </c>
      <c r="BE202" s="158"/>
      <c r="BF202" s="158"/>
      <c r="BG202" s="158"/>
      <c r="BH202" s="158"/>
      <c r="BI202" s="158"/>
      <c r="CA202" s="24"/>
      <c r="CD202" s="145"/>
      <c r="CE202" s="145"/>
      <c r="CF202" s="145"/>
      <c r="CG202" s="31"/>
      <c r="CH202" s="86"/>
      <c r="CI202" s="57"/>
      <c r="CJ202" s="57"/>
      <c r="CK202" s="57"/>
      <c r="CL202" s="57"/>
      <c r="CO202" s="129"/>
      <c r="CP202" s="58"/>
      <c r="CS202" s="89"/>
      <c r="CT202" s="89"/>
      <c r="DE202" s="43"/>
      <c r="DX202" s="115"/>
      <c r="DY202" s="115"/>
    </row>
    <row r="203" spans="1:129" ht="19.5" customHeight="1">
      <c r="B203" s="251"/>
      <c r="C203" s="236"/>
      <c r="AC203" s="236"/>
      <c r="AD203" s="236"/>
      <c r="AE203" s="236"/>
      <c r="AF203" s="236"/>
      <c r="AG203" s="236"/>
      <c r="AH203" s="236"/>
      <c r="AI203" s="236"/>
      <c r="AJ203" s="236"/>
      <c r="AK203" s="236"/>
      <c r="AT203" s="237"/>
      <c r="AU203" s="238"/>
      <c r="AX203" s="663" t="s">
        <v>2113</v>
      </c>
      <c r="AY203" s="662" t="s">
        <v>2388</v>
      </c>
      <c r="AZ203" s="792" t="s">
        <v>2389</v>
      </c>
      <c r="BA203" s="158"/>
      <c r="BB203" s="158"/>
      <c r="BC203" s="158"/>
      <c r="BD203" s="667" t="s">
        <v>2390</v>
      </c>
      <c r="BE203" s="158"/>
      <c r="BF203" s="158"/>
      <c r="BG203" s="158"/>
      <c r="BH203" s="158"/>
      <c r="BI203" s="158"/>
      <c r="CA203" s="24"/>
      <c r="CD203" s="145"/>
      <c r="CE203" s="145"/>
      <c r="CF203" s="145"/>
      <c r="CG203" s="31"/>
      <c r="CH203" s="86"/>
      <c r="CI203" s="57"/>
      <c r="CJ203" s="57"/>
      <c r="CK203" s="57"/>
      <c r="CL203" s="57"/>
      <c r="CO203" s="23"/>
      <c r="CP203" s="87"/>
      <c r="DE203" s="43"/>
      <c r="DX203" s="115"/>
      <c r="DY203" s="115"/>
    </row>
    <row r="204" spans="1:129" ht="19.5" customHeight="1">
      <c r="B204" s="251"/>
      <c r="C204" s="236"/>
      <c r="AC204" s="236"/>
      <c r="AD204" s="236"/>
      <c r="AE204" s="236"/>
      <c r="AF204" s="236"/>
      <c r="AG204" s="236"/>
      <c r="AH204" s="236"/>
      <c r="AI204" s="236"/>
      <c r="AJ204" s="236"/>
      <c r="AK204" s="236"/>
      <c r="AT204" s="237"/>
      <c r="AU204" s="238"/>
      <c r="AX204" s="662" t="s">
        <v>2119</v>
      </c>
      <c r="AY204" s="662" t="s">
        <v>2391</v>
      </c>
      <c r="AZ204" s="792" t="s">
        <v>2392</v>
      </c>
      <c r="BA204" s="158"/>
      <c r="BB204" s="158"/>
      <c r="BC204" s="158"/>
      <c r="BD204" s="667" t="s">
        <v>2393</v>
      </c>
      <c r="BE204" s="158"/>
      <c r="BF204" s="158"/>
      <c r="BG204" s="158"/>
      <c r="BH204" s="158"/>
      <c r="BI204" s="158"/>
      <c r="CA204" s="24"/>
      <c r="CD204" s="145"/>
      <c r="CE204" s="145"/>
      <c r="CF204" s="145"/>
      <c r="CG204" s="31"/>
      <c r="CH204" s="86"/>
      <c r="CI204" s="57"/>
      <c r="CJ204" s="57"/>
      <c r="CK204" s="57"/>
      <c r="CL204" s="57"/>
      <c r="CO204" s="23"/>
      <c r="CP204" s="87"/>
      <c r="DE204" s="43"/>
      <c r="DX204" s="1"/>
    </row>
    <row r="205" spans="1:129" ht="19.5" customHeight="1">
      <c r="B205" s="251"/>
      <c r="C205" s="236"/>
      <c r="AC205" s="236"/>
      <c r="AD205" s="236"/>
      <c r="AE205" s="236"/>
      <c r="AF205" s="236"/>
      <c r="AG205" s="236"/>
      <c r="AH205" s="236"/>
      <c r="AI205" s="236"/>
      <c r="AJ205" s="236"/>
      <c r="AK205" s="236"/>
      <c r="AT205" s="237"/>
      <c r="AU205" s="238"/>
      <c r="AX205" s="662" t="s">
        <v>2117</v>
      </c>
      <c r="AY205" s="662" t="s">
        <v>2394</v>
      </c>
      <c r="AZ205" s="792" t="s">
        <v>2395</v>
      </c>
      <c r="BA205" s="158"/>
      <c r="BB205" s="158"/>
      <c r="BC205" s="158"/>
      <c r="BD205" s="667" t="s">
        <v>2396</v>
      </c>
      <c r="BE205" s="158"/>
      <c r="BF205" s="158"/>
      <c r="BG205" s="158"/>
      <c r="BH205" s="158"/>
      <c r="BI205" s="158"/>
      <c r="CA205" s="24"/>
      <c r="CD205" s="145"/>
      <c r="CE205" s="145"/>
      <c r="CF205" s="145"/>
      <c r="CG205" s="31"/>
      <c r="CH205" s="86"/>
      <c r="CI205" s="57"/>
      <c r="CJ205" s="57"/>
      <c r="CK205" s="57"/>
      <c r="CL205" s="57"/>
      <c r="CO205" s="23"/>
      <c r="CP205" s="87"/>
      <c r="DE205" s="43"/>
      <c r="DX205" s="1"/>
    </row>
    <row r="206" spans="1:129" ht="19.5" customHeight="1">
      <c r="B206" s="251"/>
      <c r="C206" s="236"/>
      <c r="AC206" s="236"/>
      <c r="AD206" s="236"/>
      <c r="AE206" s="236"/>
      <c r="AF206" s="236"/>
      <c r="AG206" s="236"/>
      <c r="AH206" s="236"/>
      <c r="AI206" s="236"/>
      <c r="AJ206" s="236"/>
      <c r="AK206" s="236"/>
      <c r="AT206" s="237"/>
      <c r="AU206" s="238"/>
      <c r="AX206" s="662" t="s">
        <v>2120</v>
      </c>
      <c r="AY206" s="662" t="s">
        <v>2397</v>
      </c>
      <c r="AZ206" s="792" t="s">
        <v>2398</v>
      </c>
      <c r="BA206" s="158"/>
      <c r="BB206" s="158"/>
      <c r="BC206" s="158"/>
      <c r="BD206" s="667" t="s">
        <v>2399</v>
      </c>
      <c r="BE206" s="158"/>
      <c r="BF206" s="158"/>
      <c r="BG206" s="158"/>
      <c r="BH206" s="158"/>
      <c r="BI206" s="158"/>
      <c r="CA206" s="21"/>
      <c r="CD206" s="145"/>
      <c r="CE206" s="145"/>
      <c r="CF206" s="145"/>
      <c r="CH206" s="86"/>
      <c r="CI206" s="57"/>
      <c r="CJ206" s="57"/>
      <c r="CK206" s="57"/>
      <c r="CL206" s="57"/>
      <c r="CO206" s="23"/>
      <c r="CP206" s="87"/>
      <c r="DE206" s="43"/>
      <c r="DX206" s="1"/>
    </row>
    <row r="207" spans="1:129" ht="19.5" customHeight="1">
      <c r="B207" s="251"/>
      <c r="C207" s="236"/>
      <c r="AC207" s="236"/>
      <c r="AD207" s="236"/>
      <c r="AE207" s="236"/>
      <c r="AF207" s="236"/>
      <c r="AG207" s="236"/>
      <c r="AH207" s="236"/>
      <c r="AI207" s="236"/>
      <c r="AJ207" s="236"/>
      <c r="AK207" s="236"/>
      <c r="AT207" s="237"/>
      <c r="AU207" s="238"/>
      <c r="AX207" s="662" t="s">
        <v>2121</v>
      </c>
      <c r="AY207" s="662" t="s">
        <v>2400</v>
      </c>
      <c r="AZ207" s="792" t="s">
        <v>2401</v>
      </c>
      <c r="BA207" s="158"/>
      <c r="BB207" s="158"/>
      <c r="BC207" s="158"/>
      <c r="BD207" s="667" t="s">
        <v>2402</v>
      </c>
      <c r="BE207" s="158"/>
      <c r="BF207" s="158"/>
      <c r="BG207" s="158"/>
      <c r="BH207" s="158"/>
      <c r="BI207" s="158"/>
      <c r="CA207" s="120"/>
      <c r="CB207" s="126"/>
      <c r="CD207" s="145"/>
      <c r="CE207" s="145"/>
      <c r="CF207" s="145"/>
      <c r="CH207" s="86"/>
      <c r="CI207" s="57"/>
      <c r="CJ207" s="57"/>
      <c r="CK207" s="57"/>
      <c r="CL207" s="57"/>
      <c r="CO207" s="23"/>
      <c r="CP207" s="87"/>
      <c r="DE207" s="43"/>
      <c r="DX207" s="1"/>
    </row>
    <row r="208" spans="1:129" ht="19.5" customHeight="1">
      <c r="B208" s="251"/>
      <c r="C208" s="236"/>
      <c r="AC208" s="236"/>
      <c r="AD208" s="236"/>
      <c r="AE208" s="236"/>
      <c r="AF208" s="236"/>
      <c r="AG208" s="236"/>
      <c r="AH208" s="236"/>
      <c r="AI208" s="236"/>
      <c r="AJ208" s="236"/>
      <c r="AK208" s="236"/>
      <c r="AT208" s="237"/>
      <c r="AU208" s="238"/>
      <c r="AX208" s="662" t="s">
        <v>2122</v>
      </c>
      <c r="AY208" s="662" t="s">
        <v>2403</v>
      </c>
      <c r="AZ208" s="792" t="s">
        <v>2404</v>
      </c>
      <c r="BA208" s="158"/>
      <c r="BB208" s="158"/>
      <c r="BC208" s="158"/>
      <c r="BD208" s="669" t="s">
        <v>2405</v>
      </c>
      <c r="BE208" s="158"/>
      <c r="BF208" s="158"/>
      <c r="BG208" s="158"/>
      <c r="BH208" s="158"/>
      <c r="BI208" s="158"/>
      <c r="CA208" s="120"/>
      <c r="CB208" s="126"/>
      <c r="CD208" s="145"/>
      <c r="CE208" s="145"/>
      <c r="CF208" s="145"/>
      <c r="CH208" s="86"/>
      <c r="CI208" s="57"/>
      <c r="CJ208" s="57"/>
      <c r="CK208" s="57"/>
      <c r="CL208" s="57"/>
      <c r="CO208" s="23"/>
      <c r="CP208" s="87"/>
      <c r="DE208" s="43"/>
      <c r="DX208" s="1"/>
    </row>
    <row r="209" spans="2:128" ht="19.5" customHeight="1">
      <c r="B209" s="251"/>
      <c r="C209" s="236"/>
      <c r="AC209" s="236"/>
      <c r="AD209" s="236"/>
      <c r="AE209" s="236"/>
      <c r="AF209" s="236"/>
      <c r="AG209" s="236"/>
      <c r="AH209" s="236"/>
      <c r="AI209" s="236"/>
      <c r="AJ209" s="236"/>
      <c r="AK209" s="236"/>
      <c r="AT209" s="237"/>
      <c r="AU209" s="238"/>
      <c r="AX209" s="662" t="s">
        <v>2123</v>
      </c>
      <c r="AY209" s="662" t="s">
        <v>2406</v>
      </c>
      <c r="AZ209" s="792" t="s">
        <v>2407</v>
      </c>
      <c r="BA209" s="158"/>
      <c r="BB209" s="158"/>
      <c r="BC209" s="158"/>
      <c r="BD209" s="158"/>
      <c r="BE209" s="158"/>
      <c r="BF209" s="158"/>
      <c r="BG209" s="158"/>
      <c r="BH209" s="158"/>
      <c r="BI209" s="158"/>
      <c r="CD209" s="145"/>
      <c r="CE209" s="145"/>
      <c r="CF209" s="145"/>
      <c r="DE209" s="43"/>
      <c r="DX209" s="1"/>
    </row>
    <row r="210" spans="2:128" ht="19.5" customHeight="1">
      <c r="B210" s="251"/>
      <c r="C210" s="236"/>
      <c r="AC210" s="236"/>
      <c r="AD210" s="236"/>
      <c r="AE210" s="236"/>
      <c r="AF210" s="236"/>
      <c r="AG210" s="236"/>
      <c r="AH210" s="236"/>
      <c r="AI210" s="236"/>
      <c r="AJ210" s="236"/>
      <c r="AK210" s="236"/>
      <c r="AT210" s="237"/>
      <c r="AU210" s="238"/>
      <c r="AX210" s="662" t="s">
        <v>2124</v>
      </c>
      <c r="AY210" s="662" t="s">
        <v>2408</v>
      </c>
      <c r="AZ210" s="792" t="s">
        <v>2409</v>
      </c>
      <c r="BA210" s="158"/>
      <c r="BB210" s="158"/>
      <c r="BC210" s="158"/>
      <c r="BD210" s="158"/>
      <c r="BE210" s="158"/>
      <c r="BF210" s="158"/>
      <c r="BG210" s="158"/>
      <c r="BH210" s="158"/>
      <c r="BI210" s="158"/>
      <c r="CD210" s="145"/>
      <c r="CE210" s="145"/>
      <c r="CF210" s="145"/>
      <c r="CH210" s="89"/>
      <c r="CI210" s="89"/>
      <c r="CJ210" s="89"/>
      <c r="CK210" s="89"/>
      <c r="DE210" s="43"/>
      <c r="DX210" s="1"/>
    </row>
    <row r="211" spans="2:128" ht="19.5" customHeight="1">
      <c r="B211" s="251"/>
      <c r="C211" s="236"/>
      <c r="AC211" s="236"/>
      <c r="AD211" s="236"/>
      <c r="AE211" s="236"/>
      <c r="AF211" s="236"/>
      <c r="AG211" s="236"/>
      <c r="AH211" s="236"/>
      <c r="AI211" s="236"/>
      <c r="AJ211" s="236"/>
      <c r="AK211" s="236"/>
      <c r="AU211" s="238"/>
      <c r="AX211" s="662" t="s">
        <v>2125</v>
      </c>
      <c r="AY211" s="662" t="s">
        <v>2410</v>
      </c>
      <c r="AZ211" s="792" t="s">
        <v>2411</v>
      </c>
      <c r="BA211" s="158"/>
      <c r="BB211" s="158"/>
      <c r="BC211" s="158"/>
      <c r="BD211" s="158"/>
      <c r="BE211" s="158"/>
      <c r="BF211" s="158"/>
      <c r="BG211" s="158"/>
      <c r="BH211" s="158"/>
      <c r="BI211" s="158"/>
      <c r="CD211" s="145"/>
      <c r="CE211" s="145"/>
      <c r="CF211" s="145"/>
      <c r="DE211" s="43"/>
      <c r="DX211" s="1"/>
    </row>
    <row r="212" spans="2:128" ht="19.5" customHeight="1">
      <c r="B212" s="251"/>
      <c r="C212" s="236"/>
      <c r="AC212" s="236"/>
      <c r="AD212" s="236"/>
      <c r="AE212" s="236"/>
      <c r="AF212" s="236"/>
      <c r="AG212" s="236"/>
      <c r="AH212" s="236"/>
      <c r="AI212" s="236"/>
      <c r="AJ212" s="236"/>
      <c r="AK212" s="236"/>
      <c r="AU212" s="238"/>
      <c r="AX212" s="662" t="s">
        <v>2126</v>
      </c>
      <c r="AY212" s="662" t="s">
        <v>2412</v>
      </c>
      <c r="AZ212" s="792" t="s">
        <v>2413</v>
      </c>
      <c r="BA212" s="158"/>
      <c r="BB212" s="158"/>
      <c r="BC212" s="158"/>
      <c r="BD212" s="158"/>
      <c r="BE212" s="158"/>
      <c r="BF212" s="158"/>
      <c r="BG212" s="158"/>
      <c r="BH212" s="158"/>
      <c r="BI212" s="158"/>
      <c r="CD212" s="145"/>
      <c r="CE212" s="145"/>
      <c r="CF212" s="145"/>
      <c r="CH212" s="89"/>
      <c r="CI212" s="89"/>
      <c r="CJ212" s="89"/>
      <c r="CK212" s="89"/>
      <c r="DX212" s="1"/>
    </row>
    <row r="213" spans="2:128" ht="19.5" customHeight="1">
      <c r="B213" s="251"/>
      <c r="C213" s="236"/>
      <c r="AC213" s="236"/>
      <c r="AD213" s="236"/>
      <c r="AE213" s="236"/>
      <c r="AF213" s="236"/>
      <c r="AG213" s="236"/>
      <c r="AH213" s="236"/>
      <c r="AI213" s="236"/>
      <c r="AJ213" s="236"/>
      <c r="AK213" s="236"/>
      <c r="AU213" s="238"/>
      <c r="AX213" s="662" t="s">
        <v>2127</v>
      </c>
      <c r="AY213" s="662" t="s">
        <v>2414</v>
      </c>
      <c r="AZ213" s="792" t="s">
        <v>2415</v>
      </c>
      <c r="BA213" s="158"/>
      <c r="BB213" s="158"/>
      <c r="BC213" s="158"/>
      <c r="BD213" s="158"/>
      <c r="BE213" s="158"/>
      <c r="BF213" s="158"/>
      <c r="BG213" s="158"/>
      <c r="BH213" s="158"/>
      <c r="BI213" s="158"/>
      <c r="CD213" s="145"/>
      <c r="CE213" s="145"/>
      <c r="CF213" s="145"/>
      <c r="CH213" s="89"/>
      <c r="CI213" s="89"/>
      <c r="CJ213" s="89"/>
      <c r="CK213" s="89"/>
      <c r="CS213" s="57"/>
      <c r="CT213" s="57"/>
      <c r="CU213" s="57"/>
      <c r="DX213" s="1"/>
    </row>
    <row r="214" spans="2:128" ht="19.5" customHeight="1">
      <c r="B214" s="251"/>
      <c r="C214" s="236"/>
      <c r="AC214" s="236"/>
      <c r="AD214" s="236"/>
      <c r="AE214" s="236"/>
      <c r="AF214" s="236"/>
      <c r="AG214" s="236"/>
      <c r="AH214" s="236"/>
      <c r="AI214" s="236"/>
      <c r="AJ214" s="236"/>
      <c r="AK214" s="236"/>
      <c r="AU214" s="238"/>
      <c r="AX214" s="662" t="s">
        <v>2128</v>
      </c>
      <c r="AY214" s="662" t="s">
        <v>2416</v>
      </c>
      <c r="AZ214" s="792" t="s">
        <v>2417</v>
      </c>
      <c r="BA214" s="158"/>
      <c r="BB214" s="158"/>
      <c r="BC214" s="158"/>
      <c r="BD214" s="158"/>
      <c r="BE214" s="158"/>
      <c r="BF214" s="158"/>
      <c r="BG214" s="158"/>
      <c r="BH214" s="158"/>
      <c r="BI214" s="158"/>
      <c r="CD214" s="145"/>
      <c r="CE214" s="145"/>
      <c r="CF214" s="145"/>
      <c r="CH214" s="89"/>
      <c r="CI214" s="89"/>
      <c r="CJ214" s="89"/>
      <c r="CK214" s="89"/>
      <c r="CS214" s="57"/>
      <c r="CT214" s="57"/>
      <c r="CU214" s="57"/>
      <c r="CV214" s="60"/>
      <c r="DX214" s="1"/>
    </row>
    <row r="215" spans="2:128" ht="19.5" customHeight="1">
      <c r="B215" s="251"/>
      <c r="C215" s="236"/>
      <c r="AC215" s="236"/>
      <c r="AD215" s="236"/>
      <c r="AE215" s="236"/>
      <c r="AF215" s="236"/>
      <c r="AG215" s="236"/>
      <c r="AH215" s="236"/>
      <c r="AI215" s="236"/>
      <c r="AJ215" s="236"/>
      <c r="AK215" s="236"/>
      <c r="AU215" s="238"/>
      <c r="AX215" s="662" t="s">
        <v>2129</v>
      </c>
      <c r="AY215" s="662" t="s">
        <v>2418</v>
      </c>
      <c r="AZ215" s="792" t="s">
        <v>2419</v>
      </c>
      <c r="BA215" s="158"/>
      <c r="BB215" s="158"/>
      <c r="BC215" s="158"/>
      <c r="BD215" s="158"/>
      <c r="BE215" s="158"/>
      <c r="BF215" s="158"/>
      <c r="BG215" s="158"/>
      <c r="BH215" s="158"/>
      <c r="BI215" s="158"/>
      <c r="CD215" s="145"/>
      <c r="CE215" s="145"/>
      <c r="CF215" s="145"/>
      <c r="CH215" s="89"/>
      <c r="CI215" s="89"/>
      <c r="CJ215" s="89"/>
      <c r="CK215" s="89"/>
      <c r="CS215" s="57"/>
      <c r="CT215" s="57"/>
      <c r="CU215" s="57"/>
      <c r="CV215" s="60"/>
      <c r="DX215" s="1"/>
    </row>
    <row r="216" spans="2:128" ht="19.5" customHeight="1">
      <c r="B216" s="251"/>
      <c r="C216" s="236"/>
      <c r="AC216" s="236"/>
      <c r="AD216" s="236"/>
      <c r="AE216" s="236"/>
      <c r="AF216" s="236"/>
      <c r="AG216" s="236"/>
      <c r="AH216" s="236"/>
      <c r="AI216" s="236"/>
      <c r="AJ216" s="236"/>
      <c r="AK216" s="236"/>
      <c r="AU216" s="238"/>
      <c r="AX216" s="662" t="s">
        <v>2130</v>
      </c>
      <c r="AY216" s="662" t="s">
        <v>2420</v>
      </c>
      <c r="AZ216" s="792" t="s">
        <v>2421</v>
      </c>
      <c r="BA216" s="158"/>
      <c r="BB216" s="158"/>
      <c r="BC216" s="158"/>
      <c r="BD216" s="158"/>
      <c r="BE216" s="158"/>
      <c r="BF216" s="158"/>
      <c r="BG216" s="158"/>
      <c r="BH216" s="158"/>
      <c r="BI216" s="158"/>
      <c r="CD216" s="145"/>
      <c r="CE216" s="145"/>
      <c r="CF216" s="145"/>
      <c r="CH216" s="89"/>
      <c r="CI216" s="89"/>
      <c r="CJ216" s="89"/>
      <c r="CK216" s="89"/>
      <c r="CV216" s="60"/>
    </row>
    <row r="217" spans="2:128" ht="19.5" customHeight="1">
      <c r="B217" s="251"/>
      <c r="C217" s="236"/>
      <c r="AC217" s="236"/>
      <c r="AD217" s="236"/>
      <c r="AE217" s="236"/>
      <c r="AF217" s="236"/>
      <c r="AG217" s="236"/>
      <c r="AH217" s="236"/>
      <c r="AI217" s="236"/>
      <c r="AJ217" s="236"/>
      <c r="AK217" s="236"/>
      <c r="AU217" s="238"/>
      <c r="AX217" s="662" t="s">
        <v>2131</v>
      </c>
      <c r="AY217" s="662" t="s">
        <v>2422</v>
      </c>
      <c r="AZ217" s="792" t="s">
        <v>2423</v>
      </c>
      <c r="BA217" s="158"/>
      <c r="BB217" s="158"/>
      <c r="BC217" s="158"/>
      <c r="BD217" s="158"/>
      <c r="BE217" s="158"/>
      <c r="BF217" s="158"/>
      <c r="BG217" s="158"/>
      <c r="BH217" s="158"/>
      <c r="BI217" s="158"/>
      <c r="CD217" s="145"/>
      <c r="CE217" s="145"/>
      <c r="CF217" s="145"/>
      <c r="CH217" s="89"/>
      <c r="CI217" s="89"/>
      <c r="CJ217" s="89"/>
      <c r="CK217" s="89"/>
    </row>
    <row r="218" spans="2:128" ht="19.5" customHeight="1">
      <c r="B218" s="251"/>
      <c r="C218" s="236"/>
      <c r="AC218" s="236"/>
      <c r="AD218" s="236"/>
      <c r="AE218" s="236"/>
      <c r="AF218" s="236"/>
      <c r="AG218" s="236"/>
      <c r="AH218" s="236"/>
      <c r="AI218" s="236"/>
      <c r="AJ218" s="236"/>
      <c r="AK218" s="236"/>
      <c r="AU218" s="238"/>
      <c r="AX218" s="662" t="s">
        <v>2132</v>
      </c>
      <c r="AY218" s="662" t="s">
        <v>2424</v>
      </c>
      <c r="AZ218" s="792" t="s">
        <v>2425</v>
      </c>
      <c r="BA218" s="158"/>
      <c r="BB218" s="158"/>
      <c r="BC218" s="158"/>
      <c r="BD218" s="158"/>
      <c r="BE218" s="158"/>
      <c r="BF218" s="158"/>
      <c r="BG218" s="158"/>
      <c r="BH218" s="158"/>
      <c r="BI218" s="158"/>
      <c r="CD218" s="145"/>
      <c r="CE218" s="145"/>
      <c r="CF218" s="145"/>
    </row>
    <row r="219" spans="2:128" ht="19.5" customHeight="1">
      <c r="B219" s="251"/>
      <c r="C219" s="236"/>
      <c r="AC219" s="236"/>
      <c r="AD219" s="236"/>
      <c r="AE219" s="236"/>
      <c r="AF219" s="236"/>
      <c r="AG219" s="236"/>
      <c r="AH219" s="236"/>
      <c r="AI219" s="236"/>
      <c r="AJ219" s="236"/>
      <c r="AK219" s="236"/>
      <c r="AU219" s="238"/>
      <c r="AX219" s="662" t="s">
        <v>2133</v>
      </c>
      <c r="AY219" s="662" t="s">
        <v>2426</v>
      </c>
      <c r="AZ219" s="792" t="s">
        <v>2427</v>
      </c>
      <c r="BA219" s="158"/>
      <c r="BB219" s="158"/>
      <c r="BC219" s="158"/>
      <c r="BD219" s="158"/>
      <c r="BE219" s="158"/>
      <c r="BF219" s="158"/>
      <c r="BG219" s="158"/>
      <c r="BH219" s="158"/>
      <c r="BI219" s="158"/>
      <c r="CD219" s="145"/>
      <c r="CE219" s="145"/>
      <c r="CF219" s="145"/>
      <c r="CH219" s="89"/>
      <c r="CI219" s="89"/>
      <c r="CJ219" s="89"/>
      <c r="CK219" s="89"/>
      <c r="DX219" s="1"/>
    </row>
    <row r="220" spans="2:128" ht="19.5" customHeight="1">
      <c r="B220" s="251"/>
      <c r="C220" s="236"/>
      <c r="AC220" s="236"/>
      <c r="AD220" s="236"/>
      <c r="AE220" s="236"/>
      <c r="AF220" s="236"/>
      <c r="AG220" s="236"/>
      <c r="AH220" s="236"/>
      <c r="AI220" s="236"/>
      <c r="AJ220" s="236"/>
      <c r="AK220" s="236"/>
      <c r="AU220" s="238"/>
      <c r="AX220" s="662" t="s">
        <v>2134</v>
      </c>
      <c r="AY220" s="662" t="s">
        <v>2428</v>
      </c>
      <c r="AZ220" s="792" t="s">
        <v>2429</v>
      </c>
      <c r="BA220" s="158"/>
      <c r="BB220" s="158"/>
      <c r="BC220" s="158"/>
      <c r="BD220" s="158"/>
      <c r="BE220" s="158"/>
      <c r="BF220" s="158"/>
      <c r="BG220" s="158"/>
      <c r="BH220" s="158"/>
      <c r="BI220" s="158"/>
      <c r="CD220" s="145"/>
      <c r="CE220" s="145"/>
      <c r="CF220" s="145"/>
      <c r="CH220" s="89"/>
      <c r="CI220" s="89"/>
      <c r="CJ220" s="89"/>
      <c r="CK220" s="89"/>
      <c r="CL220" s="89"/>
      <c r="CM220" s="89"/>
      <c r="CN220" s="89"/>
      <c r="CO220" s="86"/>
      <c r="DX220" s="1"/>
    </row>
    <row r="221" spans="2:128" ht="19.5" customHeight="1">
      <c r="B221" s="251"/>
      <c r="C221" s="236"/>
      <c r="AC221" s="236"/>
      <c r="AD221" s="236"/>
      <c r="AE221" s="236"/>
      <c r="AF221" s="236"/>
      <c r="AG221" s="236"/>
      <c r="AH221" s="236"/>
      <c r="AI221" s="236"/>
      <c r="AJ221" s="236"/>
      <c r="AK221" s="236"/>
      <c r="AU221" s="238"/>
      <c r="AX221" s="662" t="s">
        <v>2135</v>
      </c>
      <c r="AY221" s="662" t="s">
        <v>2430</v>
      </c>
      <c r="AZ221" s="790" t="s">
        <v>2431</v>
      </c>
      <c r="BA221" s="158"/>
      <c r="BB221" s="158"/>
      <c r="BC221" s="158"/>
      <c r="BD221" s="158"/>
      <c r="BE221" s="158"/>
      <c r="BF221" s="158"/>
      <c r="BG221" s="158"/>
      <c r="BH221" s="158"/>
      <c r="BI221" s="158"/>
      <c r="CD221" s="145"/>
      <c r="CE221" s="145"/>
      <c r="CF221" s="145"/>
      <c r="CH221" s="46"/>
      <c r="CI221" s="46"/>
      <c r="CJ221" s="47"/>
      <c r="CK221" s="89"/>
      <c r="CL221" s="89"/>
      <c r="CM221" s="89"/>
      <c r="CN221" s="89"/>
      <c r="CO221" s="86"/>
      <c r="DX221" s="1"/>
    </row>
    <row r="222" spans="2:128" ht="19.5" customHeight="1">
      <c r="B222" s="251"/>
      <c r="C222" s="236"/>
      <c r="AC222" s="236"/>
      <c r="AD222" s="236"/>
      <c r="AE222" s="236"/>
      <c r="AF222" s="236"/>
      <c r="AG222" s="236"/>
      <c r="AH222" s="236"/>
      <c r="AI222" s="236"/>
      <c r="AJ222" s="236"/>
      <c r="AK222" s="236"/>
      <c r="AU222" s="238"/>
      <c r="AX222" s="662" t="s">
        <v>2136</v>
      </c>
      <c r="AY222" s="662" t="s">
        <v>2432</v>
      </c>
      <c r="AZ222" s="166"/>
      <c r="BA222" s="158"/>
      <c r="BB222" s="158"/>
      <c r="BC222" s="158"/>
      <c r="BD222" s="158"/>
      <c r="BE222" s="158"/>
      <c r="BF222" s="158"/>
      <c r="BG222" s="158"/>
      <c r="BH222" s="158"/>
      <c r="BI222" s="158"/>
      <c r="CD222" s="145"/>
      <c r="CE222" s="145"/>
      <c r="CF222" s="145"/>
      <c r="CH222" s="46"/>
      <c r="CI222" s="46"/>
      <c r="CJ222" s="47"/>
      <c r="CK222" s="89"/>
      <c r="CL222" s="89"/>
      <c r="CM222" s="89"/>
      <c r="CN222" s="89"/>
      <c r="CO222" s="86"/>
      <c r="DX222" s="1"/>
    </row>
    <row r="223" spans="2:128" ht="19.5" customHeight="1">
      <c r="B223" s="251"/>
      <c r="C223" s="236"/>
      <c r="AC223" s="236"/>
      <c r="AD223" s="236"/>
      <c r="AE223" s="236"/>
      <c r="AF223" s="236"/>
      <c r="AG223" s="236"/>
      <c r="AH223" s="236"/>
      <c r="AI223" s="236"/>
      <c r="AJ223" s="236"/>
      <c r="AK223" s="236"/>
      <c r="AU223" s="238"/>
      <c r="AX223" s="662" t="s">
        <v>2137</v>
      </c>
      <c r="AY223" s="662" t="s">
        <v>2433</v>
      </c>
      <c r="AZ223" s="166"/>
      <c r="BA223" s="158"/>
      <c r="BB223" s="158"/>
      <c r="BC223" s="158"/>
      <c r="BD223" s="158"/>
      <c r="BE223" s="158"/>
      <c r="BF223" s="158"/>
      <c r="BG223" s="158"/>
      <c r="BH223" s="158"/>
      <c r="BI223" s="158"/>
      <c r="CD223" s="145"/>
      <c r="CE223" s="145"/>
      <c r="CF223" s="145"/>
      <c r="CH223" s="46"/>
      <c r="CI223" s="46"/>
      <c r="CJ223" s="47"/>
      <c r="CK223" s="89"/>
      <c r="DX223" s="1"/>
    </row>
    <row r="224" spans="2:128" ht="19.5" customHeight="1">
      <c r="B224" s="251"/>
      <c r="C224" s="236"/>
      <c r="AC224" s="236"/>
      <c r="AD224" s="236"/>
      <c r="AE224" s="236"/>
      <c r="AF224" s="236"/>
      <c r="AG224" s="236"/>
      <c r="AH224" s="236"/>
      <c r="AI224" s="236"/>
      <c r="AJ224" s="236"/>
      <c r="AK224" s="236"/>
      <c r="AU224" s="238"/>
      <c r="AX224" s="662" t="s">
        <v>2138</v>
      </c>
      <c r="AY224" s="662" t="s">
        <v>2434</v>
      </c>
      <c r="AZ224" s="166"/>
      <c r="BA224" s="158"/>
      <c r="BB224" s="158"/>
      <c r="BC224" s="158"/>
      <c r="BD224" s="158"/>
      <c r="BE224" s="158"/>
      <c r="BF224" s="158"/>
      <c r="BG224" s="158"/>
      <c r="BH224" s="158"/>
      <c r="BI224" s="158"/>
      <c r="CD224" s="145"/>
      <c r="CE224" s="145"/>
      <c r="CF224" s="145"/>
      <c r="CH224" s="89"/>
      <c r="CI224" s="89"/>
      <c r="CJ224" s="89"/>
      <c r="CK224" s="89"/>
      <c r="DX224" s="1"/>
    </row>
    <row r="225" spans="2:128" ht="19.5" customHeight="1">
      <c r="B225" s="251"/>
      <c r="C225" s="236"/>
      <c r="AC225" s="236"/>
      <c r="AD225" s="236"/>
      <c r="AE225" s="236"/>
      <c r="AF225" s="236"/>
      <c r="AG225" s="236"/>
      <c r="AH225" s="236"/>
      <c r="AI225" s="236"/>
      <c r="AJ225" s="236"/>
      <c r="AK225" s="236"/>
      <c r="AU225" s="238"/>
      <c r="AX225" s="662" t="s">
        <v>2139</v>
      </c>
      <c r="AY225" s="662" t="s">
        <v>2435</v>
      </c>
      <c r="AZ225" s="166"/>
      <c r="BA225" s="158"/>
      <c r="BB225" s="158"/>
      <c r="BC225" s="158"/>
      <c r="BD225" s="158"/>
      <c r="BE225" s="158"/>
      <c r="BF225" s="158"/>
      <c r="BG225" s="158"/>
      <c r="BH225" s="158"/>
      <c r="BI225" s="158"/>
      <c r="CD225" s="145"/>
      <c r="CE225" s="145"/>
      <c r="CF225" s="145"/>
      <c r="CH225" s="89"/>
      <c r="CI225" s="89"/>
      <c r="CJ225" s="89"/>
      <c r="CK225" s="89"/>
      <c r="DX225" s="1"/>
    </row>
    <row r="226" spans="2:128" ht="19.5" customHeight="1">
      <c r="B226" s="251"/>
      <c r="C226" s="236"/>
      <c r="AC226" s="236"/>
      <c r="AD226" s="236"/>
      <c r="AE226" s="236"/>
      <c r="AF226" s="236"/>
      <c r="AG226" s="236"/>
      <c r="AH226" s="236"/>
      <c r="AI226" s="236"/>
      <c r="AJ226" s="236"/>
      <c r="AK226" s="236"/>
      <c r="AU226" s="238"/>
      <c r="AX226" s="662" t="s">
        <v>2140</v>
      </c>
      <c r="AY226" s="665" t="s">
        <v>2436</v>
      </c>
      <c r="AZ226" s="166"/>
      <c r="BA226" s="158"/>
      <c r="BB226" s="158"/>
      <c r="BC226" s="158"/>
      <c r="BD226" s="158"/>
      <c r="BE226" s="158"/>
      <c r="BF226" s="158"/>
      <c r="BG226" s="158"/>
      <c r="BH226" s="158"/>
      <c r="BI226" s="158"/>
      <c r="CD226" s="145"/>
      <c r="CE226" s="145"/>
      <c r="CF226" s="145"/>
      <c r="DX226" s="1"/>
    </row>
    <row r="227" spans="2:128" ht="19.5" customHeight="1">
      <c r="AL227" s="241"/>
      <c r="AX227" s="662" t="s">
        <v>2141</v>
      </c>
      <c r="CD227" s="145"/>
      <c r="CE227" s="145"/>
      <c r="CF227" s="145"/>
      <c r="DX227" s="1"/>
    </row>
    <row r="228" spans="2:128" ht="19.5" customHeight="1">
      <c r="AL228" s="241"/>
      <c r="AX228" s="662" t="s">
        <v>2142</v>
      </c>
      <c r="CD228" s="145"/>
      <c r="CE228" s="145"/>
      <c r="CF228" s="145"/>
      <c r="DX228" s="1"/>
    </row>
    <row r="229" spans="2:128" ht="19.5" customHeight="1">
      <c r="AL229" s="241"/>
      <c r="AX229" s="662" t="s">
        <v>2143</v>
      </c>
      <c r="CD229" s="207"/>
      <c r="CE229" s="146"/>
      <c r="CF229" s="208"/>
      <c r="DX229" s="1"/>
    </row>
    <row r="230" spans="2:128" ht="19.5" customHeight="1">
      <c r="AL230" s="241"/>
      <c r="AX230" s="662" t="s">
        <v>2144</v>
      </c>
      <c r="CD230" s="207"/>
      <c r="CE230" s="146"/>
      <c r="CF230" s="208"/>
      <c r="DX230" s="1"/>
    </row>
    <row r="231" spans="2:128" ht="19.5" customHeight="1">
      <c r="AL231" s="241"/>
      <c r="AX231" s="662" t="s">
        <v>2145</v>
      </c>
      <c r="CD231" s="207"/>
      <c r="CE231" s="146"/>
      <c r="CF231" s="208"/>
      <c r="DX231" s="1"/>
    </row>
    <row r="232" spans="2:128" ht="19.5" customHeight="1">
      <c r="AL232" s="241"/>
      <c r="AX232" s="662" t="s">
        <v>2146</v>
      </c>
      <c r="CD232" s="207"/>
      <c r="CE232" s="146"/>
      <c r="CF232" s="208"/>
      <c r="DX232" s="1"/>
    </row>
    <row r="233" spans="2:128" ht="19.5" customHeight="1">
      <c r="AL233" s="241"/>
      <c r="AX233" s="665" t="s">
        <v>2147</v>
      </c>
      <c r="CD233" s="207"/>
      <c r="CE233" s="146"/>
      <c r="CF233" s="208"/>
      <c r="DX233" s="1"/>
    </row>
    <row r="234" spans="2:128" ht="19.5" customHeight="1">
      <c r="AL234" s="241"/>
      <c r="CD234" s="819"/>
      <c r="CE234" s="820"/>
      <c r="CF234" s="821"/>
      <c r="DX234" s="1"/>
    </row>
    <row r="235" spans="2:128" ht="19.5" customHeight="1">
      <c r="AL235" s="241"/>
      <c r="AX235" s="166" t="s">
        <v>2437</v>
      </c>
      <c r="AY235" s="166"/>
      <c r="AZ235" s="166"/>
      <c r="BA235" s="166"/>
      <c r="BB235" s="166"/>
      <c r="BC235" s="166"/>
      <c r="BD235" s="166"/>
      <c r="BE235" s="166"/>
      <c r="BF235" s="166"/>
      <c r="BG235" s="166"/>
      <c r="BH235" s="166"/>
      <c r="BI235" s="166"/>
      <c r="BJ235" s="166"/>
      <c r="BK235" s="166"/>
      <c r="BL235" s="166"/>
      <c r="BM235" s="166"/>
      <c r="BN235" s="166"/>
      <c r="BO235" s="166"/>
      <c r="BP235" s="166"/>
      <c r="BQ235" s="166"/>
      <c r="BR235" s="166"/>
      <c r="BS235" s="166"/>
      <c r="BT235" s="166"/>
      <c r="BU235" s="166"/>
      <c r="BV235" s="166"/>
      <c r="BW235" s="166"/>
      <c r="BX235" s="166"/>
      <c r="BY235" s="166"/>
      <c r="BZ235" s="166"/>
      <c r="CA235" s="166"/>
      <c r="CB235" s="166"/>
      <c r="CC235" s="166"/>
      <c r="CD235" s="166"/>
      <c r="CE235" s="166"/>
      <c r="CF235" s="793"/>
      <c r="DX235" s="1"/>
    </row>
    <row r="236" spans="2:128" ht="19.5" customHeight="1">
      <c r="AL236" s="241"/>
      <c r="AX236" s="659" t="s">
        <v>1028</v>
      </c>
      <c r="AY236" s="659" t="s">
        <v>2438</v>
      </c>
      <c r="AZ236" s="659" t="s">
        <v>2439</v>
      </c>
      <c r="BA236" s="661" t="s">
        <v>2440</v>
      </c>
      <c r="BB236" s="661" t="s">
        <v>2441</v>
      </c>
      <c r="BC236" s="661" t="s">
        <v>2442</v>
      </c>
      <c r="BD236" s="661" t="s">
        <v>2443</v>
      </c>
      <c r="BE236" s="661" t="s">
        <v>2444</v>
      </c>
      <c r="BF236" s="661" t="s">
        <v>2445</v>
      </c>
      <c r="BG236" s="661" t="s">
        <v>2446</v>
      </c>
      <c r="BH236" s="661" t="s">
        <v>2447</v>
      </c>
      <c r="BI236" s="661" t="s">
        <v>2448</v>
      </c>
      <c r="BJ236" s="661" t="s">
        <v>2449</v>
      </c>
      <c r="BK236" s="661" t="s">
        <v>2450</v>
      </c>
      <c r="BL236" s="661" t="s">
        <v>2451</v>
      </c>
      <c r="BM236" s="661" t="s">
        <v>2452</v>
      </c>
      <c r="BN236" s="661" t="s">
        <v>2453</v>
      </c>
      <c r="BO236" s="661" t="s">
        <v>2454</v>
      </c>
      <c r="BP236" s="661" t="s">
        <v>2455</v>
      </c>
      <c r="BQ236" s="661" t="s">
        <v>2456</v>
      </c>
      <c r="BR236" s="661" t="s">
        <v>2457</v>
      </c>
      <c r="BS236" s="661" t="s">
        <v>2458</v>
      </c>
      <c r="BT236" s="661" t="s">
        <v>2459</v>
      </c>
      <c r="BU236" s="661" t="s">
        <v>2460</v>
      </c>
      <c r="BV236" s="661" t="s">
        <v>2461</v>
      </c>
      <c r="BW236" s="661" t="s">
        <v>2462</v>
      </c>
      <c r="BX236" s="661" t="s">
        <v>2463</v>
      </c>
      <c r="BY236" s="661" t="s">
        <v>2464</v>
      </c>
      <c r="BZ236" s="660" t="s">
        <v>2465</v>
      </c>
      <c r="CA236" s="660" t="s">
        <v>2466</v>
      </c>
      <c r="CB236" s="794" t="s">
        <v>2467</v>
      </c>
      <c r="CC236" s="795" t="s">
        <v>2468</v>
      </c>
      <c r="CD236" s="796" t="s">
        <v>2469</v>
      </c>
      <c r="CE236" s="797" t="s">
        <v>2470</v>
      </c>
      <c r="CF236" s="661" t="s">
        <v>2080</v>
      </c>
      <c r="DX236" s="1"/>
    </row>
    <row r="237" spans="2:128" ht="19.5" customHeight="1">
      <c r="AL237" s="241"/>
      <c r="AX237" s="663" t="s">
        <v>2073</v>
      </c>
      <c r="AY237" s="663" t="s">
        <v>2073</v>
      </c>
      <c r="AZ237" s="786" t="s">
        <v>2073</v>
      </c>
      <c r="BA237" s="798" t="s">
        <v>2073</v>
      </c>
      <c r="BB237" s="799" t="s">
        <v>2073</v>
      </c>
      <c r="BC237" s="799" t="s">
        <v>2073</v>
      </c>
      <c r="BD237" s="799" t="s">
        <v>2073</v>
      </c>
      <c r="BE237" s="798" t="s">
        <v>2073</v>
      </c>
      <c r="BF237" s="798" t="s">
        <v>2073</v>
      </c>
      <c r="BG237" s="799" t="s">
        <v>2073</v>
      </c>
      <c r="BH237" s="798" t="s">
        <v>2073</v>
      </c>
      <c r="BI237" s="799" t="s">
        <v>2073</v>
      </c>
      <c r="BJ237" s="798" t="s">
        <v>2073</v>
      </c>
      <c r="BK237" s="798" t="s">
        <v>2073</v>
      </c>
      <c r="BL237" s="799" t="s">
        <v>2073</v>
      </c>
      <c r="BM237" s="799" t="s">
        <v>2073</v>
      </c>
      <c r="BN237" s="798" t="s">
        <v>2073</v>
      </c>
      <c r="BO237" s="798" t="s">
        <v>2073</v>
      </c>
      <c r="BP237" s="798" t="s">
        <v>2073</v>
      </c>
      <c r="BQ237" s="798" t="s">
        <v>2073</v>
      </c>
      <c r="BR237" s="799" t="s">
        <v>2073</v>
      </c>
      <c r="BS237" s="799" t="s">
        <v>2073</v>
      </c>
      <c r="BT237" s="798" t="s">
        <v>2073</v>
      </c>
      <c r="BU237" s="798" t="s">
        <v>2073</v>
      </c>
      <c r="BV237" s="799" t="s">
        <v>2073</v>
      </c>
      <c r="BW237" s="799" t="s">
        <v>2073</v>
      </c>
      <c r="BX237" s="799" t="s">
        <v>2073</v>
      </c>
      <c r="BY237" s="798" t="s">
        <v>2073</v>
      </c>
      <c r="BZ237" s="788" t="s">
        <v>2073</v>
      </c>
      <c r="CA237" s="788" t="s">
        <v>2073</v>
      </c>
      <c r="CB237" s="800" t="s">
        <v>2073</v>
      </c>
      <c r="CC237" s="801" t="s">
        <v>2073</v>
      </c>
      <c r="CD237" s="802" t="s">
        <v>2073</v>
      </c>
      <c r="CE237" s="803" t="s">
        <v>2073</v>
      </c>
      <c r="CF237" s="790" t="s">
        <v>2073</v>
      </c>
      <c r="DX237" s="1"/>
    </row>
    <row r="238" spans="2:128" ht="19.5" customHeight="1">
      <c r="AL238" s="241"/>
      <c r="AX238" s="662" t="s">
        <v>2471</v>
      </c>
      <c r="AY238" s="662" t="s">
        <v>2472</v>
      </c>
      <c r="AZ238" s="664" t="s">
        <v>2473</v>
      </c>
      <c r="BA238" s="667" t="s">
        <v>2474</v>
      </c>
      <c r="BB238" s="666" t="s">
        <v>2475</v>
      </c>
      <c r="BC238" s="666" t="s">
        <v>2476</v>
      </c>
      <c r="BD238" s="666" t="s">
        <v>2477</v>
      </c>
      <c r="BE238" s="667" t="s">
        <v>2478</v>
      </c>
      <c r="BF238" s="667" t="s">
        <v>2479</v>
      </c>
      <c r="BG238" s="666" t="s">
        <v>2480</v>
      </c>
      <c r="BH238" s="667" t="s">
        <v>2481</v>
      </c>
      <c r="BI238" s="666" t="s">
        <v>2482</v>
      </c>
      <c r="BJ238" s="667" t="s">
        <v>2483</v>
      </c>
      <c r="BK238" s="667" t="s">
        <v>2484</v>
      </c>
      <c r="BL238" s="666" t="s">
        <v>2485</v>
      </c>
      <c r="BM238" s="666" t="s">
        <v>2486</v>
      </c>
      <c r="BN238" s="667" t="s">
        <v>2487</v>
      </c>
      <c r="BO238" s="667" t="s">
        <v>2488</v>
      </c>
      <c r="BP238" s="667" t="s">
        <v>2489</v>
      </c>
      <c r="BQ238" s="667" t="s">
        <v>2490</v>
      </c>
      <c r="BR238" s="666" t="s">
        <v>2491</v>
      </c>
      <c r="BS238" s="666" t="s">
        <v>2492</v>
      </c>
      <c r="BT238" s="667" t="s">
        <v>2493</v>
      </c>
      <c r="BU238" s="667" t="s">
        <v>2494</v>
      </c>
      <c r="BV238" s="666" t="s">
        <v>2495</v>
      </c>
      <c r="BW238" s="666" t="s">
        <v>2496</v>
      </c>
      <c r="BX238" s="666" t="s">
        <v>2497</v>
      </c>
      <c r="BY238" s="667" t="s">
        <v>2498</v>
      </c>
      <c r="BZ238" s="804" t="s">
        <v>2499</v>
      </c>
      <c r="CA238" s="804" t="s">
        <v>2500</v>
      </c>
      <c r="CB238" s="805" t="s">
        <v>2501</v>
      </c>
      <c r="CC238" s="806" t="s">
        <v>2502</v>
      </c>
      <c r="CD238" s="807" t="s">
        <v>2503</v>
      </c>
      <c r="CE238" s="808" t="s">
        <v>2504</v>
      </c>
      <c r="CF238" s="793"/>
      <c r="DX238" s="1"/>
    </row>
    <row r="239" spans="2:128" ht="19.5" customHeight="1">
      <c r="AL239" s="241"/>
      <c r="AX239" s="662" t="s">
        <v>2505</v>
      </c>
      <c r="AY239" s="662" t="s">
        <v>2506</v>
      </c>
      <c r="AZ239" s="787" t="s">
        <v>2507</v>
      </c>
      <c r="BA239" s="667" t="s">
        <v>2508</v>
      </c>
      <c r="BB239" s="666" t="s">
        <v>2509</v>
      </c>
      <c r="BC239" s="666" t="s">
        <v>2510</v>
      </c>
      <c r="BD239" s="666" t="s">
        <v>2511</v>
      </c>
      <c r="BE239" s="667" t="s">
        <v>2512</v>
      </c>
      <c r="BF239" s="667" t="s">
        <v>2513</v>
      </c>
      <c r="BG239" s="666" t="s">
        <v>2514</v>
      </c>
      <c r="BH239" s="667" t="s">
        <v>2515</v>
      </c>
      <c r="BI239" s="666" t="s">
        <v>2516</v>
      </c>
      <c r="BJ239" s="667" t="s">
        <v>2517</v>
      </c>
      <c r="BK239" s="667" t="s">
        <v>2518</v>
      </c>
      <c r="BL239" s="666" t="s">
        <v>2519</v>
      </c>
      <c r="BM239" s="666" t="s">
        <v>2520</v>
      </c>
      <c r="BN239" s="667" t="s">
        <v>2521</v>
      </c>
      <c r="BO239" s="667" t="s">
        <v>2522</v>
      </c>
      <c r="BP239" s="667" t="s">
        <v>2523</v>
      </c>
      <c r="BQ239" s="667" t="s">
        <v>2524</v>
      </c>
      <c r="BR239" s="666" t="s">
        <v>2525</v>
      </c>
      <c r="BS239" s="666" t="s">
        <v>2526</v>
      </c>
      <c r="BT239" s="667" t="s">
        <v>2527</v>
      </c>
      <c r="BU239" s="667" t="s">
        <v>2528</v>
      </c>
      <c r="BV239" s="666" t="s">
        <v>2529</v>
      </c>
      <c r="BW239" s="666" t="s">
        <v>2530</v>
      </c>
      <c r="BX239" s="666" t="s">
        <v>2531</v>
      </c>
      <c r="BY239" s="667" t="s">
        <v>2532</v>
      </c>
      <c r="BZ239" s="804" t="s">
        <v>2533</v>
      </c>
      <c r="CA239" s="804" t="s">
        <v>2534</v>
      </c>
      <c r="CB239" s="809"/>
      <c r="CC239" s="810" t="s">
        <v>2535</v>
      </c>
      <c r="CD239" s="807" t="s">
        <v>2536</v>
      </c>
      <c r="CE239" s="808" t="s">
        <v>2537</v>
      </c>
      <c r="CF239" s="793"/>
      <c r="DX239" s="1"/>
    </row>
    <row r="240" spans="2:128" ht="19.5" customHeight="1">
      <c r="AL240" s="241"/>
      <c r="AX240" s="662" t="s">
        <v>2538</v>
      </c>
      <c r="AY240" s="662" t="s">
        <v>2539</v>
      </c>
      <c r="AZ240" s="166"/>
      <c r="BA240" s="667" t="s">
        <v>2540</v>
      </c>
      <c r="BB240" s="666" t="s">
        <v>2541</v>
      </c>
      <c r="BC240" s="666" t="s">
        <v>2542</v>
      </c>
      <c r="BD240" s="666" t="s">
        <v>2543</v>
      </c>
      <c r="BE240" s="667" t="s">
        <v>2544</v>
      </c>
      <c r="BF240" s="667" t="s">
        <v>2545</v>
      </c>
      <c r="BG240" s="666" t="s">
        <v>2546</v>
      </c>
      <c r="BH240" s="667" t="s">
        <v>2547</v>
      </c>
      <c r="BI240" s="666" t="s">
        <v>2548</v>
      </c>
      <c r="BJ240" s="667" t="s">
        <v>2549</v>
      </c>
      <c r="BK240" s="667" t="s">
        <v>2550</v>
      </c>
      <c r="BL240" s="666" t="s">
        <v>2551</v>
      </c>
      <c r="BM240" s="666" t="s">
        <v>2552</v>
      </c>
      <c r="BN240" s="667" t="s">
        <v>2553</v>
      </c>
      <c r="BO240" s="667" t="s">
        <v>2554</v>
      </c>
      <c r="BP240" s="667" t="s">
        <v>2555</v>
      </c>
      <c r="BQ240" s="667" t="s">
        <v>2556</v>
      </c>
      <c r="BR240" s="666" t="s">
        <v>2557</v>
      </c>
      <c r="BS240" s="666" t="s">
        <v>2558</v>
      </c>
      <c r="BT240" s="667" t="s">
        <v>2559</v>
      </c>
      <c r="BU240" s="667" t="s">
        <v>2560</v>
      </c>
      <c r="BV240" s="668" t="s">
        <v>2561</v>
      </c>
      <c r="BW240" s="666" t="s">
        <v>2562</v>
      </c>
      <c r="BX240" s="666" t="s">
        <v>2563</v>
      </c>
      <c r="BY240" s="667" t="s">
        <v>2564</v>
      </c>
      <c r="BZ240" s="804" t="s">
        <v>2565</v>
      </c>
      <c r="CA240" s="804" t="s">
        <v>2566</v>
      </c>
      <c r="CB240" s="809"/>
      <c r="CC240" s="178"/>
      <c r="CD240" s="807" t="s">
        <v>2567</v>
      </c>
      <c r="CE240" s="808" t="s">
        <v>2568</v>
      </c>
      <c r="CF240" s="793"/>
      <c r="DX240" s="1"/>
    </row>
    <row r="241" spans="38:128" ht="19.5" customHeight="1">
      <c r="AL241" s="241"/>
      <c r="AX241" s="662" t="s">
        <v>2569</v>
      </c>
      <c r="AY241" s="665" t="s">
        <v>2570</v>
      </c>
      <c r="AZ241" s="166"/>
      <c r="BA241" s="667" t="s">
        <v>2571</v>
      </c>
      <c r="BB241" s="666" t="s">
        <v>2572</v>
      </c>
      <c r="BC241" s="666" t="s">
        <v>2573</v>
      </c>
      <c r="BD241" s="666" t="s">
        <v>2574</v>
      </c>
      <c r="BE241" s="667" t="s">
        <v>2575</v>
      </c>
      <c r="BF241" s="667" t="s">
        <v>2576</v>
      </c>
      <c r="BG241" s="666" t="s">
        <v>2577</v>
      </c>
      <c r="BH241" s="667" t="s">
        <v>2578</v>
      </c>
      <c r="BI241" s="666" t="s">
        <v>2579</v>
      </c>
      <c r="BJ241" s="667" t="s">
        <v>2580</v>
      </c>
      <c r="BK241" s="667" t="s">
        <v>2581</v>
      </c>
      <c r="BL241" s="666" t="s">
        <v>2582</v>
      </c>
      <c r="BM241" s="666" t="s">
        <v>2583</v>
      </c>
      <c r="BN241" s="667" t="s">
        <v>2584</v>
      </c>
      <c r="BO241" s="667" t="s">
        <v>2585</v>
      </c>
      <c r="BP241" s="667" t="s">
        <v>2586</v>
      </c>
      <c r="BQ241" s="667" t="s">
        <v>2587</v>
      </c>
      <c r="BR241" s="666" t="s">
        <v>2588</v>
      </c>
      <c r="BS241" s="666" t="s">
        <v>2589</v>
      </c>
      <c r="BT241" s="667" t="s">
        <v>2590</v>
      </c>
      <c r="BU241" s="667" t="s">
        <v>2591</v>
      </c>
      <c r="BV241" s="158"/>
      <c r="BW241" s="668" t="s">
        <v>2592</v>
      </c>
      <c r="BX241" s="666" t="s">
        <v>2593</v>
      </c>
      <c r="BY241" s="667" t="s">
        <v>2594</v>
      </c>
      <c r="BZ241" s="804" t="s">
        <v>2595</v>
      </c>
      <c r="CA241" s="811" t="s">
        <v>2596</v>
      </c>
      <c r="CB241" s="809"/>
      <c r="CC241" s="178"/>
      <c r="CD241" s="812" t="s">
        <v>2597</v>
      </c>
      <c r="CE241" s="813" t="s">
        <v>2598</v>
      </c>
      <c r="CF241" s="793"/>
      <c r="DX241" s="1"/>
    </row>
    <row r="242" spans="38:128" ht="19.5" customHeight="1">
      <c r="AL242" s="241"/>
      <c r="AX242" s="662" t="s">
        <v>2599</v>
      </c>
      <c r="AY242" s="166"/>
      <c r="AZ242" s="166"/>
      <c r="BA242" s="667" t="s">
        <v>2600</v>
      </c>
      <c r="BB242" s="666" t="s">
        <v>2601</v>
      </c>
      <c r="BC242" s="666" t="s">
        <v>2602</v>
      </c>
      <c r="BD242" s="666" t="s">
        <v>2603</v>
      </c>
      <c r="BE242" s="667" t="s">
        <v>2604</v>
      </c>
      <c r="BF242" s="667" t="s">
        <v>2605</v>
      </c>
      <c r="BG242" s="666" t="s">
        <v>2606</v>
      </c>
      <c r="BH242" s="667" t="s">
        <v>2607</v>
      </c>
      <c r="BI242" s="666" t="s">
        <v>2608</v>
      </c>
      <c r="BJ242" s="667" t="s">
        <v>2609</v>
      </c>
      <c r="BK242" s="667" t="s">
        <v>2610</v>
      </c>
      <c r="BL242" s="666" t="s">
        <v>2611</v>
      </c>
      <c r="BM242" s="666" t="s">
        <v>2612</v>
      </c>
      <c r="BN242" s="667" t="s">
        <v>2613</v>
      </c>
      <c r="BO242" s="667" t="s">
        <v>2614</v>
      </c>
      <c r="BP242" s="667" t="s">
        <v>2615</v>
      </c>
      <c r="BQ242" s="667" t="s">
        <v>2616</v>
      </c>
      <c r="BR242" s="666" t="s">
        <v>2617</v>
      </c>
      <c r="BS242" s="666" t="s">
        <v>2618</v>
      </c>
      <c r="BT242" s="667" t="s">
        <v>2619</v>
      </c>
      <c r="BU242" s="667" t="s">
        <v>2620</v>
      </c>
      <c r="BV242" s="158"/>
      <c r="BW242" s="158"/>
      <c r="BX242" s="666" t="s">
        <v>2621</v>
      </c>
      <c r="BY242" s="667" t="s">
        <v>2622</v>
      </c>
      <c r="BZ242" s="804" t="s">
        <v>2623</v>
      </c>
      <c r="CA242" s="814"/>
      <c r="CB242" s="809"/>
      <c r="CC242" s="178"/>
      <c r="CD242" s="793"/>
      <c r="CE242" s="793"/>
      <c r="CF242" s="793"/>
      <c r="DX242" s="1"/>
    </row>
    <row r="243" spans="38:128" ht="19.5" customHeight="1">
      <c r="AL243" s="241"/>
      <c r="AX243" s="662" t="s">
        <v>2624</v>
      </c>
      <c r="AY243" s="166"/>
      <c r="AZ243" s="166"/>
      <c r="BA243" s="667" t="s">
        <v>2625</v>
      </c>
      <c r="BB243" s="666" t="s">
        <v>2626</v>
      </c>
      <c r="BC243" s="666" t="s">
        <v>2627</v>
      </c>
      <c r="BD243" s="666" t="s">
        <v>2628</v>
      </c>
      <c r="BE243" s="667" t="s">
        <v>2629</v>
      </c>
      <c r="BF243" s="667" t="s">
        <v>2630</v>
      </c>
      <c r="BG243" s="666" t="s">
        <v>2631</v>
      </c>
      <c r="BH243" s="667" t="s">
        <v>2632</v>
      </c>
      <c r="BI243" s="666" t="s">
        <v>2633</v>
      </c>
      <c r="BJ243" s="667" t="s">
        <v>2634</v>
      </c>
      <c r="BK243" s="667" t="s">
        <v>2635</v>
      </c>
      <c r="BL243" s="666" t="s">
        <v>2636</v>
      </c>
      <c r="BM243" s="666" t="s">
        <v>2637</v>
      </c>
      <c r="BN243" s="667" t="s">
        <v>2638</v>
      </c>
      <c r="BO243" s="667" t="s">
        <v>2639</v>
      </c>
      <c r="BP243" s="667" t="s">
        <v>2640</v>
      </c>
      <c r="BQ243" s="667" t="s">
        <v>2641</v>
      </c>
      <c r="BR243" s="668" t="s">
        <v>2642</v>
      </c>
      <c r="BS243" s="666" t="s">
        <v>2643</v>
      </c>
      <c r="BT243" s="667" t="s">
        <v>2644</v>
      </c>
      <c r="BU243" s="667" t="s">
        <v>2645</v>
      </c>
      <c r="BV243" s="158"/>
      <c r="BW243" s="158"/>
      <c r="BX243" s="666" t="s">
        <v>2646</v>
      </c>
      <c r="BY243" s="667" t="s">
        <v>2647</v>
      </c>
      <c r="BZ243" s="804" t="s">
        <v>2648</v>
      </c>
      <c r="CA243" s="814"/>
      <c r="CB243" s="809"/>
      <c r="CC243" s="178"/>
      <c r="CD243" s="793"/>
      <c r="CE243" s="793"/>
      <c r="CF243" s="793"/>
      <c r="DX243" s="1"/>
    </row>
    <row r="244" spans="38:128" ht="19.5" customHeight="1">
      <c r="AL244" s="241"/>
      <c r="AX244" s="662" t="s">
        <v>2649</v>
      </c>
      <c r="AY244" s="166"/>
      <c r="AZ244" s="166"/>
      <c r="BA244" s="667" t="s">
        <v>2650</v>
      </c>
      <c r="BB244" s="666" t="s">
        <v>2651</v>
      </c>
      <c r="BC244" s="666" t="s">
        <v>2652</v>
      </c>
      <c r="BD244" s="666" t="s">
        <v>2653</v>
      </c>
      <c r="BE244" s="667" t="s">
        <v>2654</v>
      </c>
      <c r="BF244" s="667" t="s">
        <v>2655</v>
      </c>
      <c r="BG244" s="666" t="s">
        <v>2656</v>
      </c>
      <c r="BH244" s="667" t="s">
        <v>2657</v>
      </c>
      <c r="BI244" s="666" t="s">
        <v>2658</v>
      </c>
      <c r="BJ244" s="667" t="s">
        <v>2659</v>
      </c>
      <c r="BK244" s="667" t="s">
        <v>2660</v>
      </c>
      <c r="BL244" s="666" t="s">
        <v>2661</v>
      </c>
      <c r="BM244" s="666" t="s">
        <v>2662</v>
      </c>
      <c r="BN244" s="667" t="s">
        <v>2663</v>
      </c>
      <c r="BO244" s="667" t="s">
        <v>2664</v>
      </c>
      <c r="BP244" s="667" t="s">
        <v>2665</v>
      </c>
      <c r="BQ244" s="667" t="s">
        <v>2666</v>
      </c>
      <c r="BR244" s="158"/>
      <c r="BS244" s="666" t="s">
        <v>2667</v>
      </c>
      <c r="BT244" s="667" t="s">
        <v>2668</v>
      </c>
      <c r="BU244" s="667" t="s">
        <v>2669</v>
      </c>
      <c r="BV244" s="158"/>
      <c r="BW244" s="158"/>
      <c r="BX244" s="666" t="s">
        <v>2670</v>
      </c>
      <c r="BY244" s="667" t="s">
        <v>2671</v>
      </c>
      <c r="BZ244" s="804" t="s">
        <v>2672</v>
      </c>
      <c r="CA244" s="814"/>
      <c r="CB244" s="809"/>
      <c r="CC244" s="178"/>
      <c r="CD244" s="793"/>
      <c r="CE244" s="815"/>
      <c r="CF244" s="793"/>
      <c r="DX244" s="1"/>
    </row>
    <row r="245" spans="38:128" ht="19.5" customHeight="1">
      <c r="AL245" s="241"/>
      <c r="AX245" s="662" t="s">
        <v>2673</v>
      </c>
      <c r="AY245" s="166"/>
      <c r="AZ245" s="166"/>
      <c r="BA245" s="667" t="s">
        <v>2674</v>
      </c>
      <c r="BB245" s="668" t="s">
        <v>2675</v>
      </c>
      <c r="BC245" s="666" t="s">
        <v>2676</v>
      </c>
      <c r="BD245" s="666" t="s">
        <v>2677</v>
      </c>
      <c r="BE245" s="667" t="s">
        <v>2678</v>
      </c>
      <c r="BF245" s="667" t="s">
        <v>2679</v>
      </c>
      <c r="BG245" s="666" t="s">
        <v>2680</v>
      </c>
      <c r="BH245" s="667" t="s">
        <v>2681</v>
      </c>
      <c r="BI245" s="666" t="s">
        <v>2682</v>
      </c>
      <c r="BJ245" s="667" t="s">
        <v>2683</v>
      </c>
      <c r="BK245" s="667" t="s">
        <v>2684</v>
      </c>
      <c r="BL245" s="668" t="s">
        <v>2685</v>
      </c>
      <c r="BM245" s="666" t="s">
        <v>2686</v>
      </c>
      <c r="BN245" s="667" t="s">
        <v>2687</v>
      </c>
      <c r="BO245" s="667" t="s">
        <v>2688</v>
      </c>
      <c r="BP245" s="667" t="s">
        <v>2689</v>
      </c>
      <c r="BQ245" s="667" t="s">
        <v>2690</v>
      </c>
      <c r="BR245" s="158"/>
      <c r="BS245" s="666" t="s">
        <v>2691</v>
      </c>
      <c r="BT245" s="667" t="s">
        <v>2692</v>
      </c>
      <c r="BU245" s="667" t="s">
        <v>2693</v>
      </c>
      <c r="BV245" s="158"/>
      <c r="BW245" s="158"/>
      <c r="BX245" s="666" t="s">
        <v>2694</v>
      </c>
      <c r="BY245" s="667" t="s">
        <v>2695</v>
      </c>
      <c r="BZ245" s="804" t="s">
        <v>2696</v>
      </c>
      <c r="CA245" s="814"/>
      <c r="CB245" s="809"/>
      <c r="CC245" s="178"/>
      <c r="CD245" s="816"/>
      <c r="CE245" s="816"/>
      <c r="CF245" s="817"/>
      <c r="DX245" s="1"/>
    </row>
    <row r="246" spans="38:128" ht="19.5" customHeight="1">
      <c r="AL246" s="241"/>
      <c r="AX246" s="662" t="s">
        <v>2697</v>
      </c>
      <c r="AY246" s="166"/>
      <c r="AZ246" s="166"/>
      <c r="BA246" s="667" t="s">
        <v>2698</v>
      </c>
      <c r="BB246" s="158"/>
      <c r="BC246" s="666" t="s">
        <v>2699</v>
      </c>
      <c r="BD246" s="666" t="s">
        <v>2700</v>
      </c>
      <c r="BE246" s="667" t="s">
        <v>2701</v>
      </c>
      <c r="BF246" s="667" t="s">
        <v>2702</v>
      </c>
      <c r="BG246" s="666" t="s">
        <v>2703</v>
      </c>
      <c r="BH246" s="667" t="s">
        <v>2704</v>
      </c>
      <c r="BI246" s="666" t="s">
        <v>2705</v>
      </c>
      <c r="BJ246" s="667" t="s">
        <v>2706</v>
      </c>
      <c r="BK246" s="669" t="s">
        <v>2707</v>
      </c>
      <c r="BL246" s="158"/>
      <c r="BM246" s="668" t="s">
        <v>2708</v>
      </c>
      <c r="BN246" s="667" t="s">
        <v>2709</v>
      </c>
      <c r="BO246" s="667" t="s">
        <v>2710</v>
      </c>
      <c r="BP246" s="667" t="s">
        <v>2711</v>
      </c>
      <c r="BQ246" s="667" t="s">
        <v>2712</v>
      </c>
      <c r="BR246" s="158"/>
      <c r="BS246" s="668" t="s">
        <v>2713</v>
      </c>
      <c r="BT246" s="667" t="s">
        <v>2714</v>
      </c>
      <c r="BU246" s="667" t="s">
        <v>2715</v>
      </c>
      <c r="BV246" s="158"/>
      <c r="BW246" s="158"/>
      <c r="BX246" s="666" t="s">
        <v>2716</v>
      </c>
      <c r="BY246" s="667" t="s">
        <v>2717</v>
      </c>
      <c r="BZ246" s="804" t="s">
        <v>2718</v>
      </c>
      <c r="CA246" s="814"/>
      <c r="CB246" s="809"/>
      <c r="CC246" s="178"/>
      <c r="CD246" s="816"/>
      <c r="CE246" s="816"/>
      <c r="CF246" s="817"/>
      <c r="DX246" s="1"/>
    </row>
    <row r="247" spans="38:128" ht="19.5" customHeight="1">
      <c r="AL247" s="241"/>
      <c r="AX247" s="662" t="s">
        <v>2719</v>
      </c>
      <c r="AY247" s="166"/>
      <c r="AZ247" s="166"/>
      <c r="BA247" s="667" t="s">
        <v>2720</v>
      </c>
      <c r="BB247" s="158"/>
      <c r="BC247" s="668" t="s">
        <v>2721</v>
      </c>
      <c r="BD247" s="666" t="s">
        <v>2722</v>
      </c>
      <c r="BE247" s="667" t="s">
        <v>2723</v>
      </c>
      <c r="BF247" s="667" t="s">
        <v>2724</v>
      </c>
      <c r="BG247" s="666" t="s">
        <v>2725</v>
      </c>
      <c r="BH247" s="667" t="s">
        <v>2726</v>
      </c>
      <c r="BI247" s="666" t="s">
        <v>2727</v>
      </c>
      <c r="BJ247" s="667" t="s">
        <v>2728</v>
      </c>
      <c r="BK247" s="158"/>
      <c r="BL247" s="158"/>
      <c r="BM247" s="158"/>
      <c r="BN247" s="667" t="s">
        <v>2729</v>
      </c>
      <c r="BO247" s="667" t="s">
        <v>2730</v>
      </c>
      <c r="BP247" s="667" t="s">
        <v>2731</v>
      </c>
      <c r="BQ247" s="669" t="s">
        <v>2732</v>
      </c>
      <c r="BR247" s="158"/>
      <c r="BS247" s="158"/>
      <c r="BT247" s="667" t="s">
        <v>2733</v>
      </c>
      <c r="BU247" s="667" t="s">
        <v>2734</v>
      </c>
      <c r="BV247" s="158"/>
      <c r="BW247" s="158"/>
      <c r="BX247" s="666" t="s">
        <v>2735</v>
      </c>
      <c r="BY247" s="667" t="s">
        <v>2736</v>
      </c>
      <c r="BZ247" s="804" t="s">
        <v>2737</v>
      </c>
      <c r="CA247" s="814"/>
      <c r="CB247" s="809"/>
      <c r="CC247" s="178"/>
      <c r="CD247" s="816"/>
      <c r="CE247" s="816"/>
      <c r="CF247" s="817"/>
      <c r="DX247" s="1"/>
    </row>
    <row r="248" spans="38:128" ht="19.5" customHeight="1">
      <c r="AL248" s="241"/>
      <c r="AX248" s="662" t="s">
        <v>2738</v>
      </c>
      <c r="AY248" s="166"/>
      <c r="AZ248" s="166"/>
      <c r="BA248" s="667" t="s">
        <v>2739</v>
      </c>
      <c r="BB248" s="158"/>
      <c r="BC248" s="158"/>
      <c r="BD248" s="666" t="s">
        <v>2740</v>
      </c>
      <c r="BE248" s="667" t="s">
        <v>2741</v>
      </c>
      <c r="BF248" s="667" t="s">
        <v>2742</v>
      </c>
      <c r="BG248" s="666" t="s">
        <v>2743</v>
      </c>
      <c r="BH248" s="667" t="s">
        <v>2744</v>
      </c>
      <c r="BI248" s="666" t="s">
        <v>2745</v>
      </c>
      <c r="BJ248" s="667" t="s">
        <v>2746</v>
      </c>
      <c r="BK248" s="158"/>
      <c r="BL248" s="158"/>
      <c r="BM248" s="158"/>
      <c r="BN248" s="667" t="s">
        <v>2747</v>
      </c>
      <c r="BO248" s="667" t="s">
        <v>2748</v>
      </c>
      <c r="BP248" s="669" t="s">
        <v>2749</v>
      </c>
      <c r="BQ248" s="158"/>
      <c r="BR248" s="158"/>
      <c r="BS248" s="158"/>
      <c r="BT248" s="667" t="s">
        <v>2750</v>
      </c>
      <c r="BU248" s="667" t="s">
        <v>2751</v>
      </c>
      <c r="BV248" s="158"/>
      <c r="BW248" s="158"/>
      <c r="BX248" s="666" t="s">
        <v>2752</v>
      </c>
      <c r="BY248" s="667" t="s">
        <v>2753</v>
      </c>
      <c r="BZ248" s="804" t="s">
        <v>2754</v>
      </c>
      <c r="CA248" s="814"/>
      <c r="CB248" s="809"/>
      <c r="CC248" s="178"/>
      <c r="CD248" s="816"/>
      <c r="CE248" s="816"/>
      <c r="CF248" s="817"/>
      <c r="DX248" s="1"/>
    </row>
    <row r="249" spans="38:128" ht="19.5" customHeight="1">
      <c r="AL249" s="241"/>
      <c r="AX249" s="662" t="s">
        <v>2755</v>
      </c>
      <c r="AY249" s="166"/>
      <c r="AZ249" s="166"/>
      <c r="BA249" s="667" t="s">
        <v>2756</v>
      </c>
      <c r="BB249" s="158"/>
      <c r="BC249" s="158"/>
      <c r="BD249" s="666" t="s">
        <v>2757</v>
      </c>
      <c r="BE249" s="667" t="s">
        <v>2758</v>
      </c>
      <c r="BF249" s="667" t="s">
        <v>2759</v>
      </c>
      <c r="BG249" s="668" t="s">
        <v>2760</v>
      </c>
      <c r="BH249" s="667" t="s">
        <v>2761</v>
      </c>
      <c r="BI249" s="666" t="s">
        <v>2762</v>
      </c>
      <c r="BJ249" s="667" t="s">
        <v>2763</v>
      </c>
      <c r="BK249" s="158"/>
      <c r="BL249" s="158"/>
      <c r="BM249" s="158"/>
      <c r="BN249" s="667" t="s">
        <v>2764</v>
      </c>
      <c r="BO249" s="667" t="s">
        <v>2765</v>
      </c>
      <c r="BP249" s="158"/>
      <c r="BQ249" s="158"/>
      <c r="BR249" s="158"/>
      <c r="BS249" s="158"/>
      <c r="BT249" s="667" t="s">
        <v>2766</v>
      </c>
      <c r="BU249" s="667" t="s">
        <v>2767</v>
      </c>
      <c r="BV249" s="158"/>
      <c r="BW249" s="158"/>
      <c r="BX249" s="666" t="s">
        <v>2768</v>
      </c>
      <c r="BY249" s="667" t="s">
        <v>2769</v>
      </c>
      <c r="BZ249" s="804" t="s">
        <v>2770</v>
      </c>
      <c r="CA249" s="814"/>
      <c r="CB249" s="809"/>
      <c r="CC249" s="178"/>
      <c r="CD249" s="816"/>
      <c r="CE249" s="816"/>
      <c r="CF249" s="817"/>
      <c r="DX249" s="1"/>
    </row>
    <row r="250" spans="38:128" ht="19.5" customHeight="1">
      <c r="AL250" s="241"/>
      <c r="AX250" s="662" t="s">
        <v>2771</v>
      </c>
      <c r="AY250" s="166"/>
      <c r="AZ250" s="166"/>
      <c r="BA250" s="667" t="s">
        <v>2772</v>
      </c>
      <c r="BB250" s="158"/>
      <c r="BC250" s="158"/>
      <c r="BD250" s="666" t="s">
        <v>2773</v>
      </c>
      <c r="BE250" s="667" t="s">
        <v>2774</v>
      </c>
      <c r="BF250" s="667" t="s">
        <v>2775</v>
      </c>
      <c r="BG250" s="158"/>
      <c r="BH250" s="667" t="s">
        <v>2776</v>
      </c>
      <c r="BI250" s="666" t="s">
        <v>2777</v>
      </c>
      <c r="BJ250" s="667" t="s">
        <v>2778</v>
      </c>
      <c r="BK250" s="158"/>
      <c r="BL250" s="158"/>
      <c r="BM250" s="158"/>
      <c r="BN250" s="667" t="s">
        <v>2779</v>
      </c>
      <c r="BO250" s="667" t="s">
        <v>2780</v>
      </c>
      <c r="BP250" s="158"/>
      <c r="BQ250" s="158"/>
      <c r="BR250" s="158"/>
      <c r="BS250" s="158"/>
      <c r="BT250" s="667" t="s">
        <v>2781</v>
      </c>
      <c r="BU250" s="667" t="s">
        <v>2782</v>
      </c>
      <c r="BV250" s="158"/>
      <c r="BW250" s="158"/>
      <c r="BX250" s="666" t="s">
        <v>2783</v>
      </c>
      <c r="BY250" s="667" t="s">
        <v>2784</v>
      </c>
      <c r="BZ250" s="804" t="s">
        <v>2785</v>
      </c>
      <c r="CA250" s="814"/>
      <c r="CB250" s="809"/>
      <c r="CC250" s="178"/>
      <c r="CD250" s="816"/>
      <c r="CE250" s="816"/>
      <c r="CF250" s="817"/>
      <c r="DX250" s="1"/>
    </row>
    <row r="251" spans="38:128" ht="19.5" customHeight="1">
      <c r="AL251" s="241"/>
      <c r="AX251" s="662" t="s">
        <v>2786</v>
      </c>
      <c r="AY251" s="166"/>
      <c r="AZ251" s="166"/>
      <c r="BA251" s="667" t="s">
        <v>2787</v>
      </c>
      <c r="BB251" s="158"/>
      <c r="BC251" s="158"/>
      <c r="BD251" s="666" t="s">
        <v>2788</v>
      </c>
      <c r="BE251" s="667" t="s">
        <v>2789</v>
      </c>
      <c r="BF251" s="667" t="s">
        <v>2790</v>
      </c>
      <c r="BG251" s="158"/>
      <c r="BH251" s="667" t="s">
        <v>2791</v>
      </c>
      <c r="BI251" s="666" t="s">
        <v>2792</v>
      </c>
      <c r="BJ251" s="667" t="s">
        <v>2793</v>
      </c>
      <c r="BK251" s="158"/>
      <c r="BL251" s="158"/>
      <c r="BM251" s="158"/>
      <c r="BN251" s="667" t="s">
        <v>2794</v>
      </c>
      <c r="BO251" s="667" t="s">
        <v>2795</v>
      </c>
      <c r="BP251" s="158"/>
      <c r="BQ251" s="158"/>
      <c r="BR251" s="158"/>
      <c r="BS251" s="158"/>
      <c r="BT251" s="667" t="s">
        <v>2796</v>
      </c>
      <c r="BU251" s="667" t="s">
        <v>2797</v>
      </c>
      <c r="BV251" s="158"/>
      <c r="BW251" s="158"/>
      <c r="BX251" s="668" t="s">
        <v>2798</v>
      </c>
      <c r="BY251" s="667" t="s">
        <v>2799</v>
      </c>
      <c r="BZ251" s="811" t="s">
        <v>2800</v>
      </c>
      <c r="CA251" s="814"/>
      <c r="CB251" s="809"/>
      <c r="CC251" s="178"/>
      <c r="CD251" s="793"/>
      <c r="CE251" s="815"/>
      <c r="CF251" s="793"/>
      <c r="DX251" s="1"/>
    </row>
    <row r="252" spans="38:128" ht="19.5" customHeight="1">
      <c r="AL252" s="241"/>
      <c r="AX252" s="662" t="s">
        <v>2801</v>
      </c>
      <c r="AY252" s="166"/>
      <c r="AZ252" s="166"/>
      <c r="BA252" s="667" t="s">
        <v>2802</v>
      </c>
      <c r="BB252" s="158"/>
      <c r="BC252" s="158"/>
      <c r="BD252" s="666" t="s">
        <v>2803</v>
      </c>
      <c r="BE252" s="667" t="s">
        <v>2804</v>
      </c>
      <c r="BF252" s="667" t="s">
        <v>2805</v>
      </c>
      <c r="BG252" s="158"/>
      <c r="BH252" s="667" t="s">
        <v>2806</v>
      </c>
      <c r="BI252" s="666" t="s">
        <v>2807</v>
      </c>
      <c r="BJ252" s="667" t="s">
        <v>2808</v>
      </c>
      <c r="BK252" s="158"/>
      <c r="BL252" s="158"/>
      <c r="BM252" s="158"/>
      <c r="BN252" s="667" t="s">
        <v>2809</v>
      </c>
      <c r="BO252" s="667" t="s">
        <v>2810</v>
      </c>
      <c r="BP252" s="158"/>
      <c r="BQ252" s="158"/>
      <c r="BR252" s="158"/>
      <c r="BS252" s="158"/>
      <c r="BT252" s="667" t="s">
        <v>2811</v>
      </c>
      <c r="BU252" s="667" t="s">
        <v>2812</v>
      </c>
      <c r="BV252" s="158"/>
      <c r="BW252" s="158"/>
      <c r="BX252" s="158"/>
      <c r="BY252" s="667" t="s">
        <v>2813</v>
      </c>
      <c r="BZ252" s="814"/>
      <c r="CA252" s="814"/>
      <c r="CB252" s="809"/>
      <c r="CC252" s="178"/>
      <c r="CD252" s="793"/>
      <c r="CE252" s="815"/>
      <c r="CF252" s="793"/>
      <c r="DX252" s="1"/>
    </row>
    <row r="253" spans="38:128" ht="19.5" customHeight="1">
      <c r="AL253" s="241"/>
      <c r="AX253" s="662" t="s">
        <v>2814</v>
      </c>
      <c r="AY253" s="166"/>
      <c r="AZ253" s="166"/>
      <c r="BA253" s="667" t="s">
        <v>2815</v>
      </c>
      <c r="BB253" s="158"/>
      <c r="BC253" s="158"/>
      <c r="BD253" s="666" t="s">
        <v>2816</v>
      </c>
      <c r="BE253" s="667" t="s">
        <v>2817</v>
      </c>
      <c r="BF253" s="667" t="s">
        <v>2818</v>
      </c>
      <c r="BG253" s="158"/>
      <c r="BH253" s="667" t="s">
        <v>2819</v>
      </c>
      <c r="BI253" s="666" t="s">
        <v>2820</v>
      </c>
      <c r="BJ253" s="667" t="s">
        <v>2821</v>
      </c>
      <c r="BK253" s="158"/>
      <c r="BL253" s="158"/>
      <c r="BM253" s="158"/>
      <c r="BN253" s="667" t="s">
        <v>2822</v>
      </c>
      <c r="BO253" s="667" t="s">
        <v>2823</v>
      </c>
      <c r="BP253" s="158"/>
      <c r="BQ253" s="158"/>
      <c r="BR253" s="158"/>
      <c r="BS253" s="158"/>
      <c r="BT253" s="667" t="s">
        <v>2824</v>
      </c>
      <c r="BU253" s="667" t="s">
        <v>2825</v>
      </c>
      <c r="BV253" s="158"/>
      <c r="BW253" s="158"/>
      <c r="BX253" s="158"/>
      <c r="BY253" s="667" t="s">
        <v>2826</v>
      </c>
      <c r="BZ253" s="814"/>
      <c r="CA253" s="814"/>
      <c r="CB253" s="809"/>
      <c r="CC253" s="178"/>
      <c r="CD253" s="793"/>
      <c r="CE253" s="815"/>
      <c r="CF253" s="793"/>
      <c r="DX253" s="1"/>
    </row>
    <row r="254" spans="38:128" ht="19.5" customHeight="1">
      <c r="AL254" s="241"/>
      <c r="AX254" s="662" t="s">
        <v>2827</v>
      </c>
      <c r="AY254" s="166"/>
      <c r="AZ254" s="166"/>
      <c r="BA254" s="667" t="s">
        <v>2828</v>
      </c>
      <c r="BB254" s="158"/>
      <c r="BC254" s="158"/>
      <c r="BD254" s="666" t="s">
        <v>2829</v>
      </c>
      <c r="BE254" s="667" t="s">
        <v>2830</v>
      </c>
      <c r="BF254" s="667" t="s">
        <v>2831</v>
      </c>
      <c r="BG254" s="158"/>
      <c r="BH254" s="667" t="s">
        <v>2832</v>
      </c>
      <c r="BI254" s="666" t="s">
        <v>2833</v>
      </c>
      <c r="BJ254" s="667" t="s">
        <v>2834</v>
      </c>
      <c r="BK254" s="158"/>
      <c r="BL254" s="158"/>
      <c r="BM254" s="158"/>
      <c r="BN254" s="667" t="s">
        <v>2835</v>
      </c>
      <c r="BO254" s="669" t="s">
        <v>2836</v>
      </c>
      <c r="BP254" s="158"/>
      <c r="BQ254" s="158"/>
      <c r="BR254" s="158"/>
      <c r="BS254" s="158"/>
      <c r="BT254" s="667" t="s">
        <v>2837</v>
      </c>
      <c r="BU254" s="667" t="s">
        <v>2838</v>
      </c>
      <c r="BV254" s="158"/>
      <c r="BW254" s="158"/>
      <c r="BX254" s="158"/>
      <c r="BY254" s="667" t="s">
        <v>2839</v>
      </c>
      <c r="BZ254" s="814"/>
      <c r="CA254" s="814"/>
      <c r="CB254" s="809"/>
      <c r="CC254" s="178"/>
      <c r="CD254" s="154"/>
      <c r="CE254" s="815"/>
      <c r="CF254" s="154"/>
      <c r="DX254" s="1"/>
    </row>
    <row r="255" spans="38:128" ht="19.5" customHeight="1">
      <c r="AL255" s="241"/>
      <c r="AX255" s="662" t="s">
        <v>2840</v>
      </c>
      <c r="AY255" s="166"/>
      <c r="AZ255" s="166"/>
      <c r="BA255" s="667" t="s">
        <v>2841</v>
      </c>
      <c r="BB255" s="158"/>
      <c r="BC255" s="158"/>
      <c r="BD255" s="666" t="s">
        <v>2842</v>
      </c>
      <c r="BE255" s="667" t="s">
        <v>2843</v>
      </c>
      <c r="BF255" s="667" t="s">
        <v>2844</v>
      </c>
      <c r="BG255" s="158"/>
      <c r="BH255" s="667" t="s">
        <v>2845</v>
      </c>
      <c r="BI255" s="666" t="s">
        <v>2846</v>
      </c>
      <c r="BJ255" s="667" t="s">
        <v>2847</v>
      </c>
      <c r="BK255" s="158"/>
      <c r="BL255" s="158"/>
      <c r="BM255" s="158"/>
      <c r="BN255" s="667" t="s">
        <v>2848</v>
      </c>
      <c r="BO255" s="158"/>
      <c r="BP255" s="158"/>
      <c r="BQ255" s="158"/>
      <c r="BR255" s="158"/>
      <c r="BS255" s="158"/>
      <c r="BT255" s="667" t="s">
        <v>2849</v>
      </c>
      <c r="BU255" s="669" t="s">
        <v>2850</v>
      </c>
      <c r="BV255" s="158"/>
      <c r="BW255" s="158"/>
      <c r="BX255" s="158"/>
      <c r="BY255" s="667" t="s">
        <v>2851</v>
      </c>
      <c r="BZ255" s="814"/>
      <c r="CA255" s="814"/>
      <c r="CB255" s="809"/>
      <c r="CC255" s="178"/>
      <c r="CD255" s="793"/>
      <c r="CE255" s="815"/>
      <c r="CF255" s="793"/>
      <c r="DX255" s="1"/>
    </row>
    <row r="256" spans="38:128" ht="19.5" customHeight="1">
      <c r="AL256" s="241"/>
      <c r="AX256" s="662" t="s">
        <v>2852</v>
      </c>
      <c r="AY256" s="166"/>
      <c r="AZ256" s="166"/>
      <c r="BA256" s="667" t="s">
        <v>2853</v>
      </c>
      <c r="BB256" s="158"/>
      <c r="BC256" s="158"/>
      <c r="BD256" s="666" t="s">
        <v>2854</v>
      </c>
      <c r="BE256" s="667" t="s">
        <v>2855</v>
      </c>
      <c r="BF256" s="667" t="s">
        <v>2856</v>
      </c>
      <c r="BG256" s="158"/>
      <c r="BH256" s="667" t="s">
        <v>2857</v>
      </c>
      <c r="BI256" s="666" t="s">
        <v>2858</v>
      </c>
      <c r="BJ256" s="667" t="s">
        <v>2859</v>
      </c>
      <c r="BK256" s="158"/>
      <c r="BL256" s="158"/>
      <c r="BM256" s="158"/>
      <c r="BN256" s="667" t="s">
        <v>2860</v>
      </c>
      <c r="BO256" s="158"/>
      <c r="BP256" s="158"/>
      <c r="BQ256" s="158"/>
      <c r="BR256" s="158"/>
      <c r="BS256" s="158"/>
      <c r="BT256" s="667" t="s">
        <v>2861</v>
      </c>
      <c r="BU256" s="158"/>
      <c r="BV256" s="158"/>
      <c r="BW256" s="158"/>
      <c r="BX256" s="158"/>
      <c r="BY256" s="667" t="s">
        <v>2862</v>
      </c>
      <c r="BZ256" s="814"/>
      <c r="CA256" s="814"/>
      <c r="CB256" s="809"/>
      <c r="CC256" s="178"/>
      <c r="CD256" s="793"/>
      <c r="CE256" s="815"/>
      <c r="CF256" s="793"/>
      <c r="DX256" s="1"/>
    </row>
    <row r="257" spans="38:128" ht="19.5" customHeight="1">
      <c r="AL257" s="241"/>
      <c r="AX257" s="662" t="s">
        <v>2863</v>
      </c>
      <c r="AY257" s="166"/>
      <c r="AZ257" s="166"/>
      <c r="BA257" s="667" t="s">
        <v>2864</v>
      </c>
      <c r="BB257" s="158"/>
      <c r="BC257" s="158"/>
      <c r="BD257" s="666" t="s">
        <v>2865</v>
      </c>
      <c r="BE257" s="667" t="s">
        <v>2866</v>
      </c>
      <c r="BF257" s="667" t="s">
        <v>2867</v>
      </c>
      <c r="BG257" s="158"/>
      <c r="BH257" s="667" t="s">
        <v>2868</v>
      </c>
      <c r="BI257" s="668" t="s">
        <v>2869</v>
      </c>
      <c r="BJ257" s="667" t="s">
        <v>2870</v>
      </c>
      <c r="BK257" s="158"/>
      <c r="BL257" s="158"/>
      <c r="BM257" s="158"/>
      <c r="BN257" s="667" t="s">
        <v>2871</v>
      </c>
      <c r="BO257" s="158"/>
      <c r="BP257" s="158"/>
      <c r="BQ257" s="158"/>
      <c r="BR257" s="158"/>
      <c r="BS257" s="158"/>
      <c r="BT257" s="667" t="s">
        <v>2872</v>
      </c>
      <c r="BU257" s="158"/>
      <c r="BV257" s="158"/>
      <c r="BW257" s="158"/>
      <c r="BX257" s="158"/>
      <c r="BY257" s="667" t="s">
        <v>2873</v>
      </c>
      <c r="BZ257" s="814"/>
      <c r="CA257" s="814"/>
      <c r="CB257" s="809"/>
      <c r="CC257" s="178"/>
      <c r="CD257" s="793"/>
      <c r="CE257" s="815"/>
      <c r="CF257" s="793"/>
      <c r="DX257" s="1"/>
    </row>
    <row r="258" spans="38:128" ht="19.5" customHeight="1">
      <c r="AL258" s="241"/>
      <c r="AX258" s="662" t="s">
        <v>2874</v>
      </c>
      <c r="AY258" s="166"/>
      <c r="AZ258" s="166"/>
      <c r="BA258" s="667" t="s">
        <v>2875</v>
      </c>
      <c r="BB258" s="158"/>
      <c r="BC258" s="158"/>
      <c r="BD258" s="666" t="s">
        <v>2876</v>
      </c>
      <c r="BE258" s="667" t="s">
        <v>2877</v>
      </c>
      <c r="BF258" s="667" t="s">
        <v>2878</v>
      </c>
      <c r="BG258" s="158"/>
      <c r="BH258" s="667" t="s">
        <v>2879</v>
      </c>
      <c r="BI258" s="158"/>
      <c r="BJ258" s="667" t="s">
        <v>2880</v>
      </c>
      <c r="BK258" s="158"/>
      <c r="BL258" s="158"/>
      <c r="BM258" s="158"/>
      <c r="BN258" s="667" t="s">
        <v>2881</v>
      </c>
      <c r="BO258" s="158"/>
      <c r="BP258" s="158"/>
      <c r="BQ258" s="158"/>
      <c r="BR258" s="158"/>
      <c r="BS258" s="158"/>
      <c r="BT258" s="667" t="s">
        <v>2882</v>
      </c>
      <c r="BU258" s="158"/>
      <c r="BV258" s="158"/>
      <c r="BW258" s="158"/>
      <c r="BX258" s="158"/>
      <c r="BY258" s="667" t="s">
        <v>2883</v>
      </c>
      <c r="BZ258" s="814"/>
      <c r="CA258" s="814"/>
      <c r="CB258" s="809"/>
      <c r="CC258" s="178"/>
      <c r="CD258" s="154"/>
      <c r="CE258" s="818"/>
      <c r="CF258" s="154"/>
      <c r="DX258" s="1"/>
    </row>
    <row r="259" spans="38:128" ht="19.5" customHeight="1">
      <c r="AL259" s="241"/>
      <c r="AX259" s="662" t="s">
        <v>2884</v>
      </c>
      <c r="AY259" s="166"/>
      <c r="AZ259" s="166"/>
      <c r="BA259" s="667" t="s">
        <v>2885</v>
      </c>
      <c r="BB259" s="158"/>
      <c r="BC259" s="158"/>
      <c r="BD259" s="666" t="s">
        <v>2886</v>
      </c>
      <c r="BE259" s="667" t="s">
        <v>2887</v>
      </c>
      <c r="BF259" s="667" t="s">
        <v>2888</v>
      </c>
      <c r="BG259" s="158"/>
      <c r="BH259" s="667" t="s">
        <v>2889</v>
      </c>
      <c r="BI259" s="158"/>
      <c r="BJ259" s="667" t="s">
        <v>2890</v>
      </c>
      <c r="BK259" s="158"/>
      <c r="BL259" s="158"/>
      <c r="BM259" s="158"/>
      <c r="BN259" s="667" t="s">
        <v>2891</v>
      </c>
      <c r="BO259" s="158"/>
      <c r="BP259" s="158"/>
      <c r="BQ259" s="158"/>
      <c r="BR259" s="158"/>
      <c r="BS259" s="158"/>
      <c r="BT259" s="667" t="s">
        <v>2892</v>
      </c>
      <c r="BU259" s="158"/>
      <c r="BV259" s="158"/>
      <c r="BW259" s="158"/>
      <c r="BX259" s="158"/>
      <c r="BY259" s="667" t="s">
        <v>2893</v>
      </c>
      <c r="BZ259" s="814"/>
      <c r="CA259" s="814"/>
      <c r="CB259" s="809"/>
      <c r="CC259" s="178"/>
      <c r="CD259" s="154"/>
      <c r="CE259" s="818"/>
      <c r="CF259" s="154"/>
    </row>
    <row r="260" spans="38:128" ht="19.5" customHeight="1">
      <c r="AL260" s="241"/>
      <c r="AX260" s="662" t="s">
        <v>2894</v>
      </c>
      <c r="AY260" s="166"/>
      <c r="AZ260" s="166"/>
      <c r="BA260" s="667" t="s">
        <v>2895</v>
      </c>
      <c r="BB260" s="158"/>
      <c r="BC260" s="158"/>
      <c r="BD260" s="666" t="s">
        <v>2896</v>
      </c>
      <c r="BE260" s="667" t="s">
        <v>2897</v>
      </c>
      <c r="BF260" s="667" t="s">
        <v>2898</v>
      </c>
      <c r="BG260" s="158"/>
      <c r="BH260" s="667" t="s">
        <v>2899</v>
      </c>
      <c r="BI260" s="158"/>
      <c r="BJ260" s="667" t="s">
        <v>2900</v>
      </c>
      <c r="BK260" s="158"/>
      <c r="BL260" s="158"/>
      <c r="BM260" s="158"/>
      <c r="BN260" s="667" t="s">
        <v>2901</v>
      </c>
      <c r="BO260" s="158"/>
      <c r="BP260" s="158"/>
      <c r="BQ260" s="158"/>
      <c r="BR260" s="158"/>
      <c r="BS260" s="158"/>
      <c r="BT260" s="667" t="s">
        <v>2902</v>
      </c>
      <c r="BU260" s="158"/>
      <c r="BV260" s="158"/>
      <c r="BW260" s="158"/>
      <c r="BX260" s="158"/>
      <c r="BY260" s="667" t="s">
        <v>2903</v>
      </c>
      <c r="BZ260" s="814"/>
      <c r="CA260" s="814"/>
      <c r="CB260" s="809"/>
      <c r="CC260" s="178"/>
      <c r="CD260" s="154"/>
      <c r="CE260" s="818"/>
      <c r="CF260" s="154"/>
    </row>
    <row r="261" spans="38:128" ht="19.5" customHeight="1">
      <c r="AL261" s="241"/>
      <c r="AX261" s="662" t="s">
        <v>2904</v>
      </c>
      <c r="AY261" s="166"/>
      <c r="AZ261" s="166"/>
      <c r="BA261" s="667" t="s">
        <v>2905</v>
      </c>
      <c r="BB261" s="158"/>
      <c r="BC261" s="158"/>
      <c r="BD261" s="666" t="s">
        <v>2906</v>
      </c>
      <c r="BE261" s="667" t="s">
        <v>2907</v>
      </c>
      <c r="BF261" s="667" t="s">
        <v>2908</v>
      </c>
      <c r="BG261" s="158"/>
      <c r="BH261" s="667" t="s">
        <v>2909</v>
      </c>
      <c r="BI261" s="158"/>
      <c r="BJ261" s="667" t="s">
        <v>2910</v>
      </c>
      <c r="BK261" s="158"/>
      <c r="BL261" s="158"/>
      <c r="BM261" s="158"/>
      <c r="BN261" s="667" t="s">
        <v>2911</v>
      </c>
      <c r="BO261" s="158"/>
      <c r="BP261" s="158"/>
      <c r="BQ261" s="158"/>
      <c r="BR261" s="158"/>
      <c r="BS261" s="158"/>
      <c r="BT261" s="667" t="s">
        <v>2912</v>
      </c>
      <c r="BU261" s="158"/>
      <c r="BV261" s="158"/>
      <c r="BW261" s="158"/>
      <c r="BX261" s="158"/>
      <c r="BY261" s="667" t="s">
        <v>2913</v>
      </c>
      <c r="BZ261" s="814"/>
      <c r="CA261" s="814"/>
      <c r="CB261" s="809"/>
      <c r="CC261" s="178"/>
      <c r="CD261" s="154"/>
      <c r="CE261" s="818"/>
      <c r="CF261" s="154"/>
    </row>
    <row r="262" spans="38:128" ht="19.5" customHeight="1">
      <c r="AL262" s="241"/>
      <c r="AX262" s="662" t="s">
        <v>2914</v>
      </c>
      <c r="AY262" s="166"/>
      <c r="AZ262" s="166"/>
      <c r="BA262" s="667" t="s">
        <v>2915</v>
      </c>
      <c r="BB262" s="158"/>
      <c r="BC262" s="158"/>
      <c r="BD262" s="666" t="s">
        <v>2916</v>
      </c>
      <c r="BE262" s="667" t="s">
        <v>2917</v>
      </c>
      <c r="BF262" s="667" t="s">
        <v>2918</v>
      </c>
      <c r="BG262" s="158"/>
      <c r="BH262" s="667" t="s">
        <v>2919</v>
      </c>
      <c r="BI262" s="158"/>
      <c r="BJ262" s="667" t="s">
        <v>2920</v>
      </c>
      <c r="BK262" s="158"/>
      <c r="BL262" s="158"/>
      <c r="BM262" s="158"/>
      <c r="BN262" s="667" t="s">
        <v>2921</v>
      </c>
      <c r="BO262" s="158"/>
      <c r="BP262" s="158"/>
      <c r="BQ262" s="158"/>
      <c r="BR262" s="158"/>
      <c r="BS262" s="158"/>
      <c r="BT262" s="667" t="s">
        <v>2922</v>
      </c>
      <c r="BU262" s="158"/>
      <c r="BV262" s="158"/>
      <c r="BW262" s="158"/>
      <c r="BX262" s="158"/>
      <c r="BY262" s="667" t="s">
        <v>2923</v>
      </c>
      <c r="BZ262" s="814"/>
      <c r="CA262" s="814"/>
      <c r="CB262" s="809"/>
      <c r="CC262" s="178"/>
      <c r="CD262" s="154"/>
      <c r="CE262" s="818"/>
      <c r="CF262" s="154"/>
    </row>
    <row r="263" spans="38:128" ht="19.5" customHeight="1">
      <c r="AL263" s="241"/>
      <c r="AX263" s="662" t="s">
        <v>2924</v>
      </c>
      <c r="AY263" s="166"/>
      <c r="AZ263" s="166"/>
      <c r="BA263" s="667" t="s">
        <v>2925</v>
      </c>
      <c r="BB263" s="158"/>
      <c r="BC263" s="158"/>
      <c r="BD263" s="666" t="s">
        <v>2926</v>
      </c>
      <c r="BE263" s="667" t="s">
        <v>2927</v>
      </c>
      <c r="BF263" s="669" t="s">
        <v>2928</v>
      </c>
      <c r="BG263" s="158"/>
      <c r="BH263" s="667" t="s">
        <v>2929</v>
      </c>
      <c r="BI263" s="158"/>
      <c r="BJ263" s="667" t="s">
        <v>2930</v>
      </c>
      <c r="BK263" s="158"/>
      <c r="BL263" s="158"/>
      <c r="BM263" s="158"/>
      <c r="BN263" s="667" t="s">
        <v>2931</v>
      </c>
      <c r="BO263" s="158"/>
      <c r="BP263" s="158"/>
      <c r="BQ263" s="158"/>
      <c r="BR263" s="158"/>
      <c r="BS263" s="158"/>
      <c r="BT263" s="667" t="s">
        <v>2932</v>
      </c>
      <c r="BU263" s="158"/>
      <c r="BV263" s="158"/>
      <c r="BW263" s="158"/>
      <c r="BX263" s="158"/>
      <c r="BY263" s="667" t="s">
        <v>2933</v>
      </c>
      <c r="BZ263" s="814"/>
      <c r="CA263" s="814"/>
      <c r="CB263" s="809"/>
      <c r="CC263" s="178"/>
      <c r="CD263" s="154"/>
      <c r="CE263" s="818"/>
      <c r="CF263" s="154"/>
    </row>
    <row r="264" spans="38:128" ht="19.5" customHeight="1">
      <c r="AL264" s="241"/>
      <c r="AX264" s="662" t="s">
        <v>2934</v>
      </c>
      <c r="AY264" s="166"/>
      <c r="AZ264" s="166"/>
      <c r="BA264" s="667" t="s">
        <v>2935</v>
      </c>
      <c r="BB264" s="158"/>
      <c r="BC264" s="158"/>
      <c r="BD264" s="666" t="s">
        <v>2936</v>
      </c>
      <c r="BE264" s="667" t="s">
        <v>2937</v>
      </c>
      <c r="BF264" s="158"/>
      <c r="BG264" s="158"/>
      <c r="BH264" s="667" t="s">
        <v>2938</v>
      </c>
      <c r="BI264" s="158"/>
      <c r="BJ264" s="667" t="s">
        <v>2939</v>
      </c>
      <c r="BK264" s="158"/>
      <c r="BL264" s="158"/>
      <c r="BM264" s="158"/>
      <c r="BN264" s="667" t="s">
        <v>2940</v>
      </c>
      <c r="BO264" s="158"/>
      <c r="BP264" s="158"/>
      <c r="BQ264" s="158"/>
      <c r="BR264" s="158"/>
      <c r="BS264" s="158"/>
      <c r="BT264" s="669" t="s">
        <v>2941</v>
      </c>
      <c r="BU264" s="158"/>
      <c r="BV264" s="158"/>
      <c r="BW264" s="158"/>
      <c r="BX264" s="158"/>
      <c r="BY264" s="667" t="s">
        <v>2942</v>
      </c>
      <c r="BZ264" s="814"/>
      <c r="CA264" s="814"/>
      <c r="CB264" s="809"/>
      <c r="CC264" s="178"/>
      <c r="CD264" s="154"/>
      <c r="CE264" s="818"/>
      <c r="CF264" s="154"/>
    </row>
    <row r="265" spans="38:128" ht="19.5" customHeight="1">
      <c r="AL265" s="241"/>
      <c r="AX265" s="662" t="s">
        <v>2943</v>
      </c>
      <c r="AY265" s="166"/>
      <c r="AZ265" s="166"/>
      <c r="BA265" s="667" t="s">
        <v>2944</v>
      </c>
      <c r="BB265" s="158"/>
      <c r="BC265" s="158"/>
      <c r="BD265" s="666" t="s">
        <v>2945</v>
      </c>
      <c r="BE265" s="667" t="s">
        <v>2946</v>
      </c>
      <c r="BF265" s="158"/>
      <c r="BG265" s="158"/>
      <c r="BH265" s="667" t="s">
        <v>2947</v>
      </c>
      <c r="BI265" s="158"/>
      <c r="BJ265" s="667" t="s">
        <v>2948</v>
      </c>
      <c r="BK265" s="158"/>
      <c r="BL265" s="158"/>
      <c r="BM265" s="158"/>
      <c r="BN265" s="667" t="s">
        <v>2949</v>
      </c>
      <c r="BO265" s="158"/>
      <c r="BP265" s="158"/>
      <c r="BQ265" s="158"/>
      <c r="BR265" s="158"/>
      <c r="BS265" s="158"/>
      <c r="BT265" s="158"/>
      <c r="BU265" s="158"/>
      <c r="BV265" s="158"/>
      <c r="BW265" s="158"/>
      <c r="BX265" s="158"/>
      <c r="BY265" s="667" t="s">
        <v>2950</v>
      </c>
      <c r="BZ265" s="814"/>
      <c r="CA265" s="814"/>
      <c r="CB265" s="809"/>
      <c r="CC265" s="178"/>
      <c r="CD265" s="154"/>
      <c r="CE265" s="818"/>
      <c r="CF265" s="154"/>
    </row>
    <row r="266" spans="38:128" ht="19.5" customHeight="1">
      <c r="AL266" s="241"/>
      <c r="AX266" s="662" t="s">
        <v>2951</v>
      </c>
      <c r="AY266" s="166"/>
      <c r="AZ266" s="166"/>
      <c r="BA266" s="667" t="s">
        <v>2952</v>
      </c>
      <c r="BB266" s="158"/>
      <c r="BC266" s="158"/>
      <c r="BD266" s="666" t="s">
        <v>2953</v>
      </c>
      <c r="BE266" s="667" t="s">
        <v>2954</v>
      </c>
      <c r="BF266" s="158"/>
      <c r="BG266" s="158"/>
      <c r="BH266" s="667" t="s">
        <v>2955</v>
      </c>
      <c r="BI266" s="158"/>
      <c r="BJ266" s="667" t="s">
        <v>2956</v>
      </c>
      <c r="BK266" s="158"/>
      <c r="BL266" s="158"/>
      <c r="BM266" s="158"/>
      <c r="BN266" s="667" t="s">
        <v>2957</v>
      </c>
      <c r="BO266" s="158"/>
      <c r="BP266" s="158"/>
      <c r="BQ266" s="158"/>
      <c r="BR266" s="158"/>
      <c r="BS266" s="158"/>
      <c r="BT266" s="158"/>
      <c r="BU266" s="158"/>
      <c r="BV266" s="158"/>
      <c r="BW266" s="158"/>
      <c r="BX266" s="158"/>
      <c r="BY266" s="667" t="s">
        <v>2958</v>
      </c>
      <c r="BZ266" s="814"/>
      <c r="CA266" s="814"/>
      <c r="CB266" s="809"/>
      <c r="CC266" s="178"/>
      <c r="CD266" s="154"/>
      <c r="CE266" s="818"/>
      <c r="CF266" s="154"/>
    </row>
    <row r="267" spans="38:128" ht="19.5" customHeight="1">
      <c r="AL267" s="241"/>
      <c r="AX267" s="662" t="s">
        <v>2959</v>
      </c>
      <c r="AY267" s="166"/>
      <c r="AZ267" s="166"/>
      <c r="BA267" s="667" t="s">
        <v>2960</v>
      </c>
      <c r="BB267" s="158"/>
      <c r="BC267" s="158"/>
      <c r="BD267" s="666" t="s">
        <v>2961</v>
      </c>
      <c r="BE267" s="667" t="s">
        <v>2962</v>
      </c>
      <c r="BF267" s="158"/>
      <c r="BG267" s="158"/>
      <c r="BH267" s="667" t="s">
        <v>2963</v>
      </c>
      <c r="BI267" s="158"/>
      <c r="BJ267" s="667" t="s">
        <v>2964</v>
      </c>
      <c r="BK267" s="158"/>
      <c r="BL267" s="158"/>
      <c r="BM267" s="158"/>
      <c r="BN267" s="667" t="s">
        <v>2965</v>
      </c>
      <c r="BO267" s="158"/>
      <c r="BP267" s="158"/>
      <c r="BQ267" s="158"/>
      <c r="BR267" s="158"/>
      <c r="BS267" s="158"/>
      <c r="BT267" s="158"/>
      <c r="BU267" s="158"/>
      <c r="BV267" s="158"/>
      <c r="BW267" s="158"/>
      <c r="BX267" s="158"/>
      <c r="BY267" s="667" t="s">
        <v>2966</v>
      </c>
      <c r="BZ267" s="814"/>
      <c r="CA267" s="814"/>
      <c r="CB267" s="809"/>
      <c r="CC267" s="178"/>
      <c r="CD267" s="154"/>
      <c r="CE267" s="818"/>
      <c r="CF267" s="154"/>
    </row>
    <row r="268" spans="38:128" ht="19.5" customHeight="1">
      <c r="AL268" s="241"/>
      <c r="AX268" s="662" t="s">
        <v>2967</v>
      </c>
      <c r="AY268" s="166"/>
      <c r="AZ268" s="166"/>
      <c r="BA268" s="667" t="s">
        <v>2968</v>
      </c>
      <c r="BB268" s="158"/>
      <c r="BC268" s="158"/>
      <c r="BD268" s="668" t="s">
        <v>2969</v>
      </c>
      <c r="BE268" s="667" t="s">
        <v>2970</v>
      </c>
      <c r="BF268" s="158"/>
      <c r="BG268" s="158"/>
      <c r="BH268" s="667" t="s">
        <v>2971</v>
      </c>
      <c r="BI268" s="158"/>
      <c r="BJ268" s="667" t="s">
        <v>2972</v>
      </c>
      <c r="BK268" s="158"/>
      <c r="BL268" s="158"/>
      <c r="BM268" s="158"/>
      <c r="BN268" s="667" t="s">
        <v>2973</v>
      </c>
      <c r="BO268" s="158"/>
      <c r="BP268" s="158"/>
      <c r="BQ268" s="158"/>
      <c r="BR268" s="158"/>
      <c r="BS268" s="158"/>
      <c r="BT268" s="158"/>
      <c r="BU268" s="158"/>
      <c r="BV268" s="158"/>
      <c r="BW268" s="158"/>
      <c r="BX268" s="158"/>
      <c r="BY268" s="667" t="s">
        <v>2974</v>
      </c>
      <c r="BZ268" s="814"/>
      <c r="CA268" s="814"/>
      <c r="CB268" s="809"/>
      <c r="CC268" s="178"/>
      <c r="CD268" s="154"/>
      <c r="CE268" s="818"/>
      <c r="CF268" s="154"/>
    </row>
    <row r="269" spans="38:128" ht="19.5" customHeight="1">
      <c r="AL269" s="241"/>
      <c r="AX269" s="662" t="s">
        <v>2975</v>
      </c>
      <c r="AY269" s="166"/>
      <c r="AZ269" s="166"/>
      <c r="BA269" s="667" t="s">
        <v>2976</v>
      </c>
      <c r="BB269" s="158"/>
      <c r="BC269" s="158"/>
      <c r="BD269" s="158"/>
      <c r="BE269" s="669" t="s">
        <v>2977</v>
      </c>
      <c r="BF269" s="158"/>
      <c r="BG269" s="158"/>
      <c r="BH269" s="667" t="s">
        <v>2978</v>
      </c>
      <c r="BI269" s="158"/>
      <c r="BJ269" s="669" t="s">
        <v>2979</v>
      </c>
      <c r="BK269" s="158"/>
      <c r="BL269" s="158"/>
      <c r="BM269" s="158"/>
      <c r="BN269" s="667" t="s">
        <v>2980</v>
      </c>
      <c r="BO269" s="158"/>
      <c r="BP269" s="158"/>
      <c r="BQ269" s="158"/>
      <c r="BR269" s="158"/>
      <c r="BS269" s="158"/>
      <c r="BT269" s="158"/>
      <c r="BU269" s="158"/>
      <c r="BV269" s="158"/>
      <c r="BW269" s="158"/>
      <c r="BX269" s="158"/>
      <c r="BY269" s="667" t="s">
        <v>2981</v>
      </c>
      <c r="BZ269" s="814"/>
      <c r="CA269" s="814"/>
      <c r="CB269" s="809"/>
      <c r="CC269" s="178"/>
      <c r="CD269" s="154"/>
      <c r="CE269" s="818"/>
      <c r="CF269" s="154"/>
    </row>
    <row r="270" spans="38:128" ht="19.5" customHeight="1">
      <c r="AL270" s="241"/>
      <c r="AX270" s="665" t="s">
        <v>2982</v>
      </c>
      <c r="AY270" s="166"/>
      <c r="AZ270" s="166"/>
      <c r="BA270" s="667" t="s">
        <v>2983</v>
      </c>
      <c r="BB270" s="158"/>
      <c r="BC270" s="158"/>
      <c r="BD270" s="158"/>
      <c r="BE270" s="158"/>
      <c r="BF270" s="158"/>
      <c r="BG270" s="158"/>
      <c r="BH270" s="667" t="s">
        <v>2984</v>
      </c>
      <c r="BI270" s="158"/>
      <c r="BJ270" s="158"/>
      <c r="BK270" s="158"/>
      <c r="BL270" s="158"/>
      <c r="BM270" s="158"/>
      <c r="BN270" s="669" t="s">
        <v>2985</v>
      </c>
      <c r="BO270" s="158"/>
      <c r="BP270" s="158"/>
      <c r="BQ270" s="158"/>
      <c r="BR270" s="158"/>
      <c r="BS270" s="158"/>
      <c r="BT270" s="158"/>
      <c r="BU270" s="158"/>
      <c r="BV270" s="158"/>
      <c r="BW270" s="158"/>
      <c r="BX270" s="158"/>
      <c r="BY270" s="667" t="s">
        <v>2986</v>
      </c>
      <c r="BZ270" s="814"/>
      <c r="CA270" s="814"/>
      <c r="CB270" s="809"/>
      <c r="CC270" s="178"/>
      <c r="CD270" s="154"/>
      <c r="CE270" s="818"/>
      <c r="CF270" s="154"/>
    </row>
    <row r="271" spans="38:128" ht="19.5" customHeight="1">
      <c r="AL271" s="241"/>
      <c r="AX271" s="166"/>
      <c r="AY271" s="166"/>
      <c r="AZ271" s="166"/>
      <c r="BA271" s="667" t="s">
        <v>2987</v>
      </c>
      <c r="BB271" s="158"/>
      <c r="BC271" s="158"/>
      <c r="BD271" s="158"/>
      <c r="BE271" s="158"/>
      <c r="BF271" s="158"/>
      <c r="BG271" s="158"/>
      <c r="BH271" s="667" t="s">
        <v>2988</v>
      </c>
      <c r="BI271" s="158"/>
      <c r="BJ271" s="158"/>
      <c r="BK271" s="158"/>
      <c r="BL271" s="158"/>
      <c r="BM271" s="158"/>
      <c r="BN271" s="158"/>
      <c r="BO271" s="158"/>
      <c r="BP271" s="158"/>
      <c r="BQ271" s="158"/>
      <c r="BR271" s="158"/>
      <c r="BS271" s="158"/>
      <c r="BT271" s="158"/>
      <c r="BU271" s="158"/>
      <c r="BV271" s="158"/>
      <c r="BW271" s="158"/>
      <c r="BX271" s="158"/>
      <c r="BY271" s="667" t="s">
        <v>2989</v>
      </c>
      <c r="BZ271" s="814"/>
      <c r="CA271" s="814"/>
      <c r="CB271" s="809"/>
      <c r="CC271" s="178"/>
      <c r="CD271" s="154"/>
      <c r="CE271" s="818"/>
      <c r="CF271" s="154"/>
    </row>
    <row r="272" spans="38:128" ht="19.5" customHeight="1">
      <c r="AL272" s="241"/>
      <c r="AX272" s="166"/>
      <c r="AY272" s="166"/>
      <c r="AZ272" s="166"/>
      <c r="BA272" s="669" t="s">
        <v>2990</v>
      </c>
      <c r="BB272" s="158"/>
      <c r="BC272" s="158"/>
      <c r="BD272" s="158"/>
      <c r="BE272" s="158"/>
      <c r="BF272" s="158"/>
      <c r="BG272" s="158"/>
      <c r="BH272" s="667" t="s">
        <v>2991</v>
      </c>
      <c r="BI272" s="158"/>
      <c r="BJ272" s="158"/>
      <c r="BK272" s="158"/>
      <c r="BL272" s="158"/>
      <c r="BM272" s="158"/>
      <c r="BN272" s="158"/>
      <c r="BO272" s="158"/>
      <c r="BP272" s="158"/>
      <c r="BQ272" s="158"/>
      <c r="BR272" s="158"/>
      <c r="BS272" s="158"/>
      <c r="BT272" s="158"/>
      <c r="BU272" s="158"/>
      <c r="BV272" s="158"/>
      <c r="BW272" s="158"/>
      <c r="BX272" s="158"/>
      <c r="BY272" s="667" t="s">
        <v>2992</v>
      </c>
      <c r="BZ272" s="814"/>
      <c r="CA272" s="814"/>
      <c r="CB272" s="809"/>
      <c r="CC272" s="178"/>
      <c r="CD272" s="154"/>
      <c r="CE272" s="818"/>
      <c r="CF272" s="154"/>
    </row>
    <row r="273" spans="38:84" ht="19.5" customHeight="1">
      <c r="AL273" s="241"/>
      <c r="AX273" s="166"/>
      <c r="AY273" s="166"/>
      <c r="AZ273" s="166"/>
      <c r="BA273" s="158"/>
      <c r="BB273" s="158"/>
      <c r="BC273" s="158"/>
      <c r="BD273" s="158"/>
      <c r="BE273" s="158"/>
      <c r="BF273" s="158"/>
      <c r="BG273" s="158"/>
      <c r="BH273" s="667" t="s">
        <v>2993</v>
      </c>
      <c r="BI273" s="158"/>
      <c r="BJ273" s="158"/>
      <c r="BK273" s="158"/>
      <c r="BL273" s="158"/>
      <c r="BM273" s="158"/>
      <c r="BN273" s="158"/>
      <c r="BO273" s="158"/>
      <c r="BP273" s="158"/>
      <c r="BQ273" s="158"/>
      <c r="BR273" s="158"/>
      <c r="BS273" s="158"/>
      <c r="BT273" s="158"/>
      <c r="BU273" s="158"/>
      <c r="BV273" s="158"/>
      <c r="BW273" s="158"/>
      <c r="BX273" s="158"/>
      <c r="BY273" s="669" t="s">
        <v>2994</v>
      </c>
      <c r="BZ273" s="814"/>
      <c r="CA273" s="814"/>
      <c r="CB273" s="809"/>
      <c r="CC273" s="178"/>
      <c r="CD273" s="154"/>
      <c r="CE273" s="818"/>
      <c r="CF273" s="154"/>
    </row>
    <row r="274" spans="38:84" ht="19.5" customHeight="1">
      <c r="AL274" s="241"/>
      <c r="AX274" s="166"/>
      <c r="AY274" s="166"/>
      <c r="AZ274" s="166"/>
      <c r="BA274" s="158"/>
      <c r="BB274" s="158"/>
      <c r="BC274" s="158"/>
      <c r="BD274" s="158"/>
      <c r="BE274" s="158"/>
      <c r="BF274" s="158"/>
      <c r="BG274" s="158"/>
      <c r="BH274" s="667" t="s">
        <v>2995</v>
      </c>
      <c r="BI274" s="158"/>
      <c r="BJ274" s="158"/>
      <c r="BK274" s="158"/>
      <c r="BL274" s="158"/>
      <c r="BM274" s="158"/>
      <c r="BN274" s="158"/>
      <c r="BO274" s="158"/>
      <c r="BP274" s="158"/>
      <c r="BQ274" s="158"/>
      <c r="BR274" s="158"/>
      <c r="BS274" s="158"/>
      <c r="BT274" s="158"/>
      <c r="BU274" s="158"/>
      <c r="BV274" s="158"/>
      <c r="BW274" s="158"/>
      <c r="BX274" s="158"/>
      <c r="BY274" s="158"/>
      <c r="BZ274" s="814"/>
      <c r="CA274" s="814"/>
      <c r="CB274" s="809"/>
      <c r="CC274" s="178"/>
      <c r="CD274" s="154"/>
      <c r="CE274" s="818"/>
      <c r="CF274" s="154"/>
    </row>
    <row r="275" spans="38:84" ht="19.5" customHeight="1">
      <c r="AL275" s="241"/>
      <c r="AX275" s="166"/>
      <c r="AY275" s="166"/>
      <c r="AZ275" s="166"/>
      <c r="BA275" s="158"/>
      <c r="BB275" s="158"/>
      <c r="BC275" s="158"/>
      <c r="BD275" s="158"/>
      <c r="BE275" s="158"/>
      <c r="BF275" s="158"/>
      <c r="BG275" s="158"/>
      <c r="BH275" s="667" t="s">
        <v>2996</v>
      </c>
      <c r="BI275" s="158"/>
      <c r="BJ275" s="158"/>
      <c r="BK275" s="158"/>
      <c r="BL275" s="158"/>
      <c r="BM275" s="158"/>
      <c r="BN275" s="158"/>
      <c r="BO275" s="158"/>
      <c r="BP275" s="158"/>
      <c r="BQ275" s="158"/>
      <c r="BR275" s="158"/>
      <c r="BS275" s="158"/>
      <c r="BT275" s="158"/>
      <c r="BU275" s="158"/>
      <c r="BV275" s="158"/>
      <c r="BW275" s="158"/>
      <c r="BX275" s="158"/>
      <c r="BY275" s="158"/>
      <c r="BZ275" s="814"/>
      <c r="CA275" s="814"/>
      <c r="CB275" s="809"/>
      <c r="CC275" s="178"/>
      <c r="CD275" s="154"/>
      <c r="CE275" s="818"/>
      <c r="CF275" s="154"/>
    </row>
    <row r="276" spans="38:84" ht="19.5" customHeight="1">
      <c r="AL276" s="241"/>
      <c r="AX276" s="166"/>
      <c r="AY276" s="166"/>
      <c r="AZ276" s="166"/>
      <c r="BA276" s="158"/>
      <c r="BB276" s="158"/>
      <c r="BC276" s="158"/>
      <c r="BD276" s="158"/>
      <c r="BE276" s="158"/>
      <c r="BF276" s="158"/>
      <c r="BG276" s="158"/>
      <c r="BH276" s="669" t="s">
        <v>2997</v>
      </c>
      <c r="BI276" s="158"/>
      <c r="BJ276" s="158"/>
      <c r="BK276" s="158"/>
      <c r="BL276" s="158"/>
      <c r="BM276" s="158"/>
      <c r="BN276" s="158"/>
      <c r="BO276" s="158"/>
      <c r="BP276" s="158"/>
      <c r="BQ276" s="158"/>
      <c r="BR276" s="158"/>
      <c r="BS276" s="158"/>
      <c r="BT276" s="158"/>
      <c r="BU276" s="158"/>
      <c r="BV276" s="158"/>
      <c r="BW276" s="158"/>
      <c r="BX276" s="158"/>
      <c r="BY276" s="158"/>
      <c r="BZ276" s="814"/>
      <c r="CA276" s="814"/>
      <c r="CB276" s="809"/>
      <c r="CC276" s="178"/>
      <c r="CD276" s="154"/>
      <c r="CE276" s="818"/>
      <c r="CF276" s="154"/>
    </row>
    <row r="277" spans="38:84" ht="19.5" customHeight="1">
      <c r="AL277" s="241"/>
      <c r="AX277" s="166"/>
      <c r="AY277" s="166"/>
      <c r="AZ277" s="166"/>
      <c r="BA277" s="158"/>
      <c r="BB277" s="158"/>
      <c r="BC277" s="158"/>
      <c r="BD277" s="158"/>
      <c r="BE277" s="158"/>
      <c r="BF277" s="158"/>
      <c r="BG277" s="158"/>
      <c r="BH277" s="158"/>
      <c r="BI277" s="158"/>
      <c r="BJ277" s="158"/>
      <c r="BK277" s="158"/>
      <c r="BL277" s="158"/>
      <c r="BM277" s="158"/>
      <c r="BN277" s="158"/>
      <c r="BO277" s="158"/>
      <c r="BP277" s="158"/>
      <c r="BQ277" s="158"/>
      <c r="BR277" s="158"/>
      <c r="BS277" s="158"/>
      <c r="BT277" s="158"/>
      <c r="BU277" s="158"/>
      <c r="BV277" s="158"/>
      <c r="BW277" s="158"/>
      <c r="BX277" s="158"/>
      <c r="BY277" s="158"/>
      <c r="BZ277" s="814"/>
      <c r="CA277" s="814"/>
      <c r="CB277" s="809"/>
      <c r="CC277" s="178"/>
      <c r="CD277" s="154"/>
      <c r="CE277" s="818"/>
      <c r="CF277" s="154"/>
    </row>
    <row r="278" spans="38:84" ht="19.5" customHeight="1">
      <c r="AL278" s="241"/>
      <c r="AX278" s="166" t="s">
        <v>2998</v>
      </c>
      <c r="AY278" s="166"/>
      <c r="AZ278" s="166"/>
      <c r="BA278" s="158"/>
      <c r="BB278" s="158"/>
      <c r="BC278" s="158"/>
      <c r="BD278" s="158"/>
      <c r="BE278" s="158"/>
      <c r="BF278" s="158"/>
      <c r="BG278" s="158"/>
      <c r="BH278" s="158"/>
      <c r="BI278" s="158"/>
      <c r="BJ278" s="158"/>
      <c r="BK278" s="158"/>
      <c r="BL278" s="158"/>
      <c r="BM278" s="158"/>
      <c r="BN278" s="158"/>
      <c r="BO278" s="158"/>
      <c r="BP278" s="158"/>
      <c r="BQ278" s="158"/>
      <c r="BR278" s="158"/>
      <c r="BS278" s="158"/>
      <c r="BT278" s="158"/>
      <c r="BU278" s="158"/>
      <c r="BV278" s="158"/>
      <c r="BW278" s="158"/>
      <c r="BX278" s="158"/>
      <c r="BY278" s="158"/>
      <c r="BZ278" s="814"/>
      <c r="CA278" s="814"/>
      <c r="CB278" s="809"/>
      <c r="CC278" s="178"/>
      <c r="CD278" s="154"/>
      <c r="CE278" s="818"/>
      <c r="CF278" s="154"/>
    </row>
    <row r="279" spans="38:84" ht="19.5" customHeight="1">
      <c r="AL279" s="241"/>
      <c r="AX279" s="659" t="s">
        <v>2999</v>
      </c>
      <c r="AY279" s="659" t="s">
        <v>2441</v>
      </c>
      <c r="AZ279" s="659" t="s">
        <v>2283</v>
      </c>
      <c r="BA279" s="661" t="s">
        <v>3000</v>
      </c>
      <c r="BB279" s="661" t="s">
        <v>3001</v>
      </c>
      <c r="BC279" s="661" t="s">
        <v>3002</v>
      </c>
      <c r="BD279" s="661" t="s">
        <v>3003</v>
      </c>
      <c r="BE279" s="661" t="s">
        <v>3004</v>
      </c>
      <c r="BF279" s="661" t="s">
        <v>3005</v>
      </c>
      <c r="BG279" s="661" t="s">
        <v>2284</v>
      </c>
      <c r="BH279" s="661" t="s">
        <v>2448</v>
      </c>
      <c r="BI279" s="661" t="s">
        <v>3006</v>
      </c>
      <c r="BJ279" s="661" t="s">
        <v>3007</v>
      </c>
      <c r="BK279" s="661" t="s">
        <v>3008</v>
      </c>
      <c r="BL279" s="661" t="s">
        <v>2080</v>
      </c>
      <c r="BM279" s="158"/>
      <c r="BN279" s="158"/>
      <c r="BO279" s="158"/>
      <c r="BP279" s="158"/>
      <c r="BQ279" s="158"/>
      <c r="BR279" s="158"/>
      <c r="BS279" s="158"/>
      <c r="BT279" s="158"/>
      <c r="BU279" s="158"/>
      <c r="BV279" s="158"/>
      <c r="BW279" s="158"/>
      <c r="BX279" s="158"/>
      <c r="BY279" s="158"/>
      <c r="BZ279" s="814"/>
      <c r="CA279" s="814"/>
      <c r="CB279" s="809"/>
      <c r="CC279" s="178"/>
      <c r="CD279" s="154"/>
      <c r="CE279" s="818"/>
      <c r="CF279" s="154"/>
    </row>
    <row r="280" spans="38:84" ht="19.5" customHeight="1">
      <c r="AL280" s="241"/>
      <c r="AX280" s="662" t="s">
        <v>3009</v>
      </c>
      <c r="AY280" s="786" t="s">
        <v>3009</v>
      </c>
      <c r="AZ280" s="663" t="s">
        <v>3009</v>
      </c>
      <c r="BA280" s="798" t="s">
        <v>3009</v>
      </c>
      <c r="BB280" s="799" t="s">
        <v>3009</v>
      </c>
      <c r="BC280" s="799" t="s">
        <v>3009</v>
      </c>
      <c r="BD280" s="799" t="s">
        <v>3009</v>
      </c>
      <c r="BE280" s="798" t="s">
        <v>3009</v>
      </c>
      <c r="BF280" s="799" t="s">
        <v>3009</v>
      </c>
      <c r="BG280" s="799" t="s">
        <v>3009</v>
      </c>
      <c r="BH280" s="798" t="s">
        <v>3009</v>
      </c>
      <c r="BI280" s="799" t="s">
        <v>3009</v>
      </c>
      <c r="BJ280" s="798" t="s">
        <v>3009</v>
      </c>
      <c r="BK280" s="158" t="s">
        <v>3009</v>
      </c>
      <c r="BL280" s="790" t="s">
        <v>3009</v>
      </c>
      <c r="BM280" s="158"/>
      <c r="BN280" s="158"/>
      <c r="BO280" s="158"/>
      <c r="BP280" s="158"/>
      <c r="BQ280" s="158"/>
      <c r="BR280" s="158"/>
      <c r="BS280" s="158"/>
      <c r="BT280" s="158"/>
      <c r="BU280" s="158"/>
      <c r="BV280" s="158"/>
      <c r="BW280" s="158"/>
      <c r="BX280" s="158"/>
      <c r="BY280" s="158"/>
      <c r="BZ280" s="814"/>
      <c r="CA280" s="814"/>
      <c r="CB280" s="809"/>
      <c r="CC280" s="178"/>
      <c r="CD280" s="154"/>
      <c r="CE280" s="818"/>
      <c r="CF280" s="154"/>
    </row>
    <row r="281" spans="38:84" ht="19.5" customHeight="1">
      <c r="AL281" s="241"/>
      <c r="AX281" s="662" t="s">
        <v>3010</v>
      </c>
      <c r="AY281" s="664" t="s">
        <v>3011</v>
      </c>
      <c r="AZ281" s="662" t="s">
        <v>3012</v>
      </c>
      <c r="BA281" s="667" t="s">
        <v>3013</v>
      </c>
      <c r="BB281" s="666" t="s">
        <v>3014</v>
      </c>
      <c r="BC281" s="666" t="s">
        <v>3015</v>
      </c>
      <c r="BD281" s="666" t="s">
        <v>3016</v>
      </c>
      <c r="BE281" s="667" t="s">
        <v>3017</v>
      </c>
      <c r="BF281" s="666" t="s">
        <v>3018</v>
      </c>
      <c r="BG281" s="666" t="s">
        <v>3019</v>
      </c>
      <c r="BH281" s="667" t="s">
        <v>3020</v>
      </c>
      <c r="BI281" s="666" t="s">
        <v>3021</v>
      </c>
      <c r="BJ281" s="667" t="s">
        <v>3022</v>
      </c>
      <c r="BK281" s="158" t="s">
        <v>3023</v>
      </c>
      <c r="BL281" s="158"/>
      <c r="BM281" s="158"/>
      <c r="BN281" s="158"/>
      <c r="BO281" s="158"/>
      <c r="BP281" s="158"/>
      <c r="BQ281" s="158"/>
      <c r="BR281" s="158"/>
      <c r="BS281" s="158"/>
      <c r="BT281" s="158"/>
      <c r="BU281" s="158"/>
      <c r="BV281" s="158"/>
      <c r="BW281" s="158"/>
      <c r="BX281" s="158"/>
      <c r="BY281" s="158"/>
      <c r="BZ281" s="814"/>
      <c r="CA281" s="814"/>
      <c r="CB281" s="809"/>
      <c r="CC281" s="178"/>
      <c r="CD281" s="154"/>
      <c r="CE281" s="818"/>
      <c r="CF281" s="154"/>
    </row>
    <row r="282" spans="38:84" ht="19.5" customHeight="1">
      <c r="AL282" s="241"/>
      <c r="AX282" s="662" t="s">
        <v>3024</v>
      </c>
      <c r="AY282" s="664" t="s">
        <v>3025</v>
      </c>
      <c r="AZ282" s="662" t="s">
        <v>3026</v>
      </c>
      <c r="BA282" s="667" t="s">
        <v>3027</v>
      </c>
      <c r="BB282" s="666" t="s">
        <v>3028</v>
      </c>
      <c r="BC282" s="666" t="s">
        <v>3029</v>
      </c>
      <c r="BD282" s="666" t="s">
        <v>3030</v>
      </c>
      <c r="BE282" s="667" t="s">
        <v>3031</v>
      </c>
      <c r="BF282" s="666" t="s">
        <v>3032</v>
      </c>
      <c r="BG282" s="666" t="s">
        <v>3033</v>
      </c>
      <c r="BH282" s="667" t="s">
        <v>3034</v>
      </c>
      <c r="BI282" s="666" t="s">
        <v>3035</v>
      </c>
      <c r="BJ282" s="667" t="s">
        <v>3036</v>
      </c>
      <c r="BK282" s="158" t="s">
        <v>3037</v>
      </c>
      <c r="BL282" s="158"/>
      <c r="BM282" s="158"/>
      <c r="BN282" s="158"/>
      <c r="BO282" s="158"/>
      <c r="BP282" s="158"/>
      <c r="BQ282" s="158"/>
      <c r="BR282" s="158"/>
      <c r="BS282" s="158"/>
      <c r="BT282" s="158"/>
      <c r="BU282" s="158"/>
      <c r="BV282" s="158"/>
      <c r="BW282" s="158"/>
      <c r="BX282" s="158"/>
      <c r="BY282" s="158"/>
      <c r="BZ282" s="814"/>
      <c r="CA282" s="814"/>
      <c r="CB282" s="809"/>
      <c r="CC282" s="178"/>
      <c r="CD282" s="154"/>
      <c r="CE282" s="818"/>
      <c r="CF282" s="154"/>
    </row>
    <row r="283" spans="38:84" ht="19.5" customHeight="1">
      <c r="AL283" s="241"/>
      <c r="AX283" s="662" t="s">
        <v>3038</v>
      </c>
      <c r="AY283" s="664" t="s">
        <v>3039</v>
      </c>
      <c r="AZ283" s="662" t="s">
        <v>3040</v>
      </c>
      <c r="BA283" s="667" t="s">
        <v>3041</v>
      </c>
      <c r="BB283" s="666" t="s">
        <v>3042</v>
      </c>
      <c r="BC283" s="666" t="s">
        <v>3043</v>
      </c>
      <c r="BD283" s="666" t="s">
        <v>3044</v>
      </c>
      <c r="BE283" s="667" t="s">
        <v>3045</v>
      </c>
      <c r="BF283" s="666" t="s">
        <v>3046</v>
      </c>
      <c r="BG283" s="666" t="s">
        <v>3047</v>
      </c>
      <c r="BH283" s="667" t="s">
        <v>3048</v>
      </c>
      <c r="BI283" s="666" t="s">
        <v>3049</v>
      </c>
      <c r="BJ283" s="667" t="s">
        <v>3050</v>
      </c>
      <c r="BK283" s="158" t="s">
        <v>3051</v>
      </c>
      <c r="BL283" s="158"/>
      <c r="BM283" s="158"/>
      <c r="BN283" s="158"/>
      <c r="BO283" s="158"/>
      <c r="BP283" s="158"/>
      <c r="BQ283" s="158"/>
      <c r="BR283" s="158"/>
      <c r="BS283" s="158"/>
      <c r="BT283" s="158"/>
      <c r="BU283" s="158"/>
      <c r="BV283" s="158"/>
      <c r="BW283" s="158"/>
      <c r="BX283" s="158"/>
      <c r="BY283" s="158"/>
      <c r="BZ283" s="814"/>
      <c r="CA283" s="814"/>
      <c r="CB283" s="809"/>
      <c r="CC283" s="178"/>
      <c r="CD283" s="154"/>
      <c r="CE283" s="818"/>
      <c r="CF283" s="154"/>
    </row>
    <row r="284" spans="38:84" ht="19.5" customHeight="1">
      <c r="AL284" s="241"/>
      <c r="AX284" s="662" t="s">
        <v>3052</v>
      </c>
      <c r="AY284" s="664" t="s">
        <v>3053</v>
      </c>
      <c r="AZ284" s="662" t="s">
        <v>3054</v>
      </c>
      <c r="BA284" s="667" t="s">
        <v>3055</v>
      </c>
      <c r="BB284" s="666" t="s">
        <v>3056</v>
      </c>
      <c r="BC284" s="666" t="s">
        <v>3057</v>
      </c>
      <c r="BD284" s="666" t="s">
        <v>3058</v>
      </c>
      <c r="BE284" s="667" t="s">
        <v>3059</v>
      </c>
      <c r="BF284" s="666" t="s">
        <v>3060</v>
      </c>
      <c r="BG284" s="666" t="s">
        <v>3061</v>
      </c>
      <c r="BH284" s="667" t="s">
        <v>3062</v>
      </c>
      <c r="BI284" s="666" t="s">
        <v>3063</v>
      </c>
      <c r="BJ284" s="667" t="s">
        <v>3064</v>
      </c>
      <c r="BK284" s="158" t="s">
        <v>3065</v>
      </c>
      <c r="BL284" s="158"/>
      <c r="BM284" s="158"/>
      <c r="BN284" s="158"/>
      <c r="BO284" s="158"/>
      <c r="BP284" s="158"/>
      <c r="BQ284" s="158"/>
      <c r="BR284" s="158"/>
      <c r="BS284" s="158"/>
      <c r="BT284" s="158"/>
      <c r="BU284" s="158"/>
      <c r="BV284" s="158"/>
      <c r="BW284" s="158"/>
      <c r="BX284" s="158"/>
      <c r="BY284" s="158"/>
      <c r="BZ284" s="814"/>
      <c r="CA284" s="814"/>
      <c r="CB284" s="809"/>
      <c r="CC284" s="178"/>
      <c r="CD284" s="154"/>
      <c r="CE284" s="154"/>
      <c r="CF284" s="154"/>
    </row>
    <row r="285" spans="38:84" ht="19.5" customHeight="1">
      <c r="AL285" s="241"/>
      <c r="AX285" s="662" t="s">
        <v>3066</v>
      </c>
      <c r="AY285" s="664" t="s">
        <v>3067</v>
      </c>
      <c r="AZ285" s="662" t="s">
        <v>3068</v>
      </c>
      <c r="BA285" s="667" t="s">
        <v>3069</v>
      </c>
      <c r="BB285" s="668" t="s">
        <v>3070</v>
      </c>
      <c r="BC285" s="666" t="s">
        <v>3071</v>
      </c>
      <c r="BD285" s="666" t="s">
        <v>3072</v>
      </c>
      <c r="BE285" s="667" t="s">
        <v>3073</v>
      </c>
      <c r="BF285" s="666" t="s">
        <v>3074</v>
      </c>
      <c r="BG285" s="666" t="s">
        <v>3075</v>
      </c>
      <c r="BH285" s="667" t="s">
        <v>3076</v>
      </c>
      <c r="BI285" s="666" t="s">
        <v>3077</v>
      </c>
      <c r="BJ285" s="667" t="s">
        <v>3078</v>
      </c>
      <c r="BK285" s="158" t="s">
        <v>3079</v>
      </c>
      <c r="BL285" s="158"/>
      <c r="BM285" s="158"/>
      <c r="BN285" s="158"/>
      <c r="BO285" s="158"/>
      <c r="BP285" s="158"/>
      <c r="BQ285" s="158"/>
      <c r="BR285" s="158"/>
      <c r="BS285" s="158"/>
      <c r="BT285" s="158"/>
      <c r="BU285" s="158"/>
      <c r="BV285" s="158"/>
      <c r="BW285" s="158"/>
      <c r="BX285" s="158"/>
      <c r="BY285" s="158"/>
      <c r="BZ285" s="814"/>
      <c r="CA285" s="814"/>
      <c r="CB285" s="809"/>
      <c r="CC285" s="178"/>
      <c r="CD285" s="154"/>
      <c r="CE285" s="154"/>
      <c r="CF285" s="154"/>
    </row>
    <row r="286" spans="38:84" ht="19.5" customHeight="1">
      <c r="AL286" s="241"/>
      <c r="AX286" s="662" t="s">
        <v>3080</v>
      </c>
      <c r="AY286" s="664" t="s">
        <v>3081</v>
      </c>
      <c r="AZ286" s="662" t="s">
        <v>3082</v>
      </c>
      <c r="BA286" s="667" t="s">
        <v>3083</v>
      </c>
      <c r="BB286" s="158"/>
      <c r="BC286" s="666" t="s">
        <v>3084</v>
      </c>
      <c r="BD286" s="666" t="s">
        <v>3085</v>
      </c>
      <c r="BE286" s="667" t="s">
        <v>3086</v>
      </c>
      <c r="BF286" s="666" t="s">
        <v>3087</v>
      </c>
      <c r="BG286" s="666" t="s">
        <v>3088</v>
      </c>
      <c r="BH286" s="667" t="s">
        <v>3089</v>
      </c>
      <c r="BI286" s="666" t="s">
        <v>3090</v>
      </c>
      <c r="BJ286" s="667" t="s">
        <v>3091</v>
      </c>
      <c r="BK286" s="158"/>
      <c r="BL286" s="158"/>
      <c r="BM286" s="158"/>
      <c r="BN286" s="158"/>
      <c r="BO286" s="158"/>
      <c r="BP286" s="158"/>
      <c r="BQ286" s="158"/>
      <c r="BR286" s="158"/>
      <c r="BS286" s="158"/>
      <c r="BT286" s="158"/>
      <c r="BU286" s="158"/>
      <c r="BV286" s="158"/>
      <c r="BW286" s="158"/>
      <c r="BX286" s="158"/>
      <c r="BY286" s="158"/>
      <c r="BZ286" s="814"/>
      <c r="CA286" s="814"/>
      <c r="CB286" s="809"/>
      <c r="CC286" s="178"/>
      <c r="CD286" s="154"/>
      <c r="CE286" s="154"/>
      <c r="CF286" s="154"/>
    </row>
    <row r="287" spans="38:84" ht="19.5" customHeight="1">
      <c r="AL287" s="241"/>
      <c r="AX287" s="662" t="s">
        <v>3092</v>
      </c>
      <c r="AY287" s="664" t="s">
        <v>3093</v>
      </c>
      <c r="AZ287" s="662" t="s">
        <v>3094</v>
      </c>
      <c r="BA287" s="667" t="s">
        <v>3095</v>
      </c>
      <c r="BB287" s="158"/>
      <c r="BC287" s="666" t="s">
        <v>3096</v>
      </c>
      <c r="BD287" s="666" t="s">
        <v>3097</v>
      </c>
      <c r="BE287" s="667" t="s">
        <v>3098</v>
      </c>
      <c r="BF287" s="666" t="s">
        <v>3099</v>
      </c>
      <c r="BG287" s="666" t="s">
        <v>3100</v>
      </c>
      <c r="BH287" s="667" t="s">
        <v>3101</v>
      </c>
      <c r="BI287" s="666" t="s">
        <v>3102</v>
      </c>
      <c r="BJ287" s="667" t="s">
        <v>3103</v>
      </c>
      <c r="BK287" s="158"/>
      <c r="BL287" s="158"/>
      <c r="BM287" s="158"/>
      <c r="BN287" s="158"/>
      <c r="BO287" s="158"/>
      <c r="BP287" s="158"/>
      <c r="BQ287" s="158"/>
      <c r="BR287" s="158"/>
      <c r="BS287" s="158"/>
      <c r="BT287" s="158"/>
      <c r="BU287" s="158"/>
      <c r="BV287" s="158"/>
      <c r="BW287" s="158"/>
      <c r="BX287" s="158"/>
      <c r="BY287" s="158"/>
      <c r="BZ287" s="814"/>
      <c r="CA287" s="814"/>
      <c r="CB287" s="809"/>
      <c r="CC287" s="178"/>
      <c r="CD287" s="154"/>
      <c r="CE287" s="154"/>
      <c r="CF287" s="154"/>
    </row>
    <row r="288" spans="38:84" ht="19.5" customHeight="1">
      <c r="AL288" s="241"/>
      <c r="AX288" s="662" t="s">
        <v>3104</v>
      </c>
      <c r="AY288" s="664" t="s">
        <v>3105</v>
      </c>
      <c r="AZ288" s="662" t="s">
        <v>3106</v>
      </c>
      <c r="BA288" s="667" t="s">
        <v>3107</v>
      </c>
      <c r="BB288" s="158"/>
      <c r="BC288" s="666" t="s">
        <v>3108</v>
      </c>
      <c r="BD288" s="666" t="s">
        <v>3109</v>
      </c>
      <c r="BE288" s="667" t="s">
        <v>3110</v>
      </c>
      <c r="BF288" s="668" t="s">
        <v>3111</v>
      </c>
      <c r="BG288" s="666" t="s">
        <v>3112</v>
      </c>
      <c r="BH288" s="667" t="s">
        <v>3113</v>
      </c>
      <c r="BI288" s="666" t="s">
        <v>3114</v>
      </c>
      <c r="BJ288" s="667" t="s">
        <v>3115</v>
      </c>
      <c r="BK288" s="158"/>
      <c r="BL288" s="158"/>
      <c r="BM288" s="158"/>
      <c r="BN288" s="158"/>
      <c r="BO288" s="158"/>
      <c r="BP288" s="158"/>
      <c r="BQ288" s="158"/>
      <c r="BR288" s="158"/>
      <c r="BS288" s="158"/>
      <c r="BT288" s="158"/>
      <c r="BU288" s="158"/>
      <c r="BV288" s="158"/>
      <c r="BW288" s="158"/>
      <c r="BX288" s="158"/>
      <c r="BY288" s="158"/>
      <c r="BZ288" s="814"/>
      <c r="CA288" s="814"/>
      <c r="CB288" s="809"/>
      <c r="CC288" s="178"/>
      <c r="CD288" s="154"/>
      <c r="CE288" s="154"/>
      <c r="CF288" s="154"/>
    </row>
    <row r="289" spans="38:84" ht="19.5" customHeight="1">
      <c r="AL289" s="241"/>
      <c r="AX289" s="662" t="s">
        <v>3116</v>
      </c>
      <c r="AY289" s="787" t="s">
        <v>3117</v>
      </c>
      <c r="AZ289" s="662" t="s">
        <v>3118</v>
      </c>
      <c r="BA289" s="667" t="s">
        <v>3119</v>
      </c>
      <c r="BB289" s="158"/>
      <c r="BC289" s="668" t="s">
        <v>3120</v>
      </c>
      <c r="BD289" s="666" t="s">
        <v>3121</v>
      </c>
      <c r="BE289" s="667" t="s">
        <v>3122</v>
      </c>
      <c r="BF289" s="158"/>
      <c r="BG289" s="666" t="s">
        <v>3123</v>
      </c>
      <c r="BH289" s="667" t="s">
        <v>3124</v>
      </c>
      <c r="BI289" s="666" t="s">
        <v>3125</v>
      </c>
      <c r="BJ289" s="667" t="s">
        <v>3126</v>
      </c>
      <c r="BK289" s="158"/>
      <c r="BL289" s="158"/>
      <c r="BM289" s="158"/>
      <c r="BN289" s="158"/>
      <c r="BO289" s="158"/>
      <c r="BP289" s="158"/>
      <c r="BQ289" s="158"/>
      <c r="BR289" s="158"/>
      <c r="BS289" s="158"/>
      <c r="BT289" s="158"/>
      <c r="BU289" s="158"/>
      <c r="BV289" s="158"/>
      <c r="BW289" s="158"/>
      <c r="BX289" s="158"/>
      <c r="BY289" s="158"/>
      <c r="BZ289" s="814"/>
      <c r="CA289" s="814"/>
      <c r="CB289" s="809"/>
      <c r="CC289" s="178"/>
      <c r="CD289" s="154"/>
      <c r="CE289" s="154"/>
      <c r="CF289" s="154"/>
    </row>
    <row r="290" spans="38:84" ht="19.5" customHeight="1">
      <c r="AL290" s="241"/>
      <c r="AX290" s="662" t="s">
        <v>3127</v>
      </c>
      <c r="AY290" s="166"/>
      <c r="AZ290" s="662" t="s">
        <v>3128</v>
      </c>
      <c r="BA290" s="669" t="s">
        <v>3129</v>
      </c>
      <c r="BB290" s="158"/>
      <c r="BC290" s="158"/>
      <c r="BD290" s="666" t="s">
        <v>3130</v>
      </c>
      <c r="BE290" s="667" t="s">
        <v>3131</v>
      </c>
      <c r="BF290" s="158"/>
      <c r="BG290" s="666" t="s">
        <v>3132</v>
      </c>
      <c r="BH290" s="667" t="s">
        <v>3133</v>
      </c>
      <c r="BI290" s="668" t="s">
        <v>3134</v>
      </c>
      <c r="BJ290" s="667" t="s">
        <v>3135</v>
      </c>
      <c r="BK290" s="158"/>
      <c r="BL290" s="158"/>
      <c r="BM290" s="158"/>
      <c r="BN290" s="158"/>
      <c r="BO290" s="158"/>
      <c r="BP290" s="158"/>
      <c r="BQ290" s="158"/>
      <c r="BR290" s="158"/>
      <c r="BS290" s="158"/>
      <c r="BT290" s="158"/>
      <c r="BU290" s="158"/>
      <c r="BV290" s="158"/>
      <c r="BW290" s="158"/>
      <c r="BX290" s="158"/>
      <c r="BY290" s="158"/>
      <c r="BZ290" s="814"/>
      <c r="CA290" s="814"/>
      <c r="CB290" s="809"/>
      <c r="CC290" s="178"/>
      <c r="CD290" s="154"/>
      <c r="CE290" s="154"/>
      <c r="CF290" s="154"/>
    </row>
    <row r="291" spans="38:84" ht="19.5" customHeight="1">
      <c r="AL291" s="241"/>
      <c r="AX291" s="662" t="s">
        <v>3136</v>
      </c>
      <c r="AY291" s="166"/>
      <c r="AZ291" s="662" t="s">
        <v>3137</v>
      </c>
      <c r="BA291" s="158"/>
      <c r="BB291" s="158"/>
      <c r="BC291" s="158"/>
      <c r="BD291" s="668" t="s">
        <v>3138</v>
      </c>
      <c r="BE291" s="667" t="s">
        <v>3139</v>
      </c>
      <c r="BF291" s="158"/>
      <c r="BG291" s="666" t="s">
        <v>3140</v>
      </c>
      <c r="BH291" s="667" t="s">
        <v>3141</v>
      </c>
      <c r="BI291" s="158"/>
      <c r="BJ291" s="667" t="s">
        <v>3142</v>
      </c>
      <c r="BK291" s="158"/>
      <c r="BL291" s="158"/>
      <c r="BM291" s="158"/>
      <c r="BN291" s="158"/>
      <c r="BO291" s="158"/>
      <c r="BP291" s="158"/>
      <c r="BQ291" s="158"/>
      <c r="BR291" s="158"/>
      <c r="BS291" s="158"/>
      <c r="BT291" s="158"/>
      <c r="BU291" s="158"/>
      <c r="BV291" s="158"/>
      <c r="BW291" s="158"/>
      <c r="BX291" s="158"/>
      <c r="BY291" s="158"/>
      <c r="BZ291" s="814"/>
      <c r="CA291" s="814"/>
      <c r="CB291" s="809"/>
      <c r="CC291" s="178"/>
      <c r="CD291" s="154"/>
      <c r="CE291" s="154"/>
      <c r="CF291" s="154"/>
    </row>
    <row r="292" spans="38:84" ht="19.5" customHeight="1">
      <c r="AL292" s="241"/>
      <c r="AX292" s="662" t="s">
        <v>3143</v>
      </c>
      <c r="AY292" s="166"/>
      <c r="AZ292" s="662" t="s">
        <v>3144</v>
      </c>
      <c r="BA292" s="158"/>
      <c r="BB292" s="158"/>
      <c r="BC292" s="158"/>
      <c r="BD292" s="158"/>
      <c r="BE292" s="667" t="s">
        <v>3145</v>
      </c>
      <c r="BF292" s="158"/>
      <c r="BG292" s="666" t="s">
        <v>3146</v>
      </c>
      <c r="BH292" s="667" t="s">
        <v>3147</v>
      </c>
      <c r="BI292" s="158"/>
      <c r="BJ292" s="667" t="s">
        <v>3148</v>
      </c>
      <c r="BK292" s="158"/>
      <c r="BL292" s="158"/>
      <c r="BM292" s="158"/>
      <c r="BN292" s="158"/>
      <c r="BO292" s="158"/>
      <c r="BP292" s="158"/>
      <c r="BQ292" s="158"/>
      <c r="BR292" s="158"/>
      <c r="BS292" s="158"/>
      <c r="BT292" s="158"/>
      <c r="BU292" s="158"/>
      <c r="BV292" s="158"/>
      <c r="BW292" s="158"/>
      <c r="BX292" s="158"/>
      <c r="BY292" s="158"/>
      <c r="BZ292" s="814"/>
      <c r="CA292" s="814"/>
      <c r="CB292" s="809"/>
      <c r="CC292" s="178"/>
      <c r="CD292" s="154"/>
      <c r="CE292" s="154"/>
      <c r="CF292" s="154"/>
    </row>
    <row r="293" spans="38:84" ht="19.5" customHeight="1">
      <c r="AL293" s="241"/>
      <c r="AX293" s="665" t="s">
        <v>3149</v>
      </c>
      <c r="AY293" s="166"/>
      <c r="AZ293" s="662" t="s">
        <v>3150</v>
      </c>
      <c r="BA293" s="158"/>
      <c r="BB293" s="158"/>
      <c r="BC293" s="158"/>
      <c r="BD293" s="158"/>
      <c r="BE293" s="667" t="s">
        <v>3151</v>
      </c>
      <c r="BF293" s="158"/>
      <c r="BG293" s="666" t="s">
        <v>3152</v>
      </c>
      <c r="BH293" s="667" t="s">
        <v>3153</v>
      </c>
      <c r="BI293" s="158"/>
      <c r="BJ293" s="669" t="s">
        <v>3154</v>
      </c>
      <c r="BK293" s="158"/>
      <c r="BL293" s="158"/>
      <c r="BM293" s="158"/>
      <c r="BN293" s="158"/>
      <c r="BO293" s="158"/>
      <c r="BP293" s="158"/>
      <c r="BQ293" s="158"/>
      <c r="BR293" s="158"/>
      <c r="BS293" s="158"/>
      <c r="BT293" s="158"/>
      <c r="BU293" s="158"/>
      <c r="BV293" s="158"/>
      <c r="BW293" s="158"/>
      <c r="BX293" s="158"/>
      <c r="BY293" s="158"/>
      <c r="BZ293" s="814"/>
      <c r="CA293" s="814"/>
      <c r="CB293" s="809"/>
      <c r="CC293" s="178"/>
      <c r="CD293" s="154"/>
      <c r="CE293" s="154"/>
      <c r="CF293" s="154"/>
    </row>
    <row r="294" spans="38:84" ht="19.5" customHeight="1">
      <c r="AL294" s="241"/>
      <c r="AX294" s="166"/>
      <c r="AY294" s="166"/>
      <c r="AZ294" s="662" t="s">
        <v>3155</v>
      </c>
      <c r="BA294" s="158"/>
      <c r="BB294" s="158"/>
      <c r="BC294" s="158"/>
      <c r="BD294" s="158"/>
      <c r="BE294" s="669" t="s">
        <v>3156</v>
      </c>
      <c r="BF294" s="158"/>
      <c r="BG294" s="666" t="s">
        <v>3157</v>
      </c>
      <c r="BH294" s="667" t="s">
        <v>3158</v>
      </c>
      <c r="BI294" s="158"/>
      <c r="BJ294" s="158"/>
      <c r="BK294" s="158"/>
      <c r="BL294" s="158"/>
      <c r="BM294" s="158"/>
      <c r="BN294" s="158"/>
      <c r="BO294" s="158"/>
      <c r="BP294" s="158"/>
      <c r="BQ294" s="158"/>
      <c r="BR294" s="158"/>
      <c r="BS294" s="158"/>
      <c r="BT294" s="158"/>
      <c r="BU294" s="158"/>
      <c r="BV294" s="158"/>
      <c r="BW294" s="158"/>
      <c r="BX294" s="158"/>
      <c r="BY294" s="158"/>
      <c r="BZ294" s="814"/>
      <c r="CA294" s="814"/>
      <c r="CB294" s="809"/>
      <c r="CC294" s="178"/>
      <c r="CD294" s="154"/>
      <c r="CE294" s="154"/>
      <c r="CF294" s="154"/>
    </row>
    <row r="295" spans="38:84" ht="19.5" customHeight="1">
      <c r="AL295" s="241"/>
      <c r="AX295" s="166"/>
      <c r="AY295" s="166"/>
      <c r="AZ295" s="662" t="s">
        <v>3159</v>
      </c>
      <c r="BA295" s="158"/>
      <c r="BB295" s="158"/>
      <c r="BC295" s="158"/>
      <c r="BD295" s="158"/>
      <c r="BE295" s="158"/>
      <c r="BF295" s="158"/>
      <c r="BG295" s="666" t="s">
        <v>3160</v>
      </c>
      <c r="BH295" s="667" t="s">
        <v>3161</v>
      </c>
      <c r="BI295" s="158"/>
      <c r="BJ295" s="158"/>
      <c r="BK295" s="158"/>
      <c r="BL295" s="158"/>
      <c r="BM295" s="158"/>
      <c r="BN295" s="158"/>
      <c r="BO295" s="158"/>
      <c r="BP295" s="158"/>
      <c r="BQ295" s="158"/>
      <c r="BR295" s="158"/>
      <c r="BS295" s="158"/>
      <c r="BT295" s="158"/>
      <c r="BU295" s="158"/>
      <c r="BV295" s="158"/>
      <c r="BW295" s="158"/>
      <c r="BX295" s="158"/>
      <c r="BY295" s="158"/>
      <c r="BZ295" s="814"/>
      <c r="CA295" s="814"/>
      <c r="CB295" s="809"/>
      <c r="CC295" s="178"/>
      <c r="CD295" s="154"/>
      <c r="CE295" s="154"/>
      <c r="CF295" s="154"/>
    </row>
    <row r="296" spans="38:84" ht="19.5" customHeight="1">
      <c r="AL296" s="241"/>
      <c r="AX296" s="166"/>
      <c r="AY296" s="166"/>
      <c r="AZ296" s="662" t="s">
        <v>3162</v>
      </c>
      <c r="BA296" s="158"/>
      <c r="BB296" s="158"/>
      <c r="BC296" s="158"/>
      <c r="BD296" s="158"/>
      <c r="BE296" s="158"/>
      <c r="BF296" s="158"/>
      <c r="BG296" s="666" t="s">
        <v>3163</v>
      </c>
      <c r="BH296" s="667" t="s">
        <v>3164</v>
      </c>
      <c r="BI296" s="158"/>
      <c r="BJ296" s="158"/>
      <c r="BK296" s="158"/>
      <c r="BL296" s="158"/>
      <c r="BM296" s="158"/>
      <c r="BN296" s="158"/>
      <c r="BO296" s="158"/>
      <c r="BP296" s="158"/>
      <c r="BQ296" s="158"/>
      <c r="BR296" s="158"/>
      <c r="BS296" s="158"/>
      <c r="BT296" s="158"/>
      <c r="BU296" s="158"/>
      <c r="BV296" s="158"/>
      <c r="BW296" s="158"/>
      <c r="BX296" s="158"/>
      <c r="BY296" s="158"/>
      <c r="BZ296" s="814"/>
      <c r="CA296" s="814"/>
      <c r="CB296" s="809"/>
      <c r="CC296" s="178"/>
      <c r="CD296" s="154"/>
      <c r="CE296" s="154"/>
      <c r="CF296" s="154"/>
    </row>
    <row r="297" spans="38:84" ht="19.5" customHeight="1">
      <c r="AL297" s="241"/>
      <c r="AX297" s="166"/>
      <c r="AY297" s="166"/>
      <c r="AZ297" s="665" t="s">
        <v>3165</v>
      </c>
      <c r="BA297" s="158"/>
      <c r="BB297" s="158"/>
      <c r="BC297" s="158"/>
      <c r="BD297" s="158"/>
      <c r="BE297" s="158"/>
      <c r="BF297" s="158"/>
      <c r="BG297" s="666" t="s">
        <v>3166</v>
      </c>
      <c r="BH297" s="667" t="s">
        <v>3167</v>
      </c>
      <c r="BI297" s="158"/>
      <c r="BJ297" s="158"/>
      <c r="BK297" s="158"/>
      <c r="BL297" s="158"/>
      <c r="BM297" s="158"/>
      <c r="BN297" s="158"/>
      <c r="BO297" s="158"/>
      <c r="BP297" s="158"/>
      <c r="BQ297" s="158"/>
      <c r="BR297" s="158"/>
      <c r="BS297" s="158"/>
      <c r="BT297" s="158"/>
      <c r="BU297" s="158"/>
      <c r="BV297" s="158"/>
      <c r="BW297" s="158"/>
      <c r="BX297" s="158"/>
      <c r="BY297" s="158"/>
      <c r="BZ297" s="814"/>
      <c r="CA297" s="814"/>
      <c r="CB297" s="809"/>
      <c r="CC297" s="178"/>
      <c r="CD297" s="154"/>
      <c r="CE297" s="154"/>
      <c r="CF297" s="154"/>
    </row>
    <row r="298" spans="38:84" ht="19.5" customHeight="1">
      <c r="AL298" s="241"/>
      <c r="AX298" s="166"/>
      <c r="AY298" s="166"/>
      <c r="AZ298" s="166"/>
      <c r="BA298" s="158"/>
      <c r="BB298" s="158"/>
      <c r="BC298" s="158"/>
      <c r="BD298" s="158"/>
      <c r="BE298" s="158"/>
      <c r="BF298" s="158"/>
      <c r="BG298" s="666" t="s">
        <v>3168</v>
      </c>
      <c r="BH298" s="667" t="s">
        <v>3169</v>
      </c>
      <c r="BI298" s="158"/>
      <c r="BJ298" s="158"/>
      <c r="BK298" s="158"/>
      <c r="BL298" s="158"/>
      <c r="BM298" s="158"/>
      <c r="BN298" s="158"/>
      <c r="BO298" s="158"/>
      <c r="BP298" s="158"/>
      <c r="BQ298" s="158"/>
      <c r="BR298" s="158"/>
      <c r="BS298" s="158"/>
      <c r="BT298" s="158"/>
      <c r="BU298" s="158"/>
      <c r="BV298" s="158"/>
      <c r="BW298" s="158"/>
      <c r="BX298" s="158"/>
      <c r="BY298" s="158"/>
      <c r="BZ298" s="814"/>
      <c r="CA298" s="814"/>
      <c r="CB298" s="809"/>
      <c r="CC298" s="178"/>
      <c r="CD298" s="154"/>
      <c r="CE298" s="154"/>
      <c r="CF298" s="154"/>
    </row>
    <row r="299" spans="38:84" ht="19.5" customHeight="1">
      <c r="AL299" s="241"/>
      <c r="AX299" s="166"/>
      <c r="AY299" s="166"/>
      <c r="AZ299" s="166"/>
      <c r="BA299" s="158"/>
      <c r="BB299" s="158"/>
      <c r="BC299" s="158"/>
      <c r="BD299" s="158"/>
      <c r="BE299" s="158"/>
      <c r="BF299" s="158"/>
      <c r="BG299" s="666" t="s">
        <v>3170</v>
      </c>
      <c r="BH299" s="667" t="s">
        <v>3171</v>
      </c>
      <c r="BI299" s="158"/>
      <c r="BJ299" s="158"/>
      <c r="BK299" s="158"/>
      <c r="BL299" s="158"/>
      <c r="BM299" s="158"/>
      <c r="BN299" s="158"/>
      <c r="BO299" s="158"/>
      <c r="BP299" s="158"/>
      <c r="BQ299" s="158"/>
      <c r="BR299" s="158"/>
      <c r="BS299" s="158"/>
      <c r="BT299" s="158"/>
      <c r="BU299" s="158"/>
      <c r="BV299" s="158"/>
      <c r="BW299" s="158"/>
      <c r="BX299" s="158"/>
      <c r="BY299" s="158"/>
      <c r="BZ299" s="814"/>
      <c r="CA299" s="814"/>
      <c r="CB299" s="809"/>
      <c r="CC299" s="178"/>
      <c r="CD299" s="154"/>
      <c r="CE299" s="154"/>
      <c r="CF299" s="154"/>
    </row>
    <row r="300" spans="38:84" ht="19.5" customHeight="1">
      <c r="AL300" s="241"/>
      <c r="AX300" s="166"/>
      <c r="AY300" s="166"/>
      <c r="AZ300" s="166"/>
      <c r="BA300" s="158"/>
      <c r="BB300" s="158"/>
      <c r="BC300" s="158"/>
      <c r="BD300" s="158"/>
      <c r="BE300" s="158"/>
      <c r="BF300" s="158"/>
      <c r="BG300" s="666" t="s">
        <v>3172</v>
      </c>
      <c r="BH300" s="667" t="s">
        <v>3173</v>
      </c>
      <c r="BI300" s="158"/>
      <c r="BJ300" s="158"/>
      <c r="BK300" s="158"/>
      <c r="BL300" s="158"/>
      <c r="BM300" s="158"/>
      <c r="BN300" s="158"/>
      <c r="BO300" s="158"/>
      <c r="BP300" s="158"/>
      <c r="BQ300" s="158"/>
      <c r="BR300" s="158"/>
      <c r="BS300" s="158"/>
      <c r="BT300" s="158"/>
      <c r="BU300" s="158"/>
      <c r="BV300" s="158"/>
      <c r="BW300" s="158"/>
      <c r="BX300" s="158"/>
      <c r="BY300" s="158"/>
      <c r="BZ300" s="814"/>
      <c r="CA300" s="814"/>
      <c r="CB300" s="809"/>
      <c r="CC300" s="178"/>
      <c r="CD300" s="154"/>
      <c r="CE300" s="154"/>
      <c r="CF300" s="154"/>
    </row>
    <row r="301" spans="38:84" ht="19.5" customHeight="1">
      <c r="AL301" s="241"/>
      <c r="AX301" s="166"/>
      <c r="AY301" s="166"/>
      <c r="AZ301" s="166"/>
      <c r="BA301" s="158"/>
      <c r="BB301" s="158"/>
      <c r="BC301" s="158"/>
      <c r="BD301" s="158"/>
      <c r="BE301" s="158"/>
      <c r="BF301" s="158"/>
      <c r="BG301" s="666" t="s">
        <v>3174</v>
      </c>
      <c r="BH301" s="667" t="s">
        <v>3175</v>
      </c>
      <c r="BI301" s="158"/>
      <c r="BJ301" s="158"/>
      <c r="BK301" s="158"/>
      <c r="BL301" s="158"/>
      <c r="BM301" s="158"/>
      <c r="BN301" s="158"/>
      <c r="BO301" s="158"/>
      <c r="BP301" s="158"/>
      <c r="BQ301" s="158"/>
      <c r="BR301" s="158"/>
      <c r="BS301" s="158"/>
      <c r="BT301" s="158"/>
      <c r="BU301" s="158"/>
      <c r="BV301" s="158"/>
      <c r="BW301" s="158"/>
      <c r="BX301" s="158"/>
      <c r="BY301" s="158"/>
      <c r="BZ301" s="814"/>
      <c r="CA301" s="814"/>
      <c r="CB301" s="809"/>
      <c r="CC301" s="178"/>
      <c r="CD301" s="154"/>
      <c r="CE301" s="154"/>
      <c r="CF301" s="154"/>
    </row>
    <row r="302" spans="38:84" ht="19.5" customHeight="1">
      <c r="AL302" s="241"/>
      <c r="AX302" s="166"/>
      <c r="AY302" s="166"/>
      <c r="AZ302" s="166"/>
      <c r="BA302" s="158"/>
      <c r="BB302" s="158"/>
      <c r="BC302" s="158"/>
      <c r="BD302" s="158"/>
      <c r="BE302" s="158"/>
      <c r="BF302" s="158"/>
      <c r="BG302" s="666" t="s">
        <v>3176</v>
      </c>
      <c r="BH302" s="667" t="s">
        <v>3177</v>
      </c>
      <c r="BI302" s="158"/>
      <c r="BJ302" s="158"/>
      <c r="BK302" s="158"/>
      <c r="BL302" s="158"/>
      <c r="BM302" s="158"/>
      <c r="BN302" s="158"/>
      <c r="BO302" s="158"/>
      <c r="BP302" s="158"/>
      <c r="BQ302" s="158"/>
      <c r="BR302" s="158"/>
      <c r="BS302" s="158"/>
      <c r="BT302" s="158"/>
      <c r="BU302" s="158"/>
      <c r="BV302" s="158"/>
      <c r="BW302" s="158"/>
      <c r="BX302" s="158"/>
      <c r="BY302" s="158"/>
      <c r="BZ302" s="814"/>
      <c r="CA302" s="814"/>
      <c r="CB302" s="809"/>
      <c r="CC302" s="178"/>
      <c r="CD302" s="154"/>
      <c r="CE302" s="154"/>
      <c r="CF302" s="154"/>
    </row>
    <row r="303" spans="38:84" ht="19.5" customHeight="1">
      <c r="AL303" s="241"/>
      <c r="AX303" s="166"/>
      <c r="AY303" s="166"/>
      <c r="AZ303" s="166"/>
      <c r="BA303" s="158"/>
      <c r="BB303" s="158"/>
      <c r="BC303" s="158"/>
      <c r="BD303" s="158"/>
      <c r="BE303" s="158"/>
      <c r="BF303" s="158"/>
      <c r="BG303" s="666" t="s">
        <v>3178</v>
      </c>
      <c r="BH303" s="667" t="s">
        <v>3179</v>
      </c>
      <c r="BI303" s="158"/>
      <c r="BJ303" s="158"/>
      <c r="BK303" s="158"/>
      <c r="BL303" s="158"/>
      <c r="BM303" s="158"/>
      <c r="BN303" s="158"/>
      <c r="BO303" s="158"/>
      <c r="BP303" s="158"/>
      <c r="BQ303" s="158"/>
      <c r="BR303" s="158"/>
      <c r="BS303" s="158"/>
      <c r="BT303" s="158"/>
      <c r="BU303" s="158"/>
      <c r="BV303" s="158"/>
      <c r="BW303" s="158"/>
      <c r="BX303" s="158"/>
      <c r="BY303" s="158"/>
      <c r="BZ303" s="814"/>
      <c r="CA303" s="814"/>
      <c r="CB303" s="809"/>
      <c r="CC303" s="178"/>
      <c r="CD303" s="154"/>
      <c r="CE303" s="154"/>
      <c r="CF303" s="154"/>
    </row>
    <row r="304" spans="38:84" ht="19.5" customHeight="1">
      <c r="AL304" s="241"/>
      <c r="AX304" s="166"/>
      <c r="AY304" s="166"/>
      <c r="AZ304" s="166"/>
      <c r="BA304" s="158"/>
      <c r="BB304" s="158"/>
      <c r="BC304" s="158"/>
      <c r="BD304" s="158"/>
      <c r="BE304" s="158"/>
      <c r="BF304" s="158"/>
      <c r="BG304" s="666" t="s">
        <v>3180</v>
      </c>
      <c r="BH304" s="667" t="s">
        <v>3181</v>
      </c>
      <c r="BI304" s="158"/>
      <c r="BJ304" s="158"/>
      <c r="BK304" s="158"/>
      <c r="BL304" s="158"/>
      <c r="BM304" s="158"/>
      <c r="BN304" s="158"/>
      <c r="BO304" s="158"/>
      <c r="BP304" s="158"/>
      <c r="BQ304" s="158"/>
      <c r="BR304" s="158"/>
      <c r="BS304" s="158"/>
      <c r="BT304" s="158"/>
      <c r="BU304" s="158"/>
      <c r="BV304" s="158"/>
      <c r="BW304" s="158"/>
      <c r="BX304" s="158"/>
      <c r="BY304" s="158"/>
      <c r="BZ304" s="814"/>
      <c r="CA304" s="814"/>
      <c r="CB304" s="809"/>
      <c r="CC304" s="178"/>
      <c r="CD304" s="154"/>
      <c r="CE304" s="154"/>
      <c r="CF304" s="154"/>
    </row>
    <row r="305" spans="38:84" ht="19.5" customHeight="1">
      <c r="AL305" s="241"/>
      <c r="AX305" s="166"/>
      <c r="AY305" s="166"/>
      <c r="AZ305" s="166"/>
      <c r="BA305" s="158"/>
      <c r="BB305" s="158"/>
      <c r="BC305" s="158"/>
      <c r="BD305" s="158"/>
      <c r="BE305" s="158"/>
      <c r="BF305" s="158"/>
      <c r="BG305" s="668" t="s">
        <v>3182</v>
      </c>
      <c r="BH305" s="667" t="s">
        <v>3183</v>
      </c>
      <c r="BI305" s="158"/>
      <c r="BJ305" s="158"/>
      <c r="BK305" s="158"/>
      <c r="BL305" s="158"/>
      <c r="BM305" s="158"/>
      <c r="BN305" s="158"/>
      <c r="BO305" s="158"/>
      <c r="BP305" s="158"/>
      <c r="BQ305" s="158"/>
      <c r="BR305" s="158"/>
      <c r="BS305" s="158"/>
      <c r="BT305" s="158"/>
      <c r="BU305" s="158"/>
      <c r="BV305" s="158"/>
      <c r="BW305" s="158"/>
      <c r="BX305" s="158"/>
      <c r="BY305" s="158"/>
      <c r="BZ305" s="814"/>
      <c r="CA305" s="814"/>
      <c r="CB305" s="809"/>
      <c r="CC305" s="178"/>
      <c r="CD305" s="154"/>
      <c r="CE305" s="154"/>
      <c r="CF305" s="154"/>
    </row>
    <row r="306" spans="38:84" ht="19.5" customHeight="1">
      <c r="AL306" s="241"/>
      <c r="AX306" s="166"/>
      <c r="AY306" s="166"/>
      <c r="AZ306" s="166"/>
      <c r="BA306" s="158"/>
      <c r="BB306" s="158"/>
      <c r="BC306" s="158"/>
      <c r="BD306" s="158"/>
      <c r="BE306" s="158"/>
      <c r="BF306" s="158"/>
      <c r="BG306" s="158"/>
      <c r="BH306" s="667" t="s">
        <v>3184</v>
      </c>
      <c r="BI306" s="158"/>
      <c r="BJ306" s="158"/>
      <c r="BK306" s="158"/>
      <c r="BL306" s="158"/>
      <c r="BM306" s="158"/>
      <c r="BN306" s="158"/>
      <c r="BO306" s="158"/>
      <c r="BP306" s="158"/>
      <c r="BQ306" s="158"/>
      <c r="BR306" s="158"/>
      <c r="BS306" s="158"/>
      <c r="BT306" s="158"/>
      <c r="BU306" s="158"/>
      <c r="BV306" s="158"/>
      <c r="BW306" s="158"/>
      <c r="BX306" s="158"/>
      <c r="BY306" s="158"/>
      <c r="BZ306" s="814"/>
      <c r="CA306" s="814"/>
      <c r="CB306" s="809"/>
      <c r="CC306" s="178"/>
      <c r="CD306" s="154"/>
      <c r="CE306" s="154"/>
      <c r="CF306" s="154"/>
    </row>
    <row r="307" spans="38:84" ht="19.5" customHeight="1">
      <c r="AL307" s="241"/>
      <c r="AX307" s="166"/>
      <c r="AY307" s="166"/>
      <c r="AZ307" s="166"/>
      <c r="BA307" s="158"/>
      <c r="BB307" s="158"/>
      <c r="BC307" s="158"/>
      <c r="BD307" s="158"/>
      <c r="BE307" s="158"/>
      <c r="BF307" s="158"/>
      <c r="BG307" s="158"/>
      <c r="BH307" s="667" t="s">
        <v>3185</v>
      </c>
      <c r="BI307" s="158"/>
      <c r="BJ307" s="158"/>
      <c r="BK307" s="158"/>
      <c r="BL307" s="158"/>
      <c r="BM307" s="158"/>
      <c r="BN307" s="158"/>
      <c r="BO307" s="158"/>
      <c r="BP307" s="158"/>
      <c r="BQ307" s="158"/>
      <c r="BR307" s="158"/>
      <c r="BS307" s="158"/>
      <c r="BT307" s="158"/>
      <c r="BU307" s="158"/>
      <c r="BV307" s="158"/>
      <c r="BW307" s="158"/>
      <c r="BX307" s="158"/>
      <c r="BY307" s="158"/>
      <c r="BZ307" s="814"/>
      <c r="CA307" s="814"/>
      <c r="CB307" s="809"/>
      <c r="CC307" s="178"/>
      <c r="CD307" s="154"/>
      <c r="CE307" s="154"/>
      <c r="CF307" s="154"/>
    </row>
    <row r="308" spans="38:84" ht="19.5" customHeight="1">
      <c r="AL308" s="241"/>
      <c r="AX308" s="166"/>
      <c r="AY308" s="166"/>
      <c r="AZ308" s="166"/>
      <c r="BA308" s="158"/>
      <c r="BB308" s="158"/>
      <c r="BC308" s="158"/>
      <c r="BD308" s="158"/>
      <c r="BE308" s="158"/>
      <c r="BF308" s="158"/>
      <c r="BG308" s="158"/>
      <c r="BH308" s="667" t="s">
        <v>3186</v>
      </c>
      <c r="BI308" s="158"/>
      <c r="BJ308" s="158"/>
      <c r="BK308" s="158"/>
      <c r="BL308" s="158"/>
      <c r="BM308" s="158"/>
      <c r="BN308" s="158"/>
      <c r="BO308" s="158"/>
      <c r="BP308" s="158"/>
      <c r="BQ308" s="158"/>
      <c r="BR308" s="158"/>
      <c r="BS308" s="158"/>
      <c r="BT308" s="158"/>
      <c r="BU308" s="158"/>
      <c r="BV308" s="158"/>
      <c r="BW308" s="158"/>
      <c r="BX308" s="158"/>
      <c r="BY308" s="158"/>
      <c r="BZ308" s="814"/>
      <c r="CA308" s="814"/>
      <c r="CB308" s="809"/>
      <c r="CC308" s="178"/>
      <c r="CD308" s="154"/>
      <c r="CE308" s="154"/>
      <c r="CF308" s="154"/>
    </row>
    <row r="309" spans="38:84" ht="19.5" customHeight="1">
      <c r="AX309" s="166"/>
      <c r="AY309" s="166"/>
      <c r="AZ309" s="166"/>
      <c r="BA309" s="158"/>
      <c r="BB309" s="158"/>
      <c r="BC309" s="158"/>
      <c r="BD309" s="158"/>
      <c r="BE309" s="158"/>
      <c r="BF309" s="158"/>
      <c r="BG309" s="158"/>
      <c r="BH309" s="667" t="s">
        <v>3187</v>
      </c>
      <c r="BI309" s="158"/>
      <c r="BJ309" s="158"/>
      <c r="BK309" s="158"/>
      <c r="BL309" s="158"/>
      <c r="BM309" s="158"/>
      <c r="BN309" s="158"/>
      <c r="BO309" s="158"/>
      <c r="BP309" s="158"/>
      <c r="BQ309" s="158"/>
      <c r="BR309" s="158"/>
      <c r="BS309" s="158"/>
      <c r="BT309" s="158"/>
      <c r="BU309" s="158"/>
      <c r="BV309" s="158"/>
      <c r="BW309" s="158"/>
      <c r="BX309" s="158"/>
      <c r="BY309" s="158"/>
      <c r="BZ309" s="814"/>
      <c r="CA309" s="814"/>
      <c r="CB309" s="809"/>
      <c r="CC309" s="178"/>
      <c r="CD309" s="154"/>
      <c r="CE309" s="154"/>
      <c r="CF309" s="154"/>
    </row>
    <row r="310" spans="38:84" ht="19.5" customHeight="1">
      <c r="AX310" s="166"/>
      <c r="AY310" s="166"/>
      <c r="AZ310" s="166"/>
      <c r="BA310" s="158"/>
      <c r="BB310" s="158"/>
      <c r="BC310" s="158"/>
      <c r="BD310" s="158"/>
      <c r="BE310" s="158"/>
      <c r="BF310" s="158"/>
      <c r="BG310" s="158"/>
      <c r="BH310" s="667" t="s">
        <v>3188</v>
      </c>
      <c r="BI310" s="158"/>
      <c r="BJ310" s="158"/>
      <c r="BK310" s="158"/>
      <c r="BL310" s="158"/>
      <c r="BM310" s="158"/>
      <c r="BN310" s="158"/>
      <c r="BO310" s="158"/>
      <c r="BP310" s="158"/>
      <c r="BQ310" s="158"/>
      <c r="BR310" s="158"/>
      <c r="BS310" s="158"/>
      <c r="BT310" s="158"/>
      <c r="BU310" s="158"/>
      <c r="BV310" s="158"/>
      <c r="BW310" s="158"/>
      <c r="BX310" s="158"/>
      <c r="BY310" s="158"/>
      <c r="BZ310" s="814"/>
      <c r="CA310" s="814"/>
      <c r="CB310" s="809"/>
      <c r="CC310" s="178"/>
      <c r="CD310" s="154"/>
      <c r="CE310" s="154"/>
      <c r="CF310" s="154"/>
    </row>
    <row r="311" spans="38:84" ht="19.5" customHeight="1">
      <c r="AX311" s="166"/>
      <c r="AY311" s="166"/>
      <c r="AZ311" s="166"/>
      <c r="BA311" s="158"/>
      <c r="BB311" s="158"/>
      <c r="BC311" s="158"/>
      <c r="BD311" s="158"/>
      <c r="BE311" s="158"/>
      <c r="BF311" s="158"/>
      <c r="BG311" s="158"/>
      <c r="BH311" s="667" t="s">
        <v>3189</v>
      </c>
      <c r="BI311" s="158"/>
      <c r="BJ311" s="158"/>
      <c r="BK311" s="158"/>
      <c r="BL311" s="158"/>
      <c r="BM311" s="158"/>
      <c r="BN311" s="158"/>
      <c r="BO311" s="158"/>
      <c r="BP311" s="158"/>
      <c r="BQ311" s="158"/>
      <c r="BR311" s="158"/>
      <c r="BS311" s="158"/>
      <c r="BT311" s="158"/>
      <c r="BU311" s="158"/>
      <c r="BV311" s="158"/>
      <c r="BW311" s="158"/>
      <c r="BX311" s="158"/>
      <c r="BY311" s="158"/>
      <c r="BZ311" s="814"/>
      <c r="CA311" s="814"/>
      <c r="CB311" s="809"/>
      <c r="CC311" s="178"/>
      <c r="CD311" s="154"/>
      <c r="CE311" s="154"/>
      <c r="CF311" s="154"/>
    </row>
    <row r="312" spans="38:84" ht="19.5" customHeight="1">
      <c r="AX312" s="166"/>
      <c r="AY312" s="166"/>
      <c r="AZ312" s="166"/>
      <c r="BA312" s="158"/>
      <c r="BB312" s="158"/>
      <c r="BC312" s="158"/>
      <c r="BD312" s="158"/>
      <c r="BE312" s="158"/>
      <c r="BF312" s="158"/>
      <c r="BG312" s="158"/>
      <c r="BH312" s="669" t="s">
        <v>3190</v>
      </c>
      <c r="BI312" s="158"/>
      <c r="BJ312" s="158"/>
      <c r="BK312" s="158"/>
      <c r="BL312" s="158"/>
      <c r="BM312" s="158"/>
      <c r="BN312" s="158"/>
      <c r="BO312" s="158"/>
      <c r="BP312" s="158"/>
      <c r="BQ312" s="158"/>
      <c r="BR312" s="158"/>
      <c r="BS312" s="158"/>
      <c r="BT312" s="158"/>
      <c r="BU312" s="158"/>
      <c r="BV312" s="158"/>
      <c r="BW312" s="158"/>
      <c r="BX312" s="158"/>
      <c r="BY312" s="158"/>
      <c r="BZ312" s="814"/>
      <c r="CA312" s="814"/>
      <c r="CB312" s="809"/>
      <c r="CC312" s="178"/>
      <c r="CD312" s="154"/>
      <c r="CE312" s="154"/>
      <c r="CF312" s="154"/>
    </row>
  </sheetData>
  <sheetProtection algorithmName="SHA-512" hashValue="U5nw5EtMUOWjQdP1AwYlF0KC2hguZeRaycNDNcp0BhonhF6Vz80C9kUyH5Y1WSiYaI+WRlGPYN/Rt/QZ5bmP0w==" saltValue="X9eN+km0J8WWoUGys0bsnQ==" spinCount="100000" sheet="1" objects="1" scenarios="1" selectLockedCells="1" selectUnlockedCells="1"/>
  <protectedRanges>
    <protectedRange sqref="BK22 BG18:BJ22 BG89:BJ101" name="範囲1_4"/>
    <protectedRange sqref="Q93:Z93 AB93:AD93 L106:N106 C93:N93 AF93:AJ93 Q121:Z123 C121:N123 AF106:AJ108 AB106:AD108 Y108:Z110 AF110:AJ110 AH109:AJ109 AB110:AD110 AD109:AF109 AA109:AB109 Z107 AF121:AJ123 AB121:AD123 C11:L12" name="範囲1"/>
    <protectedRange sqref="AE95 AB95:AC95 AF96:AF97 AM98 AQ98:AS98 AA95:AA97 AG95:AI97 AB96:AD100 L98 R98:T98 N98:O98 L105:O105 AQ94:AS95 X98:Y98 AF100:AI100 AH98:AI98 AF99:AJ99 AM94:AM95 Q99:T101 Q105:T105 L99:O101" name="範囲1_8_2"/>
    <protectedRange sqref="L29:L33" name="範囲14_1"/>
    <protectedRange sqref="C101:C103 C24:I24 C94 C96:C99 D94:I103 C28:I33 C81:I81 C104:I106 C35:I38" name="範囲1_6_1"/>
    <protectedRange sqref="T95 J24:N24 AB20:AD24 AK98:AL98 AK99:AO100 AQ99:AS100 AF20:AJ24 V105:Z105 V98:W98 L94:Q94 M95:R95 AK95:AL95 AA94:AC94 AQ96:AS97 L96:P97 AK96:AO97 V99:Z101 J94:K101 Q20:Z24 J102:N104 Q102:Z104 AB101:AD105 J28:N28 Q28:Z28 J35:N38 Q39:Z39 J29:K33 AB28:AD28 AF28:AJ28 J81:N81 L39:N39 Q81:Z81 AB81:AD81 AF81:AJ81 AB39:AD39 AF39:AJ39 AF101:AJ105 J105:K106 V106:X106 Q106:S106 L20:N23" name="範囲1_9"/>
    <protectedRange sqref="C91:I92" name="範囲1_2_2_2"/>
    <protectedRange sqref="D124:I124" name="範囲1_8_4"/>
    <protectedRange sqref="L124:N124 C126:I148 Q124:T124 AF148:AJ148 AB148:AD148 J124:K125 Z131:AB131 AD131:AJ147 M140:N146 J140:K146 Q140:T146 V140:AB147 AA132:AB139 J148:N148 Q148:Z148" name="範囲1_10"/>
    <protectedRange sqref="J145:U146 L20:M24 AM94:AM95 AQ94:AT95 AE95 AB95:AC95 AB96:AF97 AM98 AQ98:AT98 AG95:AJ97 AA95:AA97 AB98:AE98 R98:U98 N98:O98 L98 AA94:AB94 X98:Y98 AH98:AJ98 AB99:AJ100 L105:U105 L28:M28 L35:M39 AA131:AC146 N91:N92 L81:M81 L99:U101 V106:W106 Q106:R106" name="範囲26"/>
    <protectedRange sqref="C107:K110 Q108:X110 Q107:Y107" name="範囲1_5"/>
    <protectedRange sqref="C39:I39" name="範囲1_6_1_1"/>
    <protectedRange sqref="J39:K39" name="範囲1_9_4"/>
    <protectedRange sqref="AB29:AD33 AF29:AJ33 Q29:Z33 AB35:AD38 AF35:AJ38 Q35:Z38" name="範囲1_9_6"/>
    <protectedRange sqref="J43:N43 J44:K49 J52:N55 AB43:AD49 AF43:AJ49 Q43:Z49 AB52:AD55 AF52:AJ55 Q52:Z55" name="範囲1_9_7"/>
    <protectedRange sqref="L43:M43 L52:M55" name="範囲26_2"/>
    <protectedRange sqref="C43:I43" name="範囲1_1_2_1_5_3"/>
    <protectedRange sqref="C45:I49 C52:I54" name="範囲1_2_2_1_5_2"/>
    <protectedRange sqref="C55:I55" name="範囲1_6_1_5_2"/>
    <protectedRange sqref="L44:L49" name="範囲14_1_2"/>
    <protectedRange sqref="O46:O49" name="範囲14_1_3"/>
    <protectedRange sqref="J59:N59 AB59:AD59 AF59:AJ59 Q59:Z59" name="範囲1_9_5"/>
    <protectedRange sqref="L59:M59" name="範囲26_1"/>
    <protectedRange sqref="C59:I59" name="範囲1_1_2_1_6_1"/>
    <protectedRange sqref="BG64:BJ65 BG67:BJ72" name="範囲1_4_1"/>
    <protectedRange sqref="C65:I70" name="範囲1_2_2_1_1"/>
    <protectedRange sqref="Q65:Y65 AB65:AE65 AG65:AH65 AP65:AS65 AJ65 AL65:AN65 Q69:Y70 AB69:AE70 AC67:AE67 AP69:AS70 AL69:AN70 Q66:X67 AG67:AH67 AJ67 AG69:AH70 AJ69:AJ70" name="範囲1_8_2_9"/>
    <protectedRange sqref="L65:L67 O66 L69:L70" name="範囲14_1_1"/>
    <protectedRange sqref="J65:K67 J69:K70" name="範囲1_9_15"/>
    <protectedRange sqref="Q65:Z65 AB65:AE65 AL65:AT65 AG65:AJ65 Q69:Z70 AB69:AE70 AC67:AE67 AL69:AT70 Q66:X67 AG67:AJ67 AG69:AJ70" name="範囲26_9"/>
    <protectedRange sqref="Y67 AB67" name="範囲1_8_2_12"/>
    <protectedRange sqref="Y67:Z67 AB67" name="範囲26_12"/>
    <protectedRange sqref="AP67:AS67 AL67:AN67" name="範囲1_8_2_13"/>
    <protectedRange sqref="AL67:AT67" name="範囲26_13"/>
    <protectedRange sqref="AP45:AS45 AL45 AN45" name="範囲1_8_2_15"/>
    <protectedRange sqref="AP45:AT45 AL45 AN45" name="範囲26_15"/>
    <protectedRange sqref="J132:K139 Q132:T139 V132:Z139 M132:N139" name="範囲1_10_1"/>
    <protectedRange sqref="AA149 AD149:AK149 AB150:AD151 AF150:AJ151 Q149:Z151 C149:N151" name="範囲1_10_2"/>
    <protectedRange sqref="L149 Y149" name="範囲26_19"/>
    <protectedRange sqref="C152:N153 Y152 AF152:AJ153 AB152:AD153 Q152:X153 Z152:Z153" name="範囲1_1_2"/>
    <protectedRange sqref="AF11:AJ12 Q11:Z12 AB11:AD12 M11:N12" name="範囲1_3"/>
    <protectedRange sqref="D13:I14 K13:P14" name="範囲1_8_1_4"/>
    <protectedRange sqref="C15:I15" name="範囲1_1_2_1_1"/>
    <protectedRange sqref="L15:N15 Q15:Z15 AB15:AD15 AF15:AJ15" name="範囲1_9_18"/>
    <protectedRange sqref="L15:M15" name="範囲26_22"/>
    <protectedRange sqref="Q13:AJ14" name="範囲1_9_2_2"/>
    <protectedRange sqref="C19:I19" name="範囲1_2_2_1_2"/>
    <protectedRange sqref="L16:L19 O16:O19" name="範囲14_1_7"/>
    <protectedRange sqref="J18:K19" name="範囲26_23"/>
    <protectedRange sqref="AK19" name="範囲1_8_2_1_2"/>
    <protectedRange sqref="AB16:AD19 AF16:AJ19 Q16:Z19" name="範囲1_9_3_2"/>
    <protectedRange sqref="D26:I26 K26:P26" name="範囲1_8_1_5"/>
    <protectedRange sqref="C25:I25" name="範囲1_6_1_7"/>
    <protectedRange sqref="J25:N25 AB25:AD25 AF25:AJ25 Q25:Z25" name="範囲1_9_19"/>
    <protectedRange sqref="L25:M25" name="範囲26_24"/>
    <protectedRange sqref="Q26:AJ27" name="範囲1_9_1_1"/>
    <protectedRange sqref="L34" name="範囲14_1_9"/>
    <protectedRange sqref="C34:I34" name="範囲1_6_1_8"/>
    <protectedRange sqref="J34:K34" name="範囲1_9_20"/>
    <protectedRange sqref="AB34:AD34 AF34:AJ34 Q34:Z34" name="範囲1_9_6_2"/>
    <protectedRange sqref="Q40:Z40 L40:N40 AB40:AD40 AF40:AJ40" name="範囲1_9_21"/>
    <protectedRange sqref="L40:M40" name="範囲26_25"/>
    <protectedRange sqref="C40:I40" name="範囲1_6_1_1_1"/>
    <protectedRange sqref="J40:K40" name="範囲1_9_4_1"/>
    <protectedRange sqref="K41:P41" name="範囲1_8_1_1_1"/>
    <protectedRange sqref="Q41:AJ42" name="範囲1_9_7_1"/>
    <protectedRange sqref="D41:I41" name="範囲1_8_1_2_1"/>
    <protectedRange sqref="AB50:AD50 AF50:AJ50 Q50:Z50 J50:K50" name="範囲1_9_7_2"/>
    <protectedRange sqref="L50" name="範囲14_1_2_1"/>
    <protectedRange sqref="C50:I51" name="範囲1_2_2_1_1_1"/>
    <protectedRange sqref="L51" name="範囲14_1_2_1_1"/>
    <protectedRange sqref="J51:K51" name="範囲1_9_1_1_1"/>
    <protectedRange sqref="Q51:T51 AA51:AH51 AJ51 V51:X51" name="範囲1_8_2_18"/>
    <protectedRange sqref="Q51:X51 AA51:AJ51" name="範囲26_19_1"/>
    <protectedRange sqref="O51 Y51" name="範囲14_1_2_2"/>
    <protectedRange sqref="D57:I57 K57:P57" name="範囲1_8_1_6"/>
    <protectedRange sqref="C56:I56" name="範囲1_6_1_9"/>
    <protectedRange sqref="J56:N56 AB56:AD56 AF56:AJ56 Q56:Z56" name="範囲1_9_22"/>
    <protectedRange sqref="L56:M56" name="範囲26_26"/>
    <protectedRange sqref="Q57:AJ58" name="範囲1_9_1_2"/>
    <protectedRange sqref="J71:K71 AB71:AD71 AF71:AJ71 Q71:Z71" name="範囲1_9_5_1"/>
    <protectedRange sqref="L71" name="範囲14_1_1_1"/>
    <protectedRange sqref="V72:X72 Q72:S72" name="範囲1_9_17_1"/>
    <protectedRange sqref="Q72:R72" name="範囲26_16_1"/>
    <protectedRange sqref="C71:I72" name="範囲1_2_2_1_1_2"/>
    <protectedRange sqref="J72:N72" name="範囲1_9_17_2"/>
    <protectedRange sqref="L72:M72" name="範囲26_16_2"/>
    <protectedRange sqref="Y72:Z72 AB72:AD72 AF72:AJ72" name="範囲1_9_17_3"/>
    <protectedRange sqref="C73:I74" name="範囲1_2_2_1_6_1_1"/>
    <protectedRange sqref="V73:Z74 Q73:S74 AB73:AD74 J73:N74 AF73:AJ74" name="範囲1_9_17_1_1"/>
    <protectedRange sqref="Q73:R74 L73:M74" name="範囲26_16_1_1"/>
    <protectedRange sqref="C77:I77" name="範囲1_2_2_1_6_1_2"/>
    <protectedRange sqref="AJ75 AG75:AH75 AB75:AE75 Q75:Y75" name="範囲1_8_2_17_1"/>
    <protectedRange sqref="L75 O75" name="範囲14_1_4_2"/>
    <protectedRange sqref="C75:I76" name="範囲1_6_1_6_1"/>
    <protectedRange sqref="J76:N76 J75:K75 V76:Z76 Q76:S76 AB76:AD76 AF76:AJ76" name="範囲1_9_16_2"/>
    <protectedRange sqref="L76:M76 Q76:R76 AG75:AJ75 AB75:AE75 Q75:Z75" name="範囲26_18_1"/>
    <protectedRange sqref="J77:N77 V77:Z77 Q77:S77 AB77:AD77 AF77:AJ77" name="範囲1_9_18_1"/>
    <protectedRange sqref="L77:M77 Q77:R77" name="範囲26_20_1"/>
    <protectedRange sqref="AA124:AB124 AD124" name="範囲1_10_4"/>
    <protectedRange sqref="V124:Z124" name="範囲1_10_2_2"/>
    <protectedRange sqref="AE124:AJ124" name="範囲1_10_3_1"/>
    <protectedRange sqref="V126:AB130 AD126:AJ130 M126:N131 J126:K131 Q126:T131 V131:Y131" name="範囲1_10_5"/>
    <protectedRange sqref="AA126:AC130" name="範囲26_27"/>
    <protectedRange sqref="AP66:AS66 AL66:AN66" name="範囲1_8_2_9_1"/>
    <protectedRange sqref="AL66:AT66" name="範囲26_9_1"/>
    <protectedRange sqref="AJ66 AG66:AH66 AB66:AE66 Y66" name="範囲1_8_2_14_1"/>
    <protectedRange sqref="AG66:AJ66 AB66:AE66 Y66:Z66" name="範囲26_14_1"/>
    <protectedRange sqref="AR68:AS68" name="範囲1_8_2_18_1"/>
    <protectedRange sqref="AR68:AT68" name="範囲26_16"/>
    <protectedRange sqref="C83:I83" name="範囲1_6_1_5"/>
    <protectedRange sqref="J82:N82 AB82:AD82 AF82:AJ82 Q82:Z82" name="範囲1_9_1"/>
    <protectedRange sqref="L82:M82" name="範囲26_14"/>
    <protectedRange sqref="D154:J154" name="範囲1_1_3"/>
    <protectedRange sqref="C156:J158 Q161:R161 K155:N159 Q155:AK155 Q156:R158 AC156:AJ156 AE161:AJ161 AC157:AK158 C161:O161 Q159:AF159 AI159:AT159 C160:R160 C159:F159" name="範囲1_1_1_1"/>
    <protectedRange sqref="C155:I155 C154" name="範囲1_6_1_2_1"/>
    <protectedRange sqref="J155 AF154:AJ154 AB154:AD154 V154:Z154 K154 AB156:AB158 V156:Z158 AT156 AN156:AR156 AT161 AN161:AR161 AD161 X161:AB161 V160:Z160 AB160" name="範囲1_9_3_1_1"/>
    <protectedRange sqref="AB83:AD83 AF83:AJ83 J83:P83 R83:V83 Y83:Z83" name="範囲1_9_2"/>
    <protectedRange sqref="L83:M83" name="範囲26_18"/>
    <protectedRange sqref="AB60:AD60 AF60:AJ60 Q60:Z60 J60:K60 P62 R62:U62 W62:X62" name="範囲1_9_5_2"/>
    <protectedRange sqref="D60:I63 C60:C62" name="範囲1_2_2_1_6_1_3"/>
    <protectedRange sqref="AA62:AH62 AJ62:AN62 AP62:AS62 Y62" name="範囲1_8_2_1_1_1"/>
    <protectedRange sqref="Y62:AT62" name="範囲26_1_1_1"/>
    <protectedRange sqref="L60" name="範囲14_1_8_1"/>
    <protectedRange sqref="C63 D64:I64" name="範囲1_2_2_1_1_3"/>
    <protectedRange sqref="AG63:AH63 AJ63 Q63:X63 AC63:AE63" name="範囲1_8_2_9_2"/>
    <protectedRange sqref="L63" name="範囲14_1_1_2"/>
    <protectedRange sqref="J63:K63" name="範囲1_9_15_1"/>
    <protectedRange sqref="AG63:AJ63 Q63:X63 AC63:AE63" name="範囲26_9_2"/>
    <protectedRange sqref="Y63 AB63" name="範囲1_8_2_10_1"/>
    <protectedRange sqref="Y63:Z63 AB63" name="範囲26_10_1"/>
    <protectedRange sqref="AP63:AS63 AL63:AN63" name="範囲1_8_2_11_1"/>
    <protectedRange sqref="AL63:AT63" name="範囲26_11_1"/>
    <protectedRange sqref="AL60:AQ60 AS60" name="範囲1_8_2_16_1"/>
    <protectedRange sqref="AS60:AT60 AL60:AQ60" name="範囲26_17_1"/>
    <protectedRange sqref="J62 L62" name="範囲14_1_7_1"/>
    <protectedRange sqref="K62" name="範囲1_9_20_1"/>
    <protectedRange sqref="V61 Q61 S61:T61 X61:Y61 AB61:AH61 AJ61:AN61" name="範囲1_8_2_1"/>
    <protectedRange sqref="J61 L61 O61" name="範囲14_1_4"/>
    <protectedRange sqref="K61" name="範囲1_9_3"/>
    <protectedRange sqref="Q61 S61:V61 X61:Z61 AB61:AO61" name="範囲26_3"/>
    <protectedRange sqref="C16:I18" name="範囲1_2_2_1_2_2"/>
    <protectedRange sqref="C20:I23" name="範囲1_6_1_2"/>
    <protectedRange sqref="J20:K23" name="範囲1_9_16"/>
    <protectedRange sqref="L87:N87" name="範囲1_8_2_2"/>
    <protectedRange sqref="C85:I87" name="範囲1_6_1_6"/>
    <protectedRange sqref="R87:V87 AF87 AB84:AD84 AB87:AD87 J84:N84 Y87:Z87 J87:K87 R84:Z84 AG84:AJ84 O87:P87" name="範囲1_9_17"/>
    <protectedRange sqref="L84:M84 L87:N87" name="範囲26_10"/>
    <protectedRange sqref="V113:Y113" name="範囲1_8_2_3"/>
    <protectedRange sqref="C112:I113" name="範囲1_6_1_10"/>
    <protectedRange sqref="Q112:S112 J113:K113 J112:N112 AG112:AJ112 AB112:AD113 AF112:AF113 V112:X112" name="範囲1_9_23"/>
    <protectedRange sqref="Q112:R112 L112:M112 V113:Z113 V112:W112" name="範囲26_11"/>
    <protectedRange sqref="M147:N147 J147:K147 Q147:T147" name="範囲1_10_3"/>
    <protectedRange sqref="C162:N162 Q162:Z162 AF162:AJ162 AB162:AD162" name="範囲1_1"/>
    <protectedRange sqref="Q164:Z167 AB164:AD167 AF164:AJ167 C164:N167 C163:J163" name="範囲1_1_1_2"/>
    <protectedRange sqref="AB168:AD179 AF168:AJ179 Q168:Z179 C168:N179" name="範囲1_2"/>
    <protectedRange sqref="AB78:AD78 AF78:AJ78 Q78:Z78 J78:K78 AB80:AD80 AF80:AJ80 Q80:Z80 J80:K80" name="範囲1_9_5_5"/>
    <protectedRange sqref="L78 O78 L80 O80" name="範囲14_1_4_3"/>
    <protectedRange sqref="C80:I80" name="範囲1_6_1_2_1_2"/>
    <protectedRange sqref="C78:I79" name="範囲1_6_1_7_1"/>
    <protectedRange sqref="AL78:AN78 AP78:AS78" name="範囲1_8_2_2_1"/>
    <protectedRange sqref="AL78:AT78" name="範囲26_5"/>
    <protectedRange sqref="AI79:AJ79" name="範囲1_9_9_1"/>
    <protectedRange sqref="V79:Z79 Q79:S79 AB79:AD79 AF79:AH79 J79:N79" name="範囲1_9_9_2"/>
    <protectedRange sqref="Q79:R79 L79:M79" name="範囲26_11_3"/>
    <protectedRange sqref="AK17" name="範囲1_8_2_1_1"/>
    <protectedRange sqref="AK30" name="範囲1_9_6_1"/>
    <protectedRange sqref="C90:I90" name="範囲1_2_2_2_2"/>
    <protectedRange sqref="D88:K88 N88" name="範囲1_8_3"/>
    <protectedRange sqref="N90" name="範囲26_4"/>
    <protectedRange sqref="D89:I89" name="範囲1_8_3_1_1"/>
    <protectedRange sqref="N89" name="範囲26_11_2"/>
    <protectedRange sqref="AF120:AJ120 AB120:AD120 C120:I120" name="範囲1_6"/>
    <protectedRange sqref="V119:Y120" name="範囲1_8_2_4"/>
    <protectedRange sqref="C114:I118" name="範囲1_6_1_3"/>
    <protectedRange sqref="V119:Z120" name="範囲26_17"/>
    <protectedRange sqref="C119:I119" name="範囲1_6_1_4_2"/>
    <protectedRange sqref="J116:N120" name="範囲1_9_8_2"/>
    <protectedRange sqref="AA116:AD116 V116:Y116 Q116:T116 AF116:AI116" name="範囲1_8_2_6_2"/>
    <protectedRange sqref="AK116:AO116 AQ116:AS116" name="範囲1_9_12"/>
    <protectedRange sqref="Q116:AJ116" name="範囲26_6_2"/>
    <protectedRange sqref="AF117:AI117 AA117:AD117 V117:Y117 Q117:T117" name="範囲1_8_2_7_2"/>
    <protectedRange sqref="AQ117:AS117 AK117:AO117 O117:P117" name="範囲1_9_13"/>
    <protectedRange sqref="Q117:AJ117" name="範囲26_7_2"/>
    <protectedRange sqref="AF118:AI119 AA118:AD119 V118:Y118 Q118:T120" name="範囲1_8_2_8_3"/>
    <protectedRange sqref="AQ118:AS119 AK118:AO119" name="範囲1_9_14_2"/>
    <protectedRange sqref="AA118:AJ119 V118:Z118 Q118:U120" name="範囲26_8_3"/>
    <protectedRange sqref="G159:I159" name="範囲1_1_1"/>
    <protectedRange sqref="C44:I44" name="範囲1_2_2_1_5_2_1"/>
  </protectedRanges>
  <mergeCells count="802">
    <mergeCell ref="AK33:AM33"/>
    <mergeCell ref="AN33:AO33"/>
    <mergeCell ref="AK34:AM34"/>
    <mergeCell ref="AN34:AO34"/>
    <mergeCell ref="C89:I89"/>
    <mergeCell ref="L89:N89"/>
    <mergeCell ref="O89:AT89"/>
    <mergeCell ref="C114:I120"/>
    <mergeCell ref="J120:U120"/>
    <mergeCell ref="V120:Z120"/>
    <mergeCell ref="Y86:Z86"/>
    <mergeCell ref="W86:X86"/>
    <mergeCell ref="AA109:AC109"/>
    <mergeCell ref="AD109:AG109"/>
    <mergeCell ref="C110:K110"/>
    <mergeCell ref="L110:P110"/>
    <mergeCell ref="Q110:U110"/>
    <mergeCell ref="V110:Z110"/>
    <mergeCell ref="C108:K108"/>
    <mergeCell ref="L108:P108"/>
    <mergeCell ref="Q108:U108"/>
    <mergeCell ref="V108:Z108"/>
    <mergeCell ref="C109:K109"/>
    <mergeCell ref="L109:P109"/>
    <mergeCell ref="AO86:AP86"/>
    <mergeCell ref="AQ86:AR86"/>
    <mergeCell ref="V148:AJ148"/>
    <mergeCell ref="V146:Z146"/>
    <mergeCell ref="AA146:AC146"/>
    <mergeCell ref="AE146:AJ146"/>
    <mergeCell ref="J144:U144"/>
    <mergeCell ref="AA86:AB86"/>
    <mergeCell ref="AC86:AD86"/>
    <mergeCell ref="AE86:AF86"/>
    <mergeCell ref="J117:U117"/>
    <mergeCell ref="V117:Z117"/>
    <mergeCell ref="J118:U118"/>
    <mergeCell ref="V118:Z118"/>
    <mergeCell ref="J119:U119"/>
    <mergeCell ref="V119:Z119"/>
    <mergeCell ref="J87:N87"/>
    <mergeCell ref="Q87:S87"/>
    <mergeCell ref="V87:X87"/>
    <mergeCell ref="O86:P86"/>
    <mergeCell ref="Q86:R86"/>
    <mergeCell ref="S86:T86"/>
    <mergeCell ref="U86:V86"/>
    <mergeCell ref="AE141:AJ141"/>
    <mergeCell ref="AK156:AN156"/>
    <mergeCell ref="AC163:AF163"/>
    <mergeCell ref="AC164:AF164"/>
    <mergeCell ref="AC165:AF165"/>
    <mergeCell ref="AC166:AF166"/>
    <mergeCell ref="X158:Z158"/>
    <mergeCell ref="AK146:AT146"/>
    <mergeCell ref="J147:U147"/>
    <mergeCell ref="V147:Z147"/>
    <mergeCell ref="AE147:AJ147"/>
    <mergeCell ref="AK147:AT147"/>
    <mergeCell ref="J146:U146"/>
    <mergeCell ref="AK148:AO148"/>
    <mergeCell ref="AP148:AR148"/>
    <mergeCell ref="AK149:AT151"/>
    <mergeCell ref="C149:J151"/>
    <mergeCell ref="K149:L151"/>
    <mergeCell ref="M149:V151"/>
    <mergeCell ref="W149:X151"/>
    <mergeCell ref="Y149:AH151"/>
    <mergeCell ref="AQ156:AT156"/>
    <mergeCell ref="K157:P157"/>
    <mergeCell ref="S154:V154"/>
    <mergeCell ref="Y154:AB154"/>
    <mergeCell ref="S156:V156"/>
    <mergeCell ref="Y156:AB156"/>
    <mergeCell ref="AC156:AH156"/>
    <mergeCell ref="K161:N161"/>
    <mergeCell ref="O161:R161"/>
    <mergeCell ref="S159:V159"/>
    <mergeCell ref="Y159:AB159"/>
    <mergeCell ref="AC159:AJ159"/>
    <mergeCell ref="AA161:AD161"/>
    <mergeCell ref="AC158:AE158"/>
    <mergeCell ref="K159:P159"/>
    <mergeCell ref="C181:M181"/>
    <mergeCell ref="N181:Q181"/>
    <mergeCell ref="R181:U181"/>
    <mergeCell ref="V181:AT181"/>
    <mergeCell ref="K176:AT176"/>
    <mergeCell ref="AC167:AF167"/>
    <mergeCell ref="C163:J167"/>
    <mergeCell ref="Y163:AB163"/>
    <mergeCell ref="K164:P167"/>
    <mergeCell ref="Q164:X164"/>
    <mergeCell ref="Y164:AB164"/>
    <mergeCell ref="Q165:X165"/>
    <mergeCell ref="Y165:AB165"/>
    <mergeCell ref="Q166:X166"/>
    <mergeCell ref="Y166:AB166"/>
    <mergeCell ref="Q167:X167"/>
    <mergeCell ref="Y167:AB167"/>
    <mergeCell ref="AK159:AT159"/>
    <mergeCell ref="AK161:AN161"/>
    <mergeCell ref="AQ161:AT161"/>
    <mergeCell ref="K160:P160"/>
    <mergeCell ref="S160:V160"/>
    <mergeCell ref="Y160:AB160"/>
    <mergeCell ref="U161:X161"/>
    <mergeCell ref="AE161:AH161"/>
    <mergeCell ref="S157:V157"/>
    <mergeCell ref="Y157:AB157"/>
    <mergeCell ref="K158:P158"/>
    <mergeCell ref="S158:U158"/>
    <mergeCell ref="K154:P154"/>
    <mergeCell ref="AI149:AJ151"/>
    <mergeCell ref="AA144:AC144"/>
    <mergeCell ref="AE144:AJ144"/>
    <mergeCell ref="AK144:AT144"/>
    <mergeCell ref="J145:U145"/>
    <mergeCell ref="V145:Z145"/>
    <mergeCell ref="AA145:AC145"/>
    <mergeCell ref="AE145:AJ145"/>
    <mergeCell ref="AK145:AT145"/>
    <mergeCell ref="V144:Z144"/>
    <mergeCell ref="C154:J158"/>
    <mergeCell ref="C152:H153"/>
    <mergeCell ref="I152:J153"/>
    <mergeCell ref="K152:X153"/>
    <mergeCell ref="Y152:Z153"/>
    <mergeCell ref="AB152:AC152"/>
    <mergeCell ref="AE152:AF152"/>
    <mergeCell ref="AG152:AJ152"/>
    <mergeCell ref="AK152:AT152"/>
    <mergeCell ref="AA153:AT153"/>
    <mergeCell ref="K155:P155"/>
    <mergeCell ref="Q155:AH155"/>
    <mergeCell ref="K156:P156"/>
    <mergeCell ref="AK141:AT141"/>
    <mergeCell ref="J142:U142"/>
    <mergeCell ref="V142:Z142"/>
    <mergeCell ref="AA142:AC142"/>
    <mergeCell ref="AE142:AJ142"/>
    <mergeCell ref="AK142:AT142"/>
    <mergeCell ref="J143:U143"/>
    <mergeCell ref="V143:Z143"/>
    <mergeCell ref="AA143:AC143"/>
    <mergeCell ref="AE143:AJ143"/>
    <mergeCell ref="AK143:AT143"/>
    <mergeCell ref="AE138:AJ138"/>
    <mergeCell ref="AK138:AT138"/>
    <mergeCell ref="J139:U139"/>
    <mergeCell ref="V139:Z139"/>
    <mergeCell ref="AA139:AC139"/>
    <mergeCell ref="AE139:AJ139"/>
    <mergeCell ref="AK139:AT139"/>
    <mergeCell ref="J140:U140"/>
    <mergeCell ref="V140:Z140"/>
    <mergeCell ref="AA140:AC140"/>
    <mergeCell ref="AE140:AJ140"/>
    <mergeCell ref="AK140:AT140"/>
    <mergeCell ref="AE135:AJ135"/>
    <mergeCell ref="AK135:AT135"/>
    <mergeCell ref="J136:U136"/>
    <mergeCell ref="V136:Z136"/>
    <mergeCell ref="AA136:AC136"/>
    <mergeCell ref="AE136:AJ136"/>
    <mergeCell ref="AK136:AT136"/>
    <mergeCell ref="J137:U137"/>
    <mergeCell ref="V137:Z137"/>
    <mergeCell ref="AA137:AC137"/>
    <mergeCell ref="AE137:AJ137"/>
    <mergeCell ref="AK137:AT137"/>
    <mergeCell ref="AE132:AJ132"/>
    <mergeCell ref="AK132:AT132"/>
    <mergeCell ref="J133:U133"/>
    <mergeCell ref="V133:Z133"/>
    <mergeCell ref="AA133:AC133"/>
    <mergeCell ref="AE133:AJ133"/>
    <mergeCell ref="AK133:AT133"/>
    <mergeCell ref="J134:U134"/>
    <mergeCell ref="V134:Z134"/>
    <mergeCell ref="AA134:AC134"/>
    <mergeCell ref="AE134:AJ134"/>
    <mergeCell ref="AK134:AT134"/>
    <mergeCell ref="AE129:AJ129"/>
    <mergeCell ref="AK129:AT129"/>
    <mergeCell ref="J130:U130"/>
    <mergeCell ref="AA130:AC130"/>
    <mergeCell ref="AE130:AJ130"/>
    <mergeCell ref="AK130:AT130"/>
    <mergeCell ref="J131:U131"/>
    <mergeCell ref="AA131:AC131"/>
    <mergeCell ref="AE131:AJ131"/>
    <mergeCell ref="AK131:AT131"/>
    <mergeCell ref="V129:Y129"/>
    <mergeCell ref="V130:Y130"/>
    <mergeCell ref="V131:Y131"/>
    <mergeCell ref="J127:U127"/>
    <mergeCell ref="AA127:AC127"/>
    <mergeCell ref="C124:U125"/>
    <mergeCell ref="V124:Z125"/>
    <mergeCell ref="AA124:AD125"/>
    <mergeCell ref="C126:I147"/>
    <mergeCell ref="J126:U126"/>
    <mergeCell ref="AA126:AC126"/>
    <mergeCell ref="J128:U128"/>
    <mergeCell ref="AA128:AC128"/>
    <mergeCell ref="J129:U129"/>
    <mergeCell ref="AA129:AC129"/>
    <mergeCell ref="J132:U132"/>
    <mergeCell ref="V132:Z132"/>
    <mergeCell ref="AA132:AC132"/>
    <mergeCell ref="J135:U135"/>
    <mergeCell ref="V135:Z135"/>
    <mergeCell ref="AA135:AC135"/>
    <mergeCell ref="J138:U138"/>
    <mergeCell ref="V138:Z138"/>
    <mergeCell ref="AA138:AC138"/>
    <mergeCell ref="J141:U141"/>
    <mergeCell ref="V141:Z141"/>
    <mergeCell ref="AA141:AC141"/>
    <mergeCell ref="M122:AT123"/>
    <mergeCell ref="C112:I112"/>
    <mergeCell ref="K112:U112"/>
    <mergeCell ref="C113:I113"/>
    <mergeCell ref="V113:Z113"/>
    <mergeCell ref="J114:U114"/>
    <mergeCell ref="V114:Z114"/>
    <mergeCell ref="J115:U115"/>
    <mergeCell ref="V115:Z115"/>
    <mergeCell ref="J116:U116"/>
    <mergeCell ref="V116:Z116"/>
    <mergeCell ref="AA114:AB114"/>
    <mergeCell ref="AA115:AB115"/>
    <mergeCell ref="AA116:AB116"/>
    <mergeCell ref="AA117:AB117"/>
    <mergeCell ref="AA118:AB118"/>
    <mergeCell ref="V112:AB112"/>
    <mergeCell ref="AG99:AH100"/>
    <mergeCell ref="AI99:AT100"/>
    <mergeCell ref="H100:K100"/>
    <mergeCell ref="L100:N100"/>
    <mergeCell ref="Q109:U109"/>
    <mergeCell ref="V109:Z109"/>
    <mergeCell ref="C102:K104"/>
    <mergeCell ref="L102:AT104"/>
    <mergeCell ref="C106:P106"/>
    <mergeCell ref="Q106:U106"/>
    <mergeCell ref="V106:Z106"/>
    <mergeCell ref="C107:K107"/>
    <mergeCell ref="L107:P107"/>
    <mergeCell ref="Q107:U107"/>
    <mergeCell ref="V107:Z107"/>
    <mergeCell ref="BL96:BL98"/>
    <mergeCell ref="BM96:BM98"/>
    <mergeCell ref="C97:I97"/>
    <mergeCell ref="J97:K97"/>
    <mergeCell ref="L97:P97"/>
    <mergeCell ref="Q97:T97"/>
    <mergeCell ref="U97:X97"/>
    <mergeCell ref="Y97:AA97"/>
    <mergeCell ref="C96:I96"/>
    <mergeCell ref="J96:K96"/>
    <mergeCell ref="L96:P96"/>
    <mergeCell ref="Q96:T96"/>
    <mergeCell ref="U96:X96"/>
    <mergeCell ref="Y96:AC96"/>
    <mergeCell ref="AC97:AE97"/>
    <mergeCell ref="C98:G100"/>
    <mergeCell ref="H98:K98"/>
    <mergeCell ref="L98:N98"/>
    <mergeCell ref="O98:P98"/>
    <mergeCell ref="Q98:X98"/>
    <mergeCell ref="Y98:AF98"/>
    <mergeCell ref="O100:P100"/>
    <mergeCell ref="Q100:X100"/>
    <mergeCell ref="Y100:AF100"/>
    <mergeCell ref="BL94:BL95"/>
    <mergeCell ref="BM94:BM95"/>
    <mergeCell ref="Q95:T95"/>
    <mergeCell ref="U95:X95"/>
    <mergeCell ref="Y95:AB95"/>
    <mergeCell ref="AC95:AF95"/>
    <mergeCell ref="C91:M92"/>
    <mergeCell ref="N91:Q92"/>
    <mergeCell ref="R91:AT92"/>
    <mergeCell ref="C94:I95"/>
    <mergeCell ref="J94:K95"/>
    <mergeCell ref="L94:P95"/>
    <mergeCell ref="Q94:X94"/>
    <mergeCell ref="Y94:AF94"/>
    <mergeCell ref="AG94:AT95"/>
    <mergeCell ref="C75:I77"/>
    <mergeCell ref="J77:N77"/>
    <mergeCell ref="C88:M88"/>
    <mergeCell ref="N88:Q88"/>
    <mergeCell ref="R88:AT88"/>
    <mergeCell ref="C84:I87"/>
    <mergeCell ref="J84:N84"/>
    <mergeCell ref="Q84:S84"/>
    <mergeCell ref="V84:AC84"/>
    <mergeCell ref="AF84:AM84"/>
    <mergeCell ref="J85:N86"/>
    <mergeCell ref="O85:P85"/>
    <mergeCell ref="Q85:R85"/>
    <mergeCell ref="S85:T85"/>
    <mergeCell ref="U85:V85"/>
    <mergeCell ref="W85:X85"/>
    <mergeCell ref="Y85:Z85"/>
    <mergeCell ref="AA85:AB85"/>
    <mergeCell ref="AC85:AD85"/>
    <mergeCell ref="AE85:AF85"/>
    <mergeCell ref="AG85:AH85"/>
    <mergeCell ref="C82:I83"/>
    <mergeCell ref="Q78:T78"/>
    <mergeCell ref="U78:X78"/>
    <mergeCell ref="C78:I79"/>
    <mergeCell ref="AP78:AR78"/>
    <mergeCell ref="AS78:AT78"/>
    <mergeCell ref="L78:N78"/>
    <mergeCell ref="O78:P78"/>
    <mergeCell ref="J79:N79"/>
    <mergeCell ref="O79:V79"/>
    <mergeCell ref="W79:Z79"/>
    <mergeCell ref="AA79:AH79"/>
    <mergeCell ref="AI79:AL79"/>
    <mergeCell ref="AN79:AP79"/>
    <mergeCell ref="AR79:AT79"/>
    <mergeCell ref="Y78:AB78"/>
    <mergeCell ref="AC78:AF78"/>
    <mergeCell ref="AG78:AJ78"/>
    <mergeCell ref="C67:I70"/>
    <mergeCell ref="Y69:AB69"/>
    <mergeCell ref="AC69:AF69"/>
    <mergeCell ref="AG69:AJ69"/>
    <mergeCell ref="AK69:AT69"/>
    <mergeCell ref="L70:N70"/>
    <mergeCell ref="O70:P70"/>
    <mergeCell ref="Q70:T70"/>
    <mergeCell ref="U70:X70"/>
    <mergeCell ref="Y70:AB70"/>
    <mergeCell ref="AC70:AF70"/>
    <mergeCell ref="L69:N69"/>
    <mergeCell ref="O69:P69"/>
    <mergeCell ref="Q69:T69"/>
    <mergeCell ref="U69:X69"/>
    <mergeCell ref="AG70:AJ70"/>
    <mergeCell ref="AK70:AT70"/>
    <mergeCell ref="AC67:AF67"/>
    <mergeCell ref="AG67:AJ67"/>
    <mergeCell ref="AK67:AT67"/>
    <mergeCell ref="J68:N68"/>
    <mergeCell ref="O68:X68"/>
    <mergeCell ref="Y68:Z68"/>
    <mergeCell ref="AA68:AL68"/>
    <mergeCell ref="AO68:AQ68"/>
    <mergeCell ref="L67:N67"/>
    <mergeCell ref="O67:P67"/>
    <mergeCell ref="Q67:T67"/>
    <mergeCell ref="U67:X67"/>
    <mergeCell ref="Y67:AB67"/>
    <mergeCell ref="AG65:AJ65"/>
    <mergeCell ref="AK65:AM65"/>
    <mergeCell ref="AN65:AT65"/>
    <mergeCell ref="J66:N66"/>
    <mergeCell ref="O66:X66"/>
    <mergeCell ref="Y66:AB66"/>
    <mergeCell ref="AD66:AF66"/>
    <mergeCell ref="AH66:AJ66"/>
    <mergeCell ref="C65:I66"/>
    <mergeCell ref="L65:N65"/>
    <mergeCell ref="O65:P65"/>
    <mergeCell ref="Q65:T65"/>
    <mergeCell ref="U65:X65"/>
    <mergeCell ref="Y65:AB65"/>
    <mergeCell ref="AC65:AF65"/>
    <mergeCell ref="C63:I64"/>
    <mergeCell ref="L63:N63"/>
    <mergeCell ref="O63:P63"/>
    <mergeCell ref="Q63:T63"/>
    <mergeCell ref="U63:X63"/>
    <mergeCell ref="Y63:AB63"/>
    <mergeCell ref="AC63:AF63"/>
    <mergeCell ref="J64:N64"/>
    <mergeCell ref="O64:X64"/>
    <mergeCell ref="Y64:Z64"/>
    <mergeCell ref="AA64:AL64"/>
    <mergeCell ref="AG63:AJ63"/>
    <mergeCell ref="Y60:AB60"/>
    <mergeCell ref="AC60:AF60"/>
    <mergeCell ref="AG60:AJ60"/>
    <mergeCell ref="AS60:AT60"/>
    <mergeCell ref="J61:N61"/>
    <mergeCell ref="O61:P61"/>
    <mergeCell ref="Q61:X61"/>
    <mergeCell ref="Y61:Z61"/>
    <mergeCell ref="AA61:AS61"/>
    <mergeCell ref="C60:I62"/>
    <mergeCell ref="J62:N62"/>
    <mergeCell ref="P62:S62"/>
    <mergeCell ref="U62:X62"/>
    <mergeCell ref="AK63:AT63"/>
    <mergeCell ref="Y52:AB52"/>
    <mergeCell ref="AC52:AF52"/>
    <mergeCell ref="AG52:AJ52"/>
    <mergeCell ref="AK57:AT58"/>
    <mergeCell ref="C59:I59"/>
    <mergeCell ref="L60:N60"/>
    <mergeCell ref="O60:P60"/>
    <mergeCell ref="Q60:T60"/>
    <mergeCell ref="U60:X60"/>
    <mergeCell ref="C57:I58"/>
    <mergeCell ref="J57:K58"/>
    <mergeCell ref="L57:N58"/>
    <mergeCell ref="O57:P58"/>
    <mergeCell ref="Q57:T58"/>
    <mergeCell ref="U57:X58"/>
    <mergeCell ref="Y57:AB58"/>
    <mergeCell ref="AC57:AF58"/>
    <mergeCell ref="AG57:AJ58"/>
    <mergeCell ref="Q52:T52"/>
    <mergeCell ref="U52:X52"/>
    <mergeCell ref="BL47:BL49"/>
    <mergeCell ref="BM47:BM49"/>
    <mergeCell ref="C48:E48"/>
    <mergeCell ref="G48:I48"/>
    <mergeCell ref="Y48:AB48"/>
    <mergeCell ref="AC48:AF48"/>
    <mergeCell ref="AG48:AJ48"/>
    <mergeCell ref="C47:E47"/>
    <mergeCell ref="G47:I47"/>
    <mergeCell ref="L47:N49"/>
    <mergeCell ref="O47:P49"/>
    <mergeCell ref="Q47:T49"/>
    <mergeCell ref="U47:X49"/>
    <mergeCell ref="C49:E49"/>
    <mergeCell ref="G49:I49"/>
    <mergeCell ref="Y49:AB49"/>
    <mergeCell ref="AC49:AF49"/>
    <mergeCell ref="AG49:AJ49"/>
    <mergeCell ref="Y47:AB47"/>
    <mergeCell ref="AC47:AF47"/>
    <mergeCell ref="AG47:AJ47"/>
    <mergeCell ref="C50:I51"/>
    <mergeCell ref="L50:N50"/>
    <mergeCell ref="C46:I46"/>
    <mergeCell ref="L46:N46"/>
    <mergeCell ref="O46:P46"/>
    <mergeCell ref="Y44:AB44"/>
    <mergeCell ref="AC44:AF44"/>
    <mergeCell ref="AG44:AJ44"/>
    <mergeCell ref="C45:I45"/>
    <mergeCell ref="L45:N45"/>
    <mergeCell ref="O45:P45"/>
    <mergeCell ref="Q45:T45"/>
    <mergeCell ref="U45:X45"/>
    <mergeCell ref="Y45:AB45"/>
    <mergeCell ref="AC45:AF45"/>
    <mergeCell ref="AG41:AJ42"/>
    <mergeCell ref="C43:I43"/>
    <mergeCell ref="C44:I44"/>
    <mergeCell ref="L44:N44"/>
    <mergeCell ref="O44:P44"/>
    <mergeCell ref="Q44:T44"/>
    <mergeCell ref="U44:X44"/>
    <mergeCell ref="AK41:AT42"/>
    <mergeCell ref="Q37:T37"/>
    <mergeCell ref="U37:X37"/>
    <mergeCell ref="Y37:AB37"/>
    <mergeCell ref="AC37:AF37"/>
    <mergeCell ref="C41:I42"/>
    <mergeCell ref="J41:K42"/>
    <mergeCell ref="L41:N42"/>
    <mergeCell ref="O41:P42"/>
    <mergeCell ref="Q41:T42"/>
    <mergeCell ref="U41:X42"/>
    <mergeCell ref="AK44:AN44"/>
    <mergeCell ref="AO44:AQ44"/>
    <mergeCell ref="AR44:AT44"/>
    <mergeCell ref="C31:I31"/>
    <mergeCell ref="AG45:AJ45"/>
    <mergeCell ref="AM45:AO45"/>
    <mergeCell ref="AP45:AT45"/>
    <mergeCell ref="BM35:BM36"/>
    <mergeCell ref="Q36:T36"/>
    <mergeCell ref="U36:X36"/>
    <mergeCell ref="Y36:AB36"/>
    <mergeCell ref="AC36:AF36"/>
    <mergeCell ref="AG36:AJ36"/>
    <mergeCell ref="Q35:T35"/>
    <mergeCell ref="U35:X35"/>
    <mergeCell ref="Y35:AB35"/>
    <mergeCell ref="AC35:AF35"/>
    <mergeCell ref="AG35:AJ35"/>
    <mergeCell ref="BL35:BL36"/>
    <mergeCell ref="AG37:AJ37"/>
    <mergeCell ref="Q38:T38"/>
    <mergeCell ref="U38:X38"/>
    <mergeCell ref="Y38:AB38"/>
    <mergeCell ref="AC38:AF38"/>
    <mergeCell ref="AG38:AJ38"/>
    <mergeCell ref="Y41:AB42"/>
    <mergeCell ref="AC41:AF42"/>
    <mergeCell ref="L30:N30"/>
    <mergeCell ref="O30:P30"/>
    <mergeCell ref="Q30:T30"/>
    <mergeCell ref="BM31:BM32"/>
    <mergeCell ref="BL31:BL32"/>
    <mergeCell ref="BM29:BM30"/>
    <mergeCell ref="C29:I29"/>
    <mergeCell ref="C33:I33"/>
    <mergeCell ref="L33:N33"/>
    <mergeCell ref="O33:P33"/>
    <mergeCell ref="Q33:T33"/>
    <mergeCell ref="U33:X33"/>
    <mergeCell ref="Y33:AB33"/>
    <mergeCell ref="AC33:AF33"/>
    <mergeCell ref="AG33:AJ33"/>
    <mergeCell ref="BL33:BL34"/>
    <mergeCell ref="BM33:BM34"/>
    <mergeCell ref="Q34:T34"/>
    <mergeCell ref="U34:X34"/>
    <mergeCell ref="Y34:AB34"/>
    <mergeCell ref="AC34:AF34"/>
    <mergeCell ref="AG34:AJ34"/>
    <mergeCell ref="AP34:AR34"/>
    <mergeCell ref="AS34:AT34"/>
    <mergeCell ref="AP31:AR31"/>
    <mergeCell ref="AP32:AR32"/>
    <mergeCell ref="AS32:AT32"/>
    <mergeCell ref="L31:N31"/>
    <mergeCell ref="O31:P31"/>
    <mergeCell ref="Q31:T31"/>
    <mergeCell ref="U31:X31"/>
    <mergeCell ref="Y31:AB31"/>
    <mergeCell ref="AC31:AF31"/>
    <mergeCell ref="AG31:AJ31"/>
    <mergeCell ref="AC32:AF32"/>
    <mergeCell ref="AG32:AJ32"/>
    <mergeCell ref="AK31:AM31"/>
    <mergeCell ref="AN31:AO31"/>
    <mergeCell ref="AS31:AT31"/>
    <mergeCell ref="AK32:AM32"/>
    <mergeCell ref="AN32:AO32"/>
    <mergeCell ref="BL29:BL30"/>
    <mergeCell ref="U30:X30"/>
    <mergeCell ref="Y30:AB30"/>
    <mergeCell ref="AC30:AF30"/>
    <mergeCell ref="AG30:AJ30"/>
    <mergeCell ref="AP29:AR29"/>
    <mergeCell ref="AS29:AT29"/>
    <mergeCell ref="AP30:AR30"/>
    <mergeCell ref="AS30:AT30"/>
    <mergeCell ref="AG29:AJ29"/>
    <mergeCell ref="AK29:AM29"/>
    <mergeCell ref="AN29:AO29"/>
    <mergeCell ref="AK30:AM30"/>
    <mergeCell ref="AN30:AO30"/>
    <mergeCell ref="BM18:BM22"/>
    <mergeCell ref="BL27:BL28"/>
    <mergeCell ref="AK18:AO18"/>
    <mergeCell ref="AK19:AO19"/>
    <mergeCell ref="C15:I15"/>
    <mergeCell ref="C16:I16"/>
    <mergeCell ref="Y16:AB16"/>
    <mergeCell ref="AC16:AF16"/>
    <mergeCell ref="AG16:AJ16"/>
    <mergeCell ref="C18:I18"/>
    <mergeCell ref="L18:N18"/>
    <mergeCell ref="C19:I19"/>
    <mergeCell ref="L19:N19"/>
    <mergeCell ref="Q18:T18"/>
    <mergeCell ref="U18:X18"/>
    <mergeCell ref="O16:P16"/>
    <mergeCell ref="Q16:T16"/>
    <mergeCell ref="U16:X16"/>
    <mergeCell ref="AG17:AJ17"/>
    <mergeCell ref="AQ19:AT19"/>
    <mergeCell ref="AK26:AT27"/>
    <mergeCell ref="Y18:AB18"/>
    <mergeCell ref="AC18:AF18"/>
    <mergeCell ref="AG18:AJ18"/>
    <mergeCell ref="C30:I30"/>
    <mergeCell ref="J30:K30"/>
    <mergeCell ref="BM27:BM28"/>
    <mergeCell ref="C28:I28"/>
    <mergeCell ref="L23:M23"/>
    <mergeCell ref="N23:T23"/>
    <mergeCell ref="U23:AT23"/>
    <mergeCell ref="C20:K23"/>
    <mergeCell ref="L20:M20"/>
    <mergeCell ref="N20:T20"/>
    <mergeCell ref="U20:AT20"/>
    <mergeCell ref="L21:M21"/>
    <mergeCell ref="N21:T21"/>
    <mergeCell ref="U21:AT21"/>
    <mergeCell ref="L22:M22"/>
    <mergeCell ref="N22:T22"/>
    <mergeCell ref="U22:AT22"/>
    <mergeCell ref="BL18:BL22"/>
    <mergeCell ref="Y19:AB19"/>
    <mergeCell ref="AC19:AF19"/>
    <mergeCell ref="AS18:AT18"/>
    <mergeCell ref="O19:P19"/>
    <mergeCell ref="Q19:T19"/>
    <mergeCell ref="U19:X19"/>
    <mergeCell ref="AG26:AJ27"/>
    <mergeCell ref="O18:P18"/>
    <mergeCell ref="AP18:AR18"/>
    <mergeCell ref="AG19:AJ19"/>
    <mergeCell ref="C8:I8"/>
    <mergeCell ref="C17:I17"/>
    <mergeCell ref="J8:K8"/>
    <mergeCell ref="L8:N8"/>
    <mergeCell ref="M11:AT12"/>
    <mergeCell ref="L13:N14"/>
    <mergeCell ref="O13:P14"/>
    <mergeCell ref="Q13:T14"/>
    <mergeCell ref="U13:X14"/>
    <mergeCell ref="Y13:AB14"/>
    <mergeCell ref="AC13:AF14"/>
    <mergeCell ref="AG13:AJ14"/>
    <mergeCell ref="AK13:AT14"/>
    <mergeCell ref="Y17:AB17"/>
    <mergeCell ref="AC17:AF17"/>
    <mergeCell ref="Q17:T17"/>
    <mergeCell ref="U17:X17"/>
    <mergeCell ref="C13:I14"/>
    <mergeCell ref="J13:K14"/>
    <mergeCell ref="L17:N17"/>
    <mergeCell ref="O17:P17"/>
    <mergeCell ref="P8:R8"/>
    <mergeCell ref="T8:V8"/>
    <mergeCell ref="L16:N16"/>
    <mergeCell ref="Z3:AB3"/>
    <mergeCell ref="AC3:AE3"/>
    <mergeCell ref="AF3:AH3"/>
    <mergeCell ref="AI3:AK3"/>
    <mergeCell ref="AL3:AO3"/>
    <mergeCell ref="Y5:Z5"/>
    <mergeCell ref="AB5:AC5"/>
    <mergeCell ref="AE5:AF5"/>
    <mergeCell ref="Y8:AE8"/>
    <mergeCell ref="AF8:AG8"/>
    <mergeCell ref="AH8:AJ8"/>
    <mergeCell ref="AL8:AN8"/>
    <mergeCell ref="AK15:AN15"/>
    <mergeCell ref="AO15:AT15"/>
    <mergeCell ref="AK17:AO17"/>
    <mergeCell ref="AP3:AT3"/>
    <mergeCell ref="C3:H3"/>
    <mergeCell ref="I3:K3"/>
    <mergeCell ref="L3:Q3"/>
    <mergeCell ref="R3:S3"/>
    <mergeCell ref="T3:V3"/>
    <mergeCell ref="W3:Y3"/>
    <mergeCell ref="AP4:AT4"/>
    <mergeCell ref="AP8:AR8"/>
    <mergeCell ref="C4:H4"/>
    <mergeCell ref="I4:K4"/>
    <mergeCell ref="L4:AB4"/>
    <mergeCell ref="AC4:AF4"/>
    <mergeCell ref="AG4:AK4"/>
    <mergeCell ref="AL4:AO4"/>
    <mergeCell ref="AH5:AI5"/>
    <mergeCell ref="AL5:AO5"/>
    <mergeCell ref="AP5:AT5"/>
    <mergeCell ref="C5:H5"/>
    <mergeCell ref="J5:K5"/>
    <mergeCell ref="M5:N5"/>
    <mergeCell ref="P5:Q5"/>
    <mergeCell ref="S5:T5"/>
    <mergeCell ref="V5:W5"/>
    <mergeCell ref="C26:I27"/>
    <mergeCell ref="J26:K27"/>
    <mergeCell ref="L26:N27"/>
    <mergeCell ref="O26:P27"/>
    <mergeCell ref="Q26:T27"/>
    <mergeCell ref="U26:X27"/>
    <mergeCell ref="Y26:AB27"/>
    <mergeCell ref="AC26:AF27"/>
    <mergeCell ref="C34:I34"/>
    <mergeCell ref="L34:N34"/>
    <mergeCell ref="O34:P34"/>
    <mergeCell ref="J29:K29"/>
    <mergeCell ref="L29:N29"/>
    <mergeCell ref="O29:P29"/>
    <mergeCell ref="Q29:T29"/>
    <mergeCell ref="U29:X29"/>
    <mergeCell ref="Y29:AB29"/>
    <mergeCell ref="AC29:AF29"/>
    <mergeCell ref="C32:I32"/>
    <mergeCell ref="L32:N32"/>
    <mergeCell ref="O32:P32"/>
    <mergeCell ref="Q32:T32"/>
    <mergeCell ref="U32:X32"/>
    <mergeCell ref="Y32:AB32"/>
    <mergeCell ref="O50:P50"/>
    <mergeCell ref="J51:N51"/>
    <mergeCell ref="O51:P51"/>
    <mergeCell ref="Q51:X51"/>
    <mergeCell ref="Y51:Z51"/>
    <mergeCell ref="AA51:AJ51"/>
    <mergeCell ref="Q50:T50"/>
    <mergeCell ref="U50:X50"/>
    <mergeCell ref="Y50:AB50"/>
    <mergeCell ref="AC50:AF50"/>
    <mergeCell ref="AG50:AJ50"/>
    <mergeCell ref="P77:S77"/>
    <mergeCell ref="AS75:AT75"/>
    <mergeCell ref="J72:N72"/>
    <mergeCell ref="O72:X72"/>
    <mergeCell ref="L71:N71"/>
    <mergeCell ref="O71:P71"/>
    <mergeCell ref="Q71:T71"/>
    <mergeCell ref="U71:X71"/>
    <mergeCell ref="Y71:AB71"/>
    <mergeCell ref="AC71:AF71"/>
    <mergeCell ref="AG71:AJ71"/>
    <mergeCell ref="U77:X77"/>
    <mergeCell ref="L75:N75"/>
    <mergeCell ref="O75:P75"/>
    <mergeCell ref="J76:N76"/>
    <mergeCell ref="O76:X76"/>
    <mergeCell ref="Y76:Z76"/>
    <mergeCell ref="AA76:AL76"/>
    <mergeCell ref="Q75:T75"/>
    <mergeCell ref="U75:X75"/>
    <mergeCell ref="Y75:AB75"/>
    <mergeCell ref="AC75:AF75"/>
    <mergeCell ref="AG75:AJ75"/>
    <mergeCell ref="AP33:AR33"/>
    <mergeCell ref="AS33:AT33"/>
    <mergeCell ref="C174:J175"/>
    <mergeCell ref="K174:AT174"/>
    <mergeCell ref="K175:AT175"/>
    <mergeCell ref="AE124:AJ125"/>
    <mergeCell ref="AK124:AT125"/>
    <mergeCell ref="V126:Y126"/>
    <mergeCell ref="AE126:AJ126"/>
    <mergeCell ref="AK126:AT126"/>
    <mergeCell ref="V127:Y127"/>
    <mergeCell ref="AE127:AJ127"/>
    <mergeCell ref="AK127:AT127"/>
    <mergeCell ref="V128:Y128"/>
    <mergeCell ref="AE128:AJ128"/>
    <mergeCell ref="AK128:AT128"/>
    <mergeCell ref="Q80:T80"/>
    <mergeCell ref="U80:X80"/>
    <mergeCell ref="Y80:AB80"/>
    <mergeCell ref="C71:I72"/>
    <mergeCell ref="Y72:AB72"/>
    <mergeCell ref="AD72:AF72"/>
    <mergeCell ref="AI72:AM72"/>
    <mergeCell ref="AP72:AQ72"/>
    <mergeCell ref="AQ85:AR85"/>
    <mergeCell ref="C195:AT196"/>
    <mergeCell ref="C182:M183"/>
    <mergeCell ref="N182:Q183"/>
    <mergeCell ref="R182:U183"/>
    <mergeCell ref="V182:AT189"/>
    <mergeCell ref="C184:M187"/>
    <mergeCell ref="N184:Q187"/>
    <mergeCell ref="R184:U187"/>
    <mergeCell ref="C188:M189"/>
    <mergeCell ref="N188:Q189"/>
    <mergeCell ref="R188:U189"/>
    <mergeCell ref="AG86:AH86"/>
    <mergeCell ref="AI86:AJ86"/>
    <mergeCell ref="AK86:AL86"/>
    <mergeCell ref="AM86:AN86"/>
    <mergeCell ref="AD96:AF96"/>
    <mergeCell ref="AG96:AT97"/>
    <mergeCell ref="AG98:AT98"/>
    <mergeCell ref="H99:K99"/>
    <mergeCell ref="L99:N99"/>
    <mergeCell ref="O99:P99"/>
    <mergeCell ref="Q99:X99"/>
    <mergeCell ref="Y99:AF99"/>
    <mergeCell ref="G159:J159"/>
    <mergeCell ref="C80:I80"/>
    <mergeCell ref="L80:N80"/>
    <mergeCell ref="O80:P80"/>
    <mergeCell ref="AP80:AR80"/>
    <mergeCell ref="AS80:AT80"/>
    <mergeCell ref="AG80:AJ80"/>
    <mergeCell ref="C190:M191"/>
    <mergeCell ref="N190:Q191"/>
    <mergeCell ref="R190:U191"/>
    <mergeCell ref="V190:AT191"/>
    <mergeCell ref="J82:N82"/>
    <mergeCell ref="Q82:S82"/>
    <mergeCell ref="V82:X82"/>
    <mergeCell ref="Y82:AT82"/>
    <mergeCell ref="J83:N83"/>
    <mergeCell ref="Q83:S83"/>
    <mergeCell ref="V83:X83"/>
    <mergeCell ref="Y83:AT83"/>
    <mergeCell ref="AC80:AF80"/>
    <mergeCell ref="AI85:AJ85"/>
    <mergeCell ref="AK85:AL85"/>
    <mergeCell ref="AM85:AN85"/>
    <mergeCell ref="AO85:AP85"/>
  </mergeCells>
  <phoneticPr fontId="3"/>
  <conditionalFormatting sqref="L4:AB4">
    <cfRule type="expression" dxfId="368" priority="210">
      <formula>$L$4="未登録"</formula>
    </cfRule>
  </conditionalFormatting>
  <conditionalFormatting sqref="J5">
    <cfRule type="expression" dxfId="367" priority="208">
      <formula>$J$5="※"</formula>
    </cfRule>
  </conditionalFormatting>
  <conditionalFormatting sqref="M5">
    <cfRule type="expression" dxfId="366" priority="207">
      <formula>$M$5="※"</formula>
    </cfRule>
  </conditionalFormatting>
  <conditionalFormatting sqref="P5">
    <cfRule type="expression" dxfId="365" priority="206">
      <formula>$P$5="※"</formula>
    </cfRule>
  </conditionalFormatting>
  <conditionalFormatting sqref="S5">
    <cfRule type="expression" dxfId="364" priority="205">
      <formula>$S$5="※"</formula>
    </cfRule>
  </conditionalFormatting>
  <conditionalFormatting sqref="V5">
    <cfRule type="expression" dxfId="363" priority="204">
      <formula>$V$5="※"</formula>
    </cfRule>
  </conditionalFormatting>
  <conditionalFormatting sqref="AB5">
    <cfRule type="expression" dxfId="362" priority="203">
      <formula>$AB$5&lt;&gt;"-"</formula>
    </cfRule>
  </conditionalFormatting>
  <conditionalFormatting sqref="AE5">
    <cfRule type="expression" dxfId="361" priority="202">
      <formula>$AE$5&lt;&gt;"-"</formula>
    </cfRule>
  </conditionalFormatting>
  <conditionalFormatting sqref="AP3:AT3">
    <cfRule type="expression" dxfId="360" priority="201">
      <formula>$AP$3=""</formula>
    </cfRule>
  </conditionalFormatting>
  <conditionalFormatting sqref="I4:K4">
    <cfRule type="expression" dxfId="359" priority="200">
      <formula>$I$4=""</formula>
    </cfRule>
  </conditionalFormatting>
  <conditionalFormatting sqref="Y5">
    <cfRule type="expression" dxfId="358" priority="199">
      <formula>$Y$5&lt;&gt;"-"</formula>
    </cfRule>
  </conditionalFormatting>
  <conditionalFormatting sqref="W3">
    <cfRule type="expression" dxfId="357" priority="212">
      <formula>$W$3=""</formula>
    </cfRule>
  </conditionalFormatting>
  <conditionalFormatting sqref="AI3">
    <cfRule type="expression" dxfId="356" priority="198">
      <formula>$AI$3=""</formula>
    </cfRule>
  </conditionalFormatting>
  <conditionalFormatting sqref="AA131:AC144">
    <cfRule type="expression" dxfId="355" priority="196">
      <formula>AA131=""</formula>
    </cfRule>
  </conditionalFormatting>
  <conditionalFormatting sqref="Q99:AF99">
    <cfRule type="expression" dxfId="354" priority="214">
      <formula>$AV$96=TRUE</formula>
    </cfRule>
  </conditionalFormatting>
  <conditionalFormatting sqref="Q100:AF100">
    <cfRule type="expression" dxfId="353" priority="192">
      <formula>$AV$97=TRUE</formula>
    </cfRule>
  </conditionalFormatting>
  <conditionalFormatting sqref="AG99:AT100">
    <cfRule type="expression" dxfId="352" priority="189">
      <formula>#REF!=TRUE</formula>
    </cfRule>
    <cfRule type="expression" dxfId="351" priority="190">
      <formula>OR($AV$96=TRUE,$AV$97=TRUE)</formula>
    </cfRule>
  </conditionalFormatting>
  <conditionalFormatting sqref="Q99:AF100">
    <cfRule type="notContainsBlanks" dxfId="350" priority="191">
      <formula>LEN(TRIM(Q99))&gt;0</formula>
    </cfRule>
  </conditionalFormatting>
  <conditionalFormatting sqref="Q96:T96">
    <cfRule type="expression" dxfId="349" priority="188">
      <formula>AND($AV$96=TRUE,$Q$96=0)</formula>
    </cfRule>
  </conditionalFormatting>
  <conditionalFormatting sqref="Y96:AC96">
    <cfRule type="expression" dxfId="348" priority="187">
      <formula>AND($AV$96=TRUE,$Y$96=0)</formula>
    </cfRule>
  </conditionalFormatting>
  <conditionalFormatting sqref="Q97:T97">
    <cfRule type="expression" dxfId="347" priority="186">
      <formula>AND($AV$97=TRUE,$Q$97=0)</formula>
    </cfRule>
  </conditionalFormatting>
  <conditionalFormatting sqref="Y97:AA97">
    <cfRule type="expression" dxfId="346" priority="185">
      <formula>AND($AV$97=TRUE,$Y$97=0)</formula>
    </cfRule>
  </conditionalFormatting>
  <conditionalFormatting sqref="AC97:AE97">
    <cfRule type="expression" dxfId="345" priority="184">
      <formula>AND($AV$97=TRUE,$AC$97=0)</formula>
    </cfRule>
  </conditionalFormatting>
  <conditionalFormatting sqref="L8 P8 T8">
    <cfRule type="expression" dxfId="344" priority="183">
      <formula>L8=""</formula>
    </cfRule>
  </conditionalFormatting>
  <conditionalFormatting sqref="AH8 AL8 AP8">
    <cfRule type="expression" dxfId="343" priority="182">
      <formula>AH8=""</formula>
    </cfRule>
  </conditionalFormatting>
  <conditionalFormatting sqref="I3:K3">
    <cfRule type="expression" dxfId="342" priority="181">
      <formula>$I$2&lt;&gt;""</formula>
    </cfRule>
  </conditionalFormatting>
  <conditionalFormatting sqref="C91:AT92">
    <cfRule type="expression" dxfId="341" priority="177">
      <formula>OR($AV$18=FALSE,$AV$31=FALSE,$AV$89=FALSE)</formula>
    </cfRule>
  </conditionalFormatting>
  <conditionalFormatting sqref="Y29:AJ33 Y35:AJ38">
    <cfRule type="expression" dxfId="340" priority="174">
      <formula>AND($AV29=TRUE,SUM($Y29:$AJ29)=0)</formula>
    </cfRule>
  </conditionalFormatting>
  <conditionalFormatting sqref="Y44:AJ45">
    <cfRule type="expression" dxfId="339" priority="173">
      <formula>AND($AV44=TRUE,SUM($Y44:$AJ44)=0)</formula>
    </cfRule>
  </conditionalFormatting>
  <conditionalFormatting sqref="Y47:AJ49">
    <cfRule type="expression" dxfId="338" priority="172">
      <formula>AND($AV$47=TRUE,SUM($Y$47:$AJ$49)=0)</formula>
    </cfRule>
  </conditionalFormatting>
  <conditionalFormatting sqref="AH5:AI5">
    <cfRule type="expression" dxfId="337" priority="162">
      <formula>$AH$5&lt;&gt;"-"</formula>
    </cfRule>
  </conditionalFormatting>
  <conditionalFormatting sqref="N93:AT93">
    <cfRule type="expression" dxfId="336" priority="160">
      <formula>$O$93&lt;&gt;""</formula>
    </cfRule>
  </conditionalFormatting>
  <conditionalFormatting sqref="L107:P107">
    <cfRule type="expression" dxfId="335" priority="159">
      <formula>AND(OR(LEFT($O$18,2)="早期",LEFT($O$29,2)="早期",LEFT($O$30,2)="早期"),$AV$109=FALSE)</formula>
    </cfRule>
  </conditionalFormatting>
  <conditionalFormatting sqref="Y65:AJ65">
    <cfRule type="expression" dxfId="334" priority="151">
      <formula>AND($AV65=TRUE,SUM($Q65:$AJ65)=0)</formula>
    </cfRule>
  </conditionalFormatting>
  <conditionalFormatting sqref="Y69:AJ70">
    <cfRule type="expression" dxfId="333" priority="152">
      <formula>AND($AV69=TRUE,SUM($Q69:$AJ69)=0)</formula>
    </cfRule>
  </conditionalFormatting>
  <conditionalFormatting sqref="O66:X66">
    <cfRule type="expression" dxfId="332" priority="150">
      <formula>AND($AV$65=TRUE,OR($AV$66="00",$AV$66=""))</formula>
    </cfRule>
  </conditionalFormatting>
  <conditionalFormatting sqref="Y67:AJ67">
    <cfRule type="expression" dxfId="331" priority="148">
      <formula>AND($AV67=TRUE,SUM($Q67:$AJ67)=0)</formula>
    </cfRule>
  </conditionalFormatting>
  <conditionalFormatting sqref="K149:AT151">
    <cfRule type="expression" dxfId="330" priority="137">
      <formula>$AV$150=0</formula>
    </cfRule>
  </conditionalFormatting>
  <conditionalFormatting sqref="C152:AT153">
    <cfRule type="expression" dxfId="329" priority="135">
      <formula>$AV$150&lt;&gt;3</formula>
    </cfRule>
  </conditionalFormatting>
  <conditionalFormatting sqref="K152:X153 AB152:AC152 AE152:AF152 AK152:AT152 AA153:AT153">
    <cfRule type="expression" dxfId="328" priority="136">
      <formula>AND($AV$150=3,K152="")</formula>
    </cfRule>
  </conditionalFormatting>
  <conditionalFormatting sqref="Y19:AJ19">
    <cfRule type="expression" dxfId="327" priority="132">
      <formula>AND($AV19=TRUE,SUM($Y19:$AJ19)=0)</formula>
    </cfRule>
  </conditionalFormatting>
  <conditionalFormatting sqref="Y16:AJ17">
    <cfRule type="expression" dxfId="326" priority="131">
      <formula>AND($AV$17=TRUE,SUM($Y16:$AJ17)=0)</formula>
    </cfRule>
  </conditionalFormatting>
  <conditionalFormatting sqref="L25:AB25">
    <cfRule type="expression" dxfId="325" priority="126">
      <formula>$AV$25="NG"</formula>
    </cfRule>
  </conditionalFormatting>
  <conditionalFormatting sqref="AA51:AJ51">
    <cfRule type="expression" dxfId="324" priority="123">
      <formula>AND(AV50=TRUE,OR(AV51="0000",AW51="0000",LEFT(AV51,2)&lt;&gt;LEFT(AW51,2)))</formula>
    </cfRule>
  </conditionalFormatting>
  <conditionalFormatting sqref="Y50:AJ50">
    <cfRule type="expression" dxfId="323" priority="122">
      <formula>AND($AV50=TRUE,SUM($Y50:$AJ50)=0)</formula>
    </cfRule>
  </conditionalFormatting>
  <conditionalFormatting sqref="Y71:AJ71">
    <cfRule type="expression" dxfId="322" priority="119">
      <formula>AND($AV71=TRUE,SUM($Q71:$AJ71)=0)</formula>
    </cfRule>
  </conditionalFormatting>
  <conditionalFormatting sqref="O72:X72">
    <cfRule type="expression" dxfId="321" priority="118">
      <formula>AND($AV$71=TRUE,OR($AV$72="",$AV$72="00000"))</formula>
    </cfRule>
  </conditionalFormatting>
  <conditionalFormatting sqref="AC72:AT72">
    <cfRule type="expression" dxfId="320" priority="117">
      <formula>AND($AV$71=TRUE,$AW$72=0)</formula>
    </cfRule>
  </conditionalFormatting>
  <conditionalFormatting sqref="Y75:AJ75">
    <cfRule type="expression" dxfId="319" priority="113">
      <formula>AND($AV75=TRUE,SUM($Q75:$AJ75)=0)</formula>
    </cfRule>
  </conditionalFormatting>
  <conditionalFormatting sqref="O77:X77">
    <cfRule type="expression" dxfId="318" priority="110">
      <formula>AND($AV$56=TRUE,$AY$58=0)</formula>
    </cfRule>
  </conditionalFormatting>
  <conditionalFormatting sqref="J126:U126">
    <cfRule type="expression" dxfId="317" priority="104">
      <formula>$J$126="選択して下さい"</formula>
    </cfRule>
  </conditionalFormatting>
  <conditionalFormatting sqref="AC66:AJ66">
    <cfRule type="expression" dxfId="316" priority="103">
      <formula>AND($AV$65=TRUE,$AW$66=0)</formula>
    </cfRule>
  </conditionalFormatting>
  <conditionalFormatting sqref="O68:X68">
    <cfRule type="expression" dxfId="315" priority="95">
      <formula>AND($AV$48=TRUE,OR($AV$49="",$AV$49="0000"))</formula>
    </cfRule>
  </conditionalFormatting>
  <conditionalFormatting sqref="Y68:AL68">
    <cfRule type="expression" dxfId="314" priority="94">
      <formula>AND($AV$48=TRUE,OR($AV$50="",$AV$50="0000",LEFT($AV$49,2)&lt;&gt;LEFT($AV$50,2)))</formula>
    </cfRule>
  </conditionalFormatting>
  <conditionalFormatting sqref="K154:AB154 K155:AH155 K156:AT156 K157:AB157">
    <cfRule type="expression" dxfId="313" priority="88">
      <formula>$AV$154=0</formula>
    </cfRule>
  </conditionalFormatting>
  <conditionalFormatting sqref="K155:Q155">
    <cfRule type="expression" dxfId="312" priority="86">
      <formula>AND($AV$154=2,$Q$155="")</formula>
    </cfRule>
  </conditionalFormatting>
  <conditionalFormatting sqref="K155:AT157">
    <cfRule type="expression" dxfId="311" priority="87">
      <formula>$AV$154=1</formula>
    </cfRule>
  </conditionalFormatting>
  <conditionalFormatting sqref="K156:AB156">
    <cfRule type="expression" dxfId="310" priority="85">
      <formula>AND($AV$154=2,$AV$156=0)</formula>
    </cfRule>
  </conditionalFormatting>
  <conditionalFormatting sqref="AC156:AT156">
    <cfRule type="expression" dxfId="309" priority="84">
      <formula>AND($AV$154=2,$AW$156=0)</formula>
    </cfRule>
  </conditionalFormatting>
  <conditionalFormatting sqref="K157:AB157">
    <cfRule type="expression" dxfId="308" priority="83">
      <formula>AND($AV$154=2,$AV$157=0)</formula>
    </cfRule>
  </conditionalFormatting>
  <conditionalFormatting sqref="K158:AE158">
    <cfRule type="expression" dxfId="307" priority="82">
      <formula>$AV$158=0</formula>
    </cfRule>
  </conditionalFormatting>
  <conditionalFormatting sqref="K159:AT159">
    <cfRule type="expression" dxfId="306" priority="76">
      <formula>$AV$159=0</formula>
    </cfRule>
  </conditionalFormatting>
  <conditionalFormatting sqref="K160:AB160">
    <cfRule type="expression" dxfId="305" priority="80">
      <formula>$AV$160=0</formula>
    </cfRule>
  </conditionalFormatting>
  <conditionalFormatting sqref="O161:AD161">
    <cfRule type="expression" dxfId="304" priority="78">
      <formula>$AV$161=0</formula>
    </cfRule>
  </conditionalFormatting>
  <conditionalFormatting sqref="AE161:AT161">
    <cfRule type="expression" dxfId="303" priority="79">
      <formula>$AW$161=0</formula>
    </cfRule>
  </conditionalFormatting>
  <conditionalFormatting sqref="K161:N161">
    <cfRule type="expression" dxfId="302" priority="77">
      <formula>OR($AV$161=0,$AW$161=0)</formula>
    </cfRule>
  </conditionalFormatting>
  <conditionalFormatting sqref="AC159:AT159">
    <cfRule type="expression" dxfId="301" priority="81">
      <formula>$AV$159=1</formula>
    </cfRule>
  </conditionalFormatting>
  <conditionalFormatting sqref="AC159:AT159">
    <cfRule type="expression" dxfId="300" priority="75">
      <formula>AND($AV$159=2,$AK$159="")</formula>
    </cfRule>
  </conditionalFormatting>
  <conditionalFormatting sqref="T62:U62 O62:P62">
    <cfRule type="expression" dxfId="299" priority="67">
      <formula>AND($AV$60=TRUE,$AV$63=0)</formula>
    </cfRule>
  </conditionalFormatting>
  <conditionalFormatting sqref="Y60:AJ60">
    <cfRule type="expression" dxfId="298" priority="66">
      <formula>AND($AV$60=TRUE,SUM($Q$60:$AJ$60)=0)</formula>
    </cfRule>
  </conditionalFormatting>
  <conditionalFormatting sqref="C60 J60:AT60 Y62:AT62 T62:U62 O62:P62 AT61">
    <cfRule type="expression" dxfId="297" priority="64">
      <formula>VLOOKUP($AV$2,INDIRECT($AV$4),45,FALSE)=0</formula>
    </cfRule>
  </conditionalFormatting>
  <conditionalFormatting sqref="AR60:AT60">
    <cfRule type="expression" dxfId="296" priority="65">
      <formula>VLOOKUP($AV$2,INDIRECT($AV$4),45,FALSE)=0</formula>
    </cfRule>
  </conditionalFormatting>
  <conditionalFormatting sqref="J63:AT63 C63">
    <cfRule type="expression" dxfId="295" priority="59">
      <formula>VLOOKUP($AV$2,INDIRECT($AV$4),46,FALSE)=0</formula>
    </cfRule>
    <cfRule type="expression" dxfId="294" priority="60">
      <formula>$AV$82=2</formula>
    </cfRule>
  </conditionalFormatting>
  <conditionalFormatting sqref="Q63:X63">
    <cfRule type="expression" dxfId="293" priority="62">
      <formula>VLOOKUP($AV$2,INDIRECT($AV$4),1,FALSE)=5</formula>
    </cfRule>
  </conditionalFormatting>
  <conditionalFormatting sqref="Q60:X60">
    <cfRule type="expression" dxfId="292" priority="61">
      <formula>VLOOKUP($AV$2,INDIRECT($AV$4),1,FALSE)=5</formula>
    </cfRule>
  </conditionalFormatting>
  <conditionalFormatting sqref="Y63:AJ63">
    <cfRule type="expression" dxfId="291" priority="63">
      <formula>AND($AV$64=TRUE,SUM($Q$63:$AJ$63)=0)</formula>
    </cfRule>
  </conditionalFormatting>
  <conditionalFormatting sqref="O61:X61">
    <cfRule type="expression" dxfId="290" priority="56">
      <formula>AND($AV$40=TRUE,OR($AV$41="",$AV$41="0000"))</formula>
    </cfRule>
  </conditionalFormatting>
  <conditionalFormatting sqref="Y61:AA61">
    <cfRule type="expression" dxfId="289" priority="55">
      <formula>AND($AV$40=TRUE,OR($AV$42="",$AV$42="0000",LEFT($AV$41,2)&lt;&gt;LEFT($AV$42,2)))</formula>
    </cfRule>
  </conditionalFormatting>
  <conditionalFormatting sqref="C20:K23">
    <cfRule type="expression" dxfId="288" priority="54">
      <formula>VLOOKUP($AV$2,INDIRECT($AV$4),57,FALSE)=0</formula>
    </cfRule>
  </conditionalFormatting>
  <conditionalFormatting sqref="O84:AM84">
    <cfRule type="expression" dxfId="287" priority="53">
      <formula>$AV$84=0</formula>
    </cfRule>
  </conditionalFormatting>
  <conditionalFormatting sqref="O87:X87">
    <cfRule type="expression" dxfId="286" priority="52">
      <formula>$AV$87=0</formula>
    </cfRule>
  </conditionalFormatting>
  <conditionalFormatting sqref="J85:AT86">
    <cfRule type="expression" dxfId="285" priority="45">
      <formula>$AV$84&lt;&gt;2</formula>
    </cfRule>
  </conditionalFormatting>
  <conditionalFormatting sqref="Q85:X85">
    <cfRule type="expression" dxfId="284" priority="51">
      <formula>AND($AV$84=2,OR($Q$85="",$S$85="",$U$85="",$W$85=""))</formula>
    </cfRule>
  </conditionalFormatting>
  <conditionalFormatting sqref="AA85:AH85">
    <cfRule type="expression" dxfId="283" priority="50">
      <formula>AND($AA$85&lt;&gt;"",OR($AC$85="",$AE$85="",$AG$85=""))</formula>
    </cfRule>
  </conditionalFormatting>
  <conditionalFormatting sqref="AK85:AR85">
    <cfRule type="expression" dxfId="282" priority="49">
      <formula>AND($AK$85&lt;&gt;"",OR($AM$85="",$AO$85="",$AQ$85=""))</formula>
    </cfRule>
  </conditionalFormatting>
  <conditionalFormatting sqref="Q86:X86">
    <cfRule type="expression" dxfId="281" priority="48">
      <formula>AND($Q$86&lt;&gt;"",OR($S$86="",$U$86="",$W$86=""))</formula>
    </cfRule>
  </conditionalFormatting>
  <conditionalFormatting sqref="AA86:AH86">
    <cfRule type="expression" dxfId="280" priority="47">
      <formula>AND($AA$86&lt;&gt;"",OR($AC$86="",$AE$86="",$AG$86=""))</formula>
    </cfRule>
  </conditionalFormatting>
  <conditionalFormatting sqref="AK86:AR86">
    <cfRule type="expression" dxfId="279" priority="46">
      <formula>AND($AK$86&lt;&gt;"",OR($AM$86="",$AO$86="",$AQ$86=""))</formula>
    </cfRule>
  </conditionalFormatting>
  <conditionalFormatting sqref="V113:Z113">
    <cfRule type="expression" dxfId="278" priority="44">
      <formula>V113=""</formula>
    </cfRule>
  </conditionalFormatting>
  <conditionalFormatting sqref="Y66:AT66">
    <cfRule type="expression" dxfId="277" priority="102">
      <formula>VLOOKUP($AV$2,#REF!,47,FALSE)=0</formula>
    </cfRule>
  </conditionalFormatting>
  <conditionalFormatting sqref="R197:AT197 R194:AT194">
    <cfRule type="expression" dxfId="276" priority="25" stopIfTrue="1">
      <formula>#REF!&lt;&gt;""</formula>
    </cfRule>
  </conditionalFormatting>
  <conditionalFormatting sqref="C195:AT196">
    <cfRule type="expression" dxfId="275" priority="24">
      <formula>$C$195="ご記入ありがとうございました。SBPSにて本書を受け取り次第、お手続きを進めさせていただきます。"</formula>
    </cfRule>
  </conditionalFormatting>
  <conditionalFormatting sqref="C184">
    <cfRule type="expression" dxfId="274" priority="23">
      <formula>#REF!="ご記入ありがとうございました　本エントリーシートをご提出いただき次第お手続きを進めさせていただきます"</formula>
    </cfRule>
  </conditionalFormatting>
  <conditionalFormatting sqref="N184">
    <cfRule type="expression" dxfId="273" priority="21">
      <formula>#REF!="ご記入ありがとうございました　本エントリーシートをご提出いただき次第お手続きを進めさせていただきます"</formula>
    </cfRule>
  </conditionalFormatting>
  <conditionalFormatting sqref="N182">
    <cfRule type="expression" dxfId="272" priority="22">
      <formula>#REF!="ご記入ありがとうございました　本エントリーシートをご提出いただき次第お手続きを進めさせていただきます"</formula>
    </cfRule>
  </conditionalFormatting>
  <conditionalFormatting sqref="K176:AT176">
    <cfRule type="expression" dxfId="271" priority="20">
      <formula>AND($AV$175=TRUE,$AV$174=0)</formula>
    </cfRule>
  </conditionalFormatting>
  <conditionalFormatting sqref="K174:AT175">
    <cfRule type="expression" dxfId="270" priority="19">
      <formula>AND($AV$175=FALSE,$AV$174&gt;0)</formula>
    </cfRule>
  </conditionalFormatting>
  <conditionalFormatting sqref="L80:P80">
    <cfRule type="expression" dxfId="269" priority="17">
      <formula>$AV$82=2</formula>
    </cfRule>
  </conditionalFormatting>
  <conditionalFormatting sqref="AI79:AT79">
    <cfRule type="expression" dxfId="268" priority="12">
      <formula>AND($AV$78=TRUE,$BA$79=0)</formula>
    </cfRule>
  </conditionalFormatting>
  <conditionalFormatting sqref="C89:AT89">
    <cfRule type="expression" dxfId="267" priority="8">
      <formula>$AW$88="FALSE"</formula>
    </cfRule>
  </conditionalFormatting>
  <conditionalFormatting sqref="V114:Z119">
    <cfRule type="expression" dxfId="266" priority="7">
      <formula>V114=""</formula>
    </cfRule>
  </conditionalFormatting>
  <conditionalFormatting sqref="V120:Z120">
    <cfRule type="expression" dxfId="265" priority="1">
      <formula>V120=""</formula>
    </cfRule>
  </conditionalFormatting>
  <dataValidations count="98">
    <dataValidation type="list" showInputMessage="1" showErrorMessage="1" sqref="AS60:AT60">
      <formula1>"0:無,1:有"</formula1>
    </dataValidation>
    <dataValidation type="list" allowBlank="1" showInputMessage="1" showErrorMessage="1" sqref="AP45:AT45">
      <formula1>WeChatPayビジネスカテゴリ</formula1>
    </dataValidation>
    <dataValidation allowBlank="1" showInputMessage="1" showErrorMessage="1" error="小数第二位までとなります。" sqref="Y66:AB66"/>
    <dataValidation type="list" allowBlank="1" showInputMessage="1" showErrorMessage="1" sqref="O66:X66">
      <formula1>d払い業態</formula1>
    </dataValidation>
    <dataValidation type="custom" imeMode="halfAlpha" allowBlank="1" showInputMessage="1" showErrorMessage="1" error="半角英数字で入力してください。" promptTitle="パートナーコード" prompt="パートナー案件で無い場合は『-』と記入して下さい" sqref="I4:K4">
      <formula1>AND(COUNT(INDEX(FIND(MID(UPPER(I4)&amp;REPT("*",25),ROW($1:$25),1),"ABCDEFGHIJKLMNOPQRSTUVWXYZ1234567890-,  "),))=LEN(I4),LEN(I4)&lt;26)</formula1>
    </dataValidation>
    <dataValidation type="textLength" imeMode="disabled" operator="equal" allowBlank="1" showInputMessage="1" showErrorMessage="1" error="7桁で入力ください。_x000a_（7桁未満の場合は先頭に０をご入力ください。）" sqref="AI161:AJ161">
      <formula1>7</formula1>
    </dataValidation>
    <dataValidation type="textLength" operator="lessThan" allowBlank="1" showInputMessage="1" showErrorMessage="1" error="19文字以内で入力ください。" sqref="Q164:Q167 AG164:AK167 Y164:Y167 AC164:AC167">
      <formula1>20</formula1>
    </dataValidation>
    <dataValidation type="list" allowBlank="1" showInputMessage="1" showErrorMessage="1" sqref="L65:N65 L63:N63 L47:N50 L44:N45 L67:N67 L34:N34 L69:N71 L16:N19 L75:N75 L60:N60 L78:N78 L80:N80">
      <formula1>$BC$2:$BC$3</formula1>
    </dataValidation>
    <dataValidation type="list" allowBlank="1" showInputMessage="1" showErrorMessage="1" sqref="O46:P46">
      <formula1>$BE$71:$BE$72</formula1>
    </dataValidation>
    <dataValidation type="list" allowBlank="1" showInputMessage="1" showErrorMessage="1" sqref="AQ19">
      <formula1>"-,初回申込時不要"</formula1>
    </dataValidation>
    <dataValidation type="list" allowBlank="1" showInputMessage="1" showErrorMessage="1" sqref="AD109:AG109">
      <formula1>"選択してください,docomo,SoftBank"</formula1>
    </dataValidation>
    <dataValidation type="list" allowBlank="1" showInputMessage="1" showErrorMessage="1" sqref="L107:P110">
      <formula1>"選択してください,申し込む"</formula1>
    </dataValidation>
    <dataValidation type="whole" imeMode="disabled" operator="greaterThanOrEqual" allowBlank="1" showInputMessage="1" showErrorMessage="1" sqref="AK159:AT159 Q107:Z110 V113:Z113 V119:Z120">
      <formula1>0</formula1>
    </dataValidation>
    <dataValidation type="whole" imeMode="disabled" allowBlank="1" showInputMessage="1" showErrorMessage="1" sqref="AA126:AC146">
      <formula1>0</formula1>
      <formula2>9999999999</formula2>
    </dataValidation>
    <dataValidation imeMode="disabled" allowBlank="1" showInputMessage="1" showErrorMessage="1" sqref="AG71:AJ71 Q16:Q19 AG44:AJ45 Q63 Q52:X52 Q44:X45 AG29:AJ38 AC157:AC158 U69:U70 U65 AG67 Q67 U67 AG63 U63 Q69:Q70 Q65 AG69:AG70 AN65:AT65 AG65 Q160:S160 AG47:AJ50 AG52:AJ52 U75 AG75 Q75 Q71:X71 Q60:X60 AG16:AJ19 U16:U19 Q29:X38 Q47:X50 O161 AI157:AK158 Q154:S154 W154:Y154 AC154:AK154 S156:S158 AK156 Q157:R158 AO156:AQ156 AK161 Y156:Y157 AD157:AH157 W156:X158 Y161:AA161 S161:U161 AO161:AQ161 W160:Y160 K160 AG60:AJ60 AG80:AJ80 AG78:AJ78 Q78:X78 Q80:X80"/>
    <dataValidation type="custom" imeMode="disabled" allowBlank="1" showInputMessage="1" showErrorMessage="1" error="小数第二位までとなります。" sqref="Y47:AF50 Y16:AF19 Y44:AF45 Y29:AF38 Y69:Y70 Y65 AC69:AC70 AC65 Y75 Y52:AF52 AC67 Y67 Y71:AF71 Y63 AC75 Y60:AF60 AC63 Y78:AF78 Y80:AF80">
      <formula1>ROUND(Y16,4)=Y16</formula1>
    </dataValidation>
    <dataValidation type="custom" imeMode="disabled" allowBlank="1" showInputMessage="1" showErrorMessage="1" sqref="R3:S3">
      <formula1>AND(LENB(R3)=LEN(R3),LEN(R3)=3)</formula1>
    </dataValidation>
    <dataValidation type="custom" imeMode="disabled" allowBlank="1" showInputMessage="1" showErrorMessage="1" sqref="I3:K3">
      <formula1>AND(LENB(I3)=LEN(I3),LEN(I3)=5)</formula1>
    </dataValidation>
    <dataValidation type="custom" imeMode="disabled" operator="equal" allowBlank="1" showInputMessage="1" showErrorMessage="1" sqref="W3:Y3">
      <formula1>AND(LENB(W3)=LEN(W3),LEN(W3)=7)</formula1>
    </dataValidation>
    <dataValidation type="custom" imeMode="disabled" allowBlank="1" showInputMessage="1" showErrorMessage="1" errorTitle="サービス開始希望日" error="サービス開始希望日は申込年月日より未来の日付をご入力ください。" promptTitle="利用開始希望日" prompt="端末決済サービスの利用開始『希望日』です。_x000a_申込書類提出の2ヶ月以降を目安にご記入下さい。_x000a_【ご注意下さい】_x000a_審査状況や端末費用の入金時期により、ご希望に添えない場合もございますので予めご了承下さい。" sqref="AH8:AJ8">
      <formula1>AND(LEN(AH8)=4,AH8&gt;=2018,ISERROR(FIND("NG",AZ8)))</formula1>
    </dataValidation>
    <dataValidation type="custom" imeMode="disabled" allowBlank="1" showInputMessage="1" showErrorMessage="1" errorTitle="サービス開始希望日" error="サービス開始希望日は申込年月日より未来の日付をご入力ください。" promptTitle="利用開始希望日" prompt="端末決済サービスの利用開始『希望日』です。_x000a_申込書類提出の2ヶ月後以降を目安にご記入下さい。_x000a_【ご注意下さい】_x000a_審査状況や端末費用の入金時期により、ご希望に添えない場合もございますので予めご了承下さい。" sqref="AL8:AN8">
      <formula1>AND(AL8&lt;&gt;0,AL8&lt;13,ISERROR(FIND("NG",AZ8)))</formula1>
    </dataValidation>
    <dataValidation type="custom" imeMode="disabled" allowBlank="1" showInputMessage="1" showErrorMessage="1" errorTitle="サービス開始希望日" error="サービス開始希望日は申込年月日より未来の日付をご入力ください。" promptTitle="利用開始希望日" prompt="端末決済サービスの利用開始『希望日』です。_x000a_申込書類提出の2ヶ月後以降を目安にご記入下さい。_x000a_【ご注意下さい】_x000a_審査状況や端末費用の入金時期により、ご希望に添えない場合もございますので予めご了承下さい。" sqref="AP8:AR8">
      <formula1>AND(AP8&lt;&gt;0,AP8&lt;32,ISERROR(FIND("NG",AZ8)))</formula1>
    </dataValidation>
    <dataValidation type="custom" imeMode="disabled" allowBlank="1" showErrorMessage="1" errorTitle="サービス開始希望日" error="サービス開始希望日は申込年月日より未来の日付をご入力ください。" promptTitle="利用開始希望日" prompt="決済ASPサービスの利用開始『希望日』です。_x000a_申込書類提出の1ヶ月以降を目安にご記入下さい。_x000a_【ご注意下さい】_x000a_お申込の決済手段や審査状況によりご希望に添えない場合もございますので予めご了承下さい。" sqref="L8:N8">
      <formula1>AND(LEN(L8)=4,L8&gt;=2018,ISERROR(FIND("NG",AZ8)))</formula1>
    </dataValidation>
    <dataValidation type="custom" imeMode="disabled" allowBlank="1" showInputMessage="1" showErrorMessage="1" errorTitle="サービス開始希望日" error="サービス開始希望日は申込年月日より未来の日付をご入力ください。" sqref="P8:R8">
      <formula1>AND(P8&lt;&gt;0,P8&lt;13,ISERROR(FIND("NG",AZ8)))</formula1>
    </dataValidation>
    <dataValidation type="custom" imeMode="disabled" allowBlank="1" showInputMessage="1" showErrorMessage="1" errorTitle="サービス開始希望日" error="サービス開始希望日は申込年月日より未来の日付をご入力ください。" sqref="T8:V8">
      <formula1>AND(T8&lt;&gt;0,T8&lt;32,ISERROR(FIND("NG",AZ8)))</formula1>
    </dataValidation>
    <dataValidation type="list" allowBlank="1" showInputMessage="1" showErrorMessage="1" sqref="O69:P71 O29:P34 O44:P45 O47:P50 O65:P65 O63:P63 O16:O19 O67:P67 O75:P75 O60:P60 O78:P78 O80:P80">
      <formula1>"2回入金,早期2回,早期3回,早期4回,早期6回"</formula1>
    </dataValidation>
    <dataValidation type="textLength" imeMode="halfAlpha" operator="equal" allowBlank="1" showInputMessage="1" showErrorMessage="1" sqref="L99:N100">
      <formula1>5</formula1>
    </dataValidation>
    <dataValidation imeMode="halfAlpha" operator="equal" allowBlank="1" showInputMessage="1" showErrorMessage="1" errorTitle="半角数字のみ" error="半角数字8文字のみ入力可能です。_x000a_（ハイフン等入れずに入力ください）" sqref="Q96:Q97"/>
    <dataValidation imeMode="disabled" operator="equal" allowBlank="1" showInputMessage="1" showErrorMessage="1" errorTitle="半角数字のみ" error="半角数字8文字のみ入力可能です。_x000a_（ハイフン等入れずに入力ください）" sqref="AC97"/>
    <dataValidation type="whole" imeMode="halfAlpha" operator="greaterThanOrEqual" allowBlank="1" showInputMessage="1" showErrorMessage="1" errorTitle="半角数字のみ" error="半角数字8文字のみ入力可能です。_x000a_（ハイフン等入れずに入力ください）" sqref="U96:U97 L96:L97">
      <formula1>0</formula1>
    </dataValidation>
    <dataValidation type="list" allowBlank="1" showInputMessage="1" showErrorMessage="1" sqref="AI3:AK3">
      <formula1>"吉村 礼子,二河 めぐみ,吉澤 眞季,田仲 由佳,我妻 奈緒美,鈴木 琳花,浜口 真歩"</formula1>
    </dataValidation>
    <dataValidation type="list" allowBlank="1" showInputMessage="1" showErrorMessage="1" sqref="AL65552:AT65552 AL983056:AT983056 AL917520:AT917520 AL851984:AT851984 AL786448:AT786448 AL720912:AT720912 AL655376:AT655376 AL589840:AT589840 AL524304:AT524304 AL458768:AT458768 AL393232:AT393232 AL327696:AT327696 AL262160:AT262160 AL196624:AT196624 AL131088:AT131088">
      <formula1>$AZ$2:$AZ$10</formula1>
    </dataValidation>
    <dataValidation imeMode="halfAlpha" allowBlank="1" showInputMessage="1" showErrorMessage="1" sqref="AF65698:AT65698 AF131234:AT131234 AF196770:AT196770 AF262306:AT262306 AF327842:AT327842 AF393378:AT393378 AF458914:AT458914 AF524450:AT524450 AF589986:AT589986 AF655522:AT655522 AF721058:AT721058 AF786594:AT786594 AF852130:AT852130 AF917666:AT917666 AF983202:AT983202 I65533:X65533 I131069:X131069 I196605:X196605 I262141:X262141 I327677:X327677 I393213:X393213 I458749:X458749 I524285:X524285 I589821:X589821 I655357:X655357 I720893:X720893 I786429:X786429 I851965:X851965 I917501:X917501 I983037:X983037 AQ65538:AR65539 AQ131074:AR131075 AQ196610:AR196611 AQ262146:AR262147 AQ327682:AR327683 AQ393218:AR393219 AQ458754:AR458755 AQ524290:AR524291 AQ589826:AR589827 AQ655362:AR655363 AQ720898:AR720899 AQ786434:AR786435 AQ851970:AR851971 AQ917506:AR917507 AQ983042:AR983043 I65536:AT65536 I131072:AT131072 I196608:AT196608 I262144:AT262144 I327680:AT327680 I393216:AT393216 I458752:AT458752 I524288:AT524288 I589824:AT589824 I655360:AT655360 I720896:AT720896 I786432:AT786432 I851968:AT851968 I917504:AT917504 I983040:AT983040 AC65553:AE65553 AC131089:AE131089 AC196625:AE196625 AC262161:AE262161 AC327697:AE327697 AC393233:AE393233 AC458769:AE458769 AC524305:AE524305 AC589841:AE589841 AC655377:AE655377 AC720913:AE720913 AC786449:AE786449 AC851985:AE851985 AC917521:AE917521 AC983057:AE983057 AH65553:AJ65553 AH131089:AJ131089 AH196625:AJ196625 AH262161:AJ262161 AH327697:AJ327697 AH393233:AJ393233 AH458769:AJ458769 AH524305:AJ524305 AH589841:AJ589841 AH655377:AJ655377 AH720913:AJ720913 AH786449:AJ786449 AH851985:AJ851985 AH917521:AJ917521 AH983057:AJ983057 AQ65553:AS65553 AQ131089:AS131089 AQ196625:AS196625 AQ262161:AS262161 AQ327697:AS327697 AQ393233:AS393233 AQ458769:AS458769 AQ524305:AS524305 AQ589841:AS589841 AQ655377:AS655377 AQ720913:AS720913 AQ786449:AS786449 AQ851985:AS851985 AQ917521:AS917521 AQ983057:AS983057 AE65670:AT65670 AE131206:AT131206 AE196742:AT196742 AE262278:AT262278 AE327814:AT327814 AE393350:AT393350 AE458886:AT458886 AE524422:AT524422 AE589958:AT589958 AE655494:AT655494 AE721030:AT721030 AE786566:AT786566 AE852102:AT852102 AE917638:AT917638 AE983174:AT983174 AE65673:AT65674 AE131209:AT131210 AE196745:AT196746 AE262281:AT262282 AE327817:AT327818 AE393353:AT393354 AE458889:AT458890 AE524425:AT524426 AE589961:AT589962 AE655497:AT655498 AE721033:AT721034 AE786569:AT786570 AE852105:AT852106 AE917641:AT917642 AE983177:AT983178 AE65676:AT65677 AE131212:AT131213 AE196748:AT196749 AE262284:AT262285 AE327820:AT327821 AE393356:AT393357 AE458892:AT458893 AE524428:AT524429 AE589964:AT589965 AE655500:AT655501 AE721036:AT721037 AE786572:AT786573 AE852108:AT852109 AE917644:AT917645 AE983180:AT983181 I65686:P65687 I131222:P131223 I196758:P196759 I262294:P262295 I327830:P327831 I393366:P393367 I458902:P458903 I524438:P524439 I589974:P589975 I655510:P655511 I721046:P721047 I786582:P786583 I852118:P852119 I917654:P917655 I983190:P983191 V65686:AA65687 V131222:AA131223 V196758:AA196759 V262294:AA262295 V327830:AA327831 V393366:AA393367 V458902:AA458903 V524438:AA524439 V589974:AA589975 V655510:AA655511 V721046:AA721047 V786582:AA786583 V852118:AA852119 V917654:AA917655 V983190:AA983191 V65688:AI65689 V131224:AI131225 V196760:AI196761 V262296:AI262297 V327832:AI327833 V393368:AI393369 V458904:AI458905 V524440:AI524441 V589976:AI589977 V655512:AI655513 V721048:AI721049 V786584:AI786585 V852120:AI852121 V917656:AI917657 V983192:AI983193 AQ7:AT7 AP3:AT3 AP5:AP7 AQ5:AT5"/>
    <dataValidation imeMode="hiragana" allowBlank="1" showInputMessage="1" showErrorMessage="1" sqref="I65535:AT65535 I131071:AT131071 I196607:AT196607 I262143:AT262143 I327679:AT327679 I393215:AT393215 I458751:AT458751 I524287:AT524287 I589823:AT589823 I655359:AT655359 I720895:AT720895 I786431:AT786431 I851967:AT851967 I917503:AT917503 I983039:AT983039 I65527:AT65528 I131063:AT131064 I196599:AT196600 I262135:AT262136 I327671:AT327672 I393207:AT393208 I458743:AT458744 I524279:AT524280 I589815:AT589816 I655351:AT655352 I720887:AT720888 I786423:AT786424 I851959:AT851960 I917495:AT917496 I983031:AT983032 W65537:AA65539 W131073:AA131075 W196609:AA196611 W262145:AA262147 W327681:AA327683 W393217:AA393219 W458753:AA458755 W524289:AA524291 W589825:AA589827 W655361:AA655363 W720897:AA720899 W786433:AA786435 W851969:AA851971 W917505:AA917507 W983041:AA983043 I65538:Q65539 I131074:Q131075 I196610:Q196611 I262146:Q262147 I327682:Q327683 I393218:Q393219 I458754:Q458755 I524290:Q524291 I589826:Q589827 I655362:Q655363 I720898:Q720899 I786434:Q786435 I851970:Q851971 I917506:Q917507 I983042:Q983043 I65679:AT65680 I131215:AT131216 I196751:AT196752 I262287:AT262288 I327823:AT327824 I393359:AT393360 I458895:AT458896 I524431:AT524432 I589967:AT589968 I655503:AT655504 I721039:AT721040 I786575:AT786576 I852111:AT852112 I917647:AT917648 I983183:AT983184 AE65669:AT65669 AE131205:AT131205 AE196741:AT196741 AE262277:AT262277 AE327813:AT327813 AE393349:AT393349 AE458885:AT458885 AE524421:AT524421 AE589957:AT589957 AE655493:AT655493 AE721029:AT721029 AE786565:AT786565 AE852101:AT852101 AE917637:AT917637 AE983173:AT983173 AE65672:AT65672 AE131208:AT131208 AE196744:AT196744 AE262280:AT262280 AE327816:AT327816 AE393352:AT393352 AE458888:AT458888 AE524424:AT524424 AE589960:AT589960 AE655496:AT655496 AE721032:AT721032 AE786568:AT786568 AE852104:AT852104 AE917640:AT917640 AE983176:AT983176 AE65675:AT65675 AE131211:AT131211 AE196747:AT196747 AE262283:AT262283 AE327819:AT327819 AE393355:AT393355 AE458891:AT458891 AE524427:AT524427 AE589963:AT589963 AE655499:AT655499 AE721035:AT721035 AE786571:AT786571 AE852107:AT852107 AE917643:AT917643 AE983179:AT983179 I65684:R65685 I131220:R131221 I196756:R196757 I262292:R262293 I327828:R327829 I393364:R393365 I458900:R458901 I524436:R524437 I589972:R589973 I655508:R655509 I721044:R721045 I786580:R786581 I852116:R852117 I917652:R917653 I983188:R983189 AG65684:AN65685 AG131220:AN131221 AG196756:AN196757 AG262292:AN262293 AG327828:AN327829 AG393364:AN393365 AG458900:AN458901 AG524436:AN524437 AG589972:AN589973 AG655508:AN655509 AG721044:AN721045 AG786580:AN786581 AG852116:AN852117 AG917652:AN917653 AG983188:AN983189 I65690:AT65691 I131226:AT131227 I196762:AT196763 I262298:AT262299 I327834:AT327835 I393370:AT393371 I458906:AT458907 I524442:AT524443 I589978:AT589979 I655514:AT655515 I721050:AT721051 I786586:AT786587 I852122:AT852123 I917658:AT917659 I983194:AT983195 AB131251 S65705:AT65705 S131241:AT131241 S196777:AT196777 S262313:AT262313 S327849:AT327849 S393385:AT393385 S458921:AT458921 S524457:AT524457 S589993:AT589993 S655529:AT655529 S721065:AT721065 S786601:AT786601 S852137:AT852137 S917673:AT917673 S983209:AT983209 AB196787 U65706:AS65706 U131242:AS131242 U196778:AS196778 U262314:AS262314 U327850:AS327850 U393386:AS393386 U458922:AS458922 U524458:AS524458 U589994:AS589994 U655530:AS655530 U721066:AS721066 U786602:AS786602 U852138:AS852138 U917674:AS917674 U983210:AS983210 AB262323 N65707:AA65707 N131243:AA131243 N196779:AA196779 N262315:AA262315 N327851:AA327851 N393387:AA393387 N458923:AA458923 N524459:AA524459 N589995:AA589995 N655531:AA655531 N721067:AA721067 N786603:AA786603 N852139:AA852139 N917675:AA917675 N983211:AA983211 AB327859 AG65707:AT65707 AG131243:AT131243 AG196779:AT196779 AG262315:AT262315 AG327851:AT327851 AG393387:AT393387 AG458923:AT458923 AG524459:AT524459 AG589995:AT589995 AG655531:AT655531 AG721067:AT721067 AG786603:AT786603 AG852139:AT852139 AG917675:AT917675 AG983211:AT983211 X65708:AS65708 X131244:AS131244 X196780:AS196780 X262316:AS262316 X327852:AS327852 X393388:AS393388 X458924:AS458924 X524460:AS524460 X589996:AS589996 X655532:AS655532 X721068:AS721068 X786604:AS786604 X852140:AS852140 X917676:AS917676 X983212:AS983212 AB393395 N65709:AA65710 N131245:AA131246 N196781:AA196782 N262317:AA262318 N327853:AA327854 N393389:AA393390 N458925:AA458926 N524461:AA524462 N589997:AA589998 N655533:AA655534 N721069:AA721070 N786605:AA786606 N852141:AA852142 N917677:AA917678 N983213:AA983214 AB458931 AG65709:AT65710 AG131245:AT131246 AG196781:AT196782 AG262317:AT262318 AG327853:AT327854 AG393389:AT393390 AG458925:AT458926 AG524461:AT524462 AG589997:AT589998 AG655533:AT655534 AG721069:AT721070 AG786605:AT786606 AG852141:AT852142 AG917677:AT917678 AG983213:AT983214 AB524467 U65702:AS65703 U131238:AS131239 U196774:AS196775 U262310:AS262311 U327846:AS327847 U393382:AS393383 U458918:AS458919 U524454:AS524455 U589990:AS589991 U655526:AS655527 U721062:AS721063 U786598:AS786599 U852134:AS852135 U917670:AS917671 U983206:AS983207 AB590003 I65701:Y65701 I131237:Y131237 I196773:Y196773 I262309:Y262309 I327845:Y327845 I393381:Y393381 I458917:Y458917 I524453:Y524453 I589989:Y589989 I655525:Y655525 I721061:Y721061 I786597:Y786597 I852133:Y852133 I917669:Y917669 I983205:Y983205 AB655539 AE65701:AT65701 AE131237:AT131237 AE196773:AT196773 AE262309:AT262309 AE327845:AT327845 AE393381:AT393381 AE458917:AT458917 AE524453:AT524453 AE589989:AT589989 AE655525:AT655525 AE721061:AT721061 AE786597:AT786597 AE852133:AT852133 AE917669:AT917669 AE983205:AT983205 AB721075 X65700:AT65700 X131236:AT131236 X196772:AT196772 X262308:AT262308 X327844:AT327844 X393380:AT393380 X458916:AT458916 X524452:AT524452 X589988:AT589988 X655524:AT655524 X721060:AT721060 X786596:AT786596 X852132:AT852132 X917668:AT917668 X983204:AT983204 AB786611 Z65699:AT65699 Z131235:AT131235 Z196771:AT196771 Z262307:AT262307 Z327843:AT327843 Z393379:AT393379 Z458915:AT458915 Z524451:AT524451 Z589987:AT589987 Z655523:AT655523 Z721059:AT721059 Z786595:AT786595 Z852131:AT852131 Z917667:AT917667 Z983203:AT983203 AB852147 W65704 W131240 W196776 W262312 W327848 W393384 W458920 W524456 W589992 W655528 W721064 W786600 W852136 W917672 W983208 AB917683 W65711:W65714 W131247:W131250 W196783:W196786 W262319:W262322 W327855:W327858 W393391:W393394 W458927:W458930 W524463:W524466 W589999:W590002 W655535:W655538 W721071:W721074 W786607:W786610 W852143:W852146 W917679:W917682 W983215:W983218 AB983219 AB65715 K152:X153 AA153:AT153 Q155"/>
    <dataValidation type="list" allowBlank="1" showInputMessage="1" showErrorMessage="1" sqref="L983153:N983161 L852081:N852089 L786545:N786553 L721009:N721017 L655473:N655481 L589937:N589945 L524401:N524409 L458865:N458873 L393329:N393337 L327793:N327801 L262257:N262265 L196721:N196729 L131185:N131193 L65649:N65657 L983127:N983150 L917591:N917614 L852055:N852078 L786519:N786542 L720983:N721006 L655447:N655470 L589911:N589934 L524375:N524398 L458839:N458862 L393303:N393326 L327767:N327790 L262231:N262254 L196695:N196718 L131159:N131182 L65623:N65646 L917617:N917625 L983122:N983124 L917586:N917588 L852050:N852052 L786514:N786516 L720978:N720980 L655442:N655444 L589906:N589908 L524370:N524372 L458834:N458836 L393298:N393300 L327762:N327764 L262226:N262228 L196690:N196692 L131154:N131156 L65618:N65620 L983117:N983119 L917581:N917583 L852045:N852047 L786509:N786511 L720973:N720975 L655437:N655439 L589901:N589903 L524365:N524367 L458829:N458831 L393293:N393295 L327757:N327759 L262221:N262223 L196685:N196687 L131149:N131151 L65613:N65615 L983110:N983114 L917574:N917578 L852038:N852042 L786502:N786506 L720966:N720970 L655430:N655434 L589894:N589898 L524358:N524362 L458822:N458826 L393286:N393290 L327750:N327754 L262214:N262218 L196678:N196682 L131142:N131146 L65606:N65610 L983104:N983107 L917568:N917571 L852032:N852035 L786496:N786499 L720960:N720963 L655424:N655427 L589888:N589891 L524352:N524355 L458816:N458819 L393280:N393283 L327744:N327747 L262208:N262211 L196672:N196675 L131136:N131139 L65600:N65603 L983095:N983101 L917559:N917565 L852023:N852029 L786487:N786493 L720951:N720957 L655415:N655421 L589879:N589885 L524343:N524349 L458807:N458813 L393271:N393277 L327735:N327741 L262199:N262205 L196663:N196669 L131127:N131133 L65591:N65597 L983086:N983092 L917550:N917556 L852014:N852020 L786478:N786484 L720942:N720948 L655406:N655412 L589870:N589876 L524334:N524340 L458798:N458804 L393262:N393268 L327726:N327732 L262190:N262196 L196654:N196660 L131118:N131124 L65582:N65588 L983081:N983083 L917545:N917547 L852009:N852011 L786473:N786475 L720937:N720939 L655401:N655403 L589865:N589867 L524329:N524331 L458793:N458795 L393257:N393259 L327721:N327723 L262185:N262187 L196649:N196651 L131113:N131115 L65577:N65579 L983078:N983079 L917542:N917543 L852006:N852007 L786470:N786471 L720934:N720935 L655398:N655399 L589862:N589863 L524326:N524327 L458790:N458791 L393254:N393255 L327718:N327719 L262182:N262183 L196646:N196647 L131110:N131111 L65574:N65575 L983069:N983072 L917533:N917536 L851997:N852000 L786461:N786464 L720925:N720928 L655389:N655392 L589853:N589856 L524317:N524320 L458781:N458784 L393245:N393248 L327709:N327712 L262173:N262176 L196637:N196640 L131101:N131104 L65565:N65568">
      <formula1>$CF$29:$CF$30</formula1>
    </dataValidation>
    <dataValidation allowBlank="1" showInputMessage="1" showErrorMessage="1" promptTitle="E-mailアドレス" prompt="設定できるE-mailアドレスは1つです。_x000a_メーリングリストのご指定を推奨しております。" sqref="Z65671:AD65671 Z131207:AD131207 Z196743:AD196743 Z262279:AD262279 Z327815:AD327815 Z393351:AD393351 Z458887:AD458887 Z524423:AD524423 Z589959:AD589959 Z655495:AD655495 Z721031:AD721031 Z786567:AD786567 Z852103:AD852103 Z917639:AD917639 Z983175:AD983175"/>
    <dataValidation imeMode="halfAlpha" allowBlank="1" showInputMessage="1" showErrorMessage="1" promptTitle="メールアドレス" prompt="グループアドレスのご指定を推奨しております。" sqref="AE65671:AT65671 AE131207:AT131207 AE196743:AT196743 AE262279:AT262279 AE327815:AT327815 AE393351:AT393351 AE458887:AT458887 AE524423:AT524423 AE589959:AT589959 AE655495:AT655495 AE721031:AT721031 AE786567:AT786567 AE852103:AT852103 AE917639:AT917639 AE983175:AT983175"/>
    <dataValidation imeMode="halfAlpha" allowBlank="1" showInputMessage="1" showErrorMessage="1" promptTitle="FAX番号" prompt="FAXが無い場合は『00-0000-0000』とご入力下さい。" sqref="AE65533:AT65533 AE131069:AT131069 AE196605:AT196605 AE262141:AT262141 AE327677:AT327677 AE393213:AT393213 AE458749:AT458749 AE524285:AT524285 AE589821:AT589821 AE655357:AT655357 AE720893:AT720893 AE786429:AT786429 AE851965:AT851965 AE917501:AT917501 AE983037:AT983037 AE65678:AT65678 AE131214:AT131214 AE196750:AT196750 AE262286:AT262286 AE327822:AT327822 AE393358:AT393358 AE458894:AT458894 AE524430:AT524430 AE589966:AT589966 AE655502:AT655502 AE721038:AT721038 AE786574:AT786574 AE852110:AT852110 AE917646:AT917646 AE983182:AT983182"/>
    <dataValidation type="whole" imeMode="halfAlpha" allowBlank="1" showInputMessage="1" showErrorMessage="1" promptTitle="利用開始希望日" prompt="決済ASPサービスの利用開始『希望日』です。_x000a_申込書類提出の1ヶ月以降を目安にご記入下さい。_x000a_【ご注意下さい】_x000a_お申込の決済手段や審査状況によりご希望に添えない場合もございますので予めご了承下さい。" sqref="AQ65521:AR65522 AQ131057:AR131058 AQ196593:AR196594 AQ262129:AR262130 AQ327665:AR327666 AQ393201:AR393202 AQ458737:AR458738 AQ524273:AR524274 AQ589809:AR589810 AQ655345:AR655346 AQ720881:AR720882 AQ786417:AR786418 AQ851953:AR851954 AQ917489:AR917490 AQ983025:AR983026">
      <formula1>1</formula1>
      <formula2>31</formula2>
    </dataValidation>
    <dataValidation type="whole" imeMode="halfAlpha" allowBlank="1" showInputMessage="1" showErrorMessage="1" promptTitle="利用開始希望日" prompt="決済ASPサービスの利用開始『希望日』です。_x000a_申込書類提出の1ヶ月以降を目安にご記入下さい。_x000a_【ご注意下さい】_x000a_お申込の決済手段や審査状況によりご希望に添えない場合もございますので予めご了承下さい。" sqref="AM65521:AN65522 AM131057:AN131058 AM196593:AN196594 AM262129:AN262130 AM327665:AN327666 AM393201:AN393202 AM458737:AN458738 AM524273:AN524274 AM589809:AN589810 AM655345:AN655346 AM720881:AN720882 AM786417:AN786418 AM851953:AN851954 AM917489:AN917490 AM983025:AN983026">
      <formula1>1</formula1>
      <formula2>12</formula2>
    </dataValidation>
    <dataValidation type="whole" imeMode="halfAlpha" allowBlank="1" showInputMessage="1" showErrorMessage="1" promptTitle="利用開始希望日" prompt="決済ASPサービスの利用開始『希望日』です。_x000a_申込書類提出の1ヶ月以降を目安にご記入下さい。_x000a_【ご注意下さい】_x000a_お申込の決済手段や審査状況によりご希望に添えない場合もございますので予めご了承下さい。" sqref="AH65521:AJ65522 AH131057:AJ131058 AH196593:AJ196594 AH262129:AJ262130 AH327665:AJ327666 AH393201:AJ393202 AH458737:AJ458738 AH524273:AJ524274 AH589809:AJ589810 AH655345:AJ655346 AH720881:AJ720882 AH786417:AJ786418 AH851953:AJ851954 AH917489:AJ917490 AH983025:AJ983026">
      <formula1>2012</formula1>
      <formula2>2020</formula2>
    </dataValidation>
    <dataValidation type="whole" imeMode="halfAlpha" allowBlank="1" showInputMessage="1" showErrorMessage="1" promptTitle="年商" prompt="設立初年度などは『0』とご入力下さい。" sqref="AN65534:AR65534 AN131070:AR131070 AN196606:AR196606 AN262142:AR262142 AN327678:AR327678 AN393214:AR393214 AN458750:AR458750 AN524286:AR524286 AN589822:AR589822 AN655358:AR655358 AN720894:AR720894 AN786430:AR786430 AN851966:AR851966 AN917502:AR917502 AN983038:AR983038">
      <formula1>0</formula1>
      <formula2>9999999999999</formula2>
    </dataValidation>
    <dataValidation type="whole" imeMode="halfAlpha" allowBlank="1" showInputMessage="1" showErrorMessage="1" sqref="AA65534:AE65534 AA131070:AE131070 AA196606:AE196606 AA262142:AE262142 AA327678:AE327678 AA393214:AE393214 AA458750:AE458750 AA524286:AE524286 AA589822:AE589822 AA655358:AE655358 AA720894:AE720894 AA786430:AE786430 AA851966:AE851966 AA917502:AE917502 AA983038:AE983038">
      <formula1>0</formula1>
      <formula2>99999999999</formula2>
    </dataValidation>
    <dataValidation type="textLength" imeMode="halfAlpha" allowBlank="1" showInputMessage="1" showErrorMessage="1" sqref="R983007 R65503 R131039 R196575 R262111 R327647 R393183 R458719 R524255 R589791 R655327 R720863 R786399 R851935 R917471">
      <formula1>3</formula1>
      <formula2>3</formula2>
    </dataValidation>
    <dataValidation type="textLength" imeMode="halfAlpha" allowBlank="1" showInputMessage="1" showErrorMessage="1" sqref="I983007 I65503 I131039 I196575 I262111 I327647 I393183 I458719 I524255 I589791 I655327 I720863 I786399 I851935 I917471">
      <formula1>5</formula1>
      <formula2>5</formula2>
    </dataValidation>
    <dataValidation type="whole" imeMode="halfAlpha" allowBlank="1" showInputMessage="1" showErrorMessage="1" sqref="AI65538:AJ65539 AI131074:AJ131075 AI196610:AJ196611 AI262146:AJ262147 AI327682:AJ327683 AI393218:AJ393219 AI458754:AJ458755 AI524290:AJ524291 AI589826:AJ589827 AI655362:AJ655363 AI720898:AJ720899 AI786434:AJ786435 AI851970:AJ851971 AI917506:AJ917507 AI983042:AJ983043">
      <formula1>1900</formula1>
      <formula2>2020</formula2>
    </dataValidation>
    <dataValidation type="textLength" imeMode="halfAlpha" operator="lessThanOrEqual" allowBlank="1" showInputMessage="1" showErrorMessage="1" errorTitle="文字数制限がございます" error="25文字を超える設定は出来ません。" sqref="AB65546:AT65547 AB131082:AT131083 AB196618:AT196619 AB262154:AT262155 AB327690:AT327691 AB393226:AT393227 AB458762:AT458763 AB524298:AT524299 AB589834:AT589835 AB655370:AT655371 AB720906:AT720907 AB786442:AT786443 AB851978:AT851979 AB917514:AT917515 AB983050:AT983051">
      <formula1>25</formula1>
    </dataValidation>
    <dataValidation type="whole" imeMode="halfAlpha" allowBlank="1" showInputMessage="1" showErrorMessage="1" sqref="K65534:L65534 K131070:L131070 K196606:L196606 K262142:L262142 K327678:L327678 K393214:L393214 K458750:L458750 K524286:L524286 K589822:L589822 K655358:L655358 K720894:L720894 K786430:L786430 K851966:L851966 K917502:L917502 K983038:L983038">
      <formula1>1000</formula1>
      <formula2>2020</formula2>
    </dataValidation>
    <dataValidation type="textLength" imeMode="halfAlpha" operator="equal" allowBlank="1" showInputMessage="1" showErrorMessage="1" sqref="J65530:K65530 J131066:K131066 J196602:K196602 J262138:K262138 J327674:K327674 J393210:K393210 J458746:K458746 J524282:K524282 J589818:K589818 J655354:K655354 J720890:K720890 J786426:K786426 J851962:K851962 J917498:K917498 J983034:K983034 J65678:K65678 J131214:K131214 J196750:K196750 J262286:K262286 J327822:K327822 J393358:K393358 J458894:K458894 J524430:K524430 J589966:K589966 J655502:K655502 J721038:K721038 J786574:K786574 J852110:K852110 J917646:K917646 J983182:K983182 O99:P100">
      <formula1>3</formula1>
    </dataValidation>
    <dataValidation type="textLength" imeMode="halfAlpha" operator="equal" allowBlank="1" showInputMessage="1" showErrorMessage="1" sqref="M65530:P65530 M131066:P131066 M196602:P196602 M262138:P262138 M327674:P327674 M393210:P393210 M458746:P458746 M524282:P524282 M589818:P589818 M655354:P655354 M720890:P720890 M786426:P786426 M851962:P851962 M917498:P917498 M983034:P983034 M65678:N65678 M131214:N131214 M196750:N196750 M262286:N262286 M327822:N327822 M393358:N393358 M458894:N458894 M524430:N524430 M589966:N589966 M655502:N655502 M721038:N721038 M786574:N786574 M852110:N852110 M917646:N917646 M983182:N983182">
      <formula1>4</formula1>
    </dataValidation>
    <dataValidation type="whole" imeMode="halfAlpha" allowBlank="1" showInputMessage="1" showErrorMessage="1" sqref="K983025:M983026 K65521:M65522 K131057:M131058 K196593:M196594 K262129:M262130 K327665:M327666 K393201:M393202 K458737:M458738 K524273:M524274 K589809:M589810 K655345:M655346 K720881:M720882 K786417:M786418 K851953:M851954 K917489:M917490">
      <formula1>2014</formula1>
      <formula2>2020</formula2>
    </dataValidation>
    <dataValidation type="whole" imeMode="halfAlpha" allowBlank="1" showInputMessage="1" showErrorMessage="1" sqref="AM65538:AN65539 AM131074:AN131075 AM196610:AN196611 AM262146:AN262147 AM327682:AN327683 AM393218:AN393219 AM458754:AN458755 AM524290:AN524291 AM589826:AN589827 AM655362:AN655363 AM720898:AN720899 AM786434:AN786435 AM851970:AN851971 AM917506:AN917507 AM983042:AN983043 N65534:O65534 N131070:O131070 N196606:O196606 N262142:O262142 N327678:O327678 N393214:O393214 N458750:O458750 N524286:O524286 N589822:O589822 N655358:O655358 N720894:O720894 N786430:O786430 N851966:O851966 N917502:O917502 N983038:O983038 Z65550 Z131086 Z196622 Z262158 Z327694 Z393230 Z458766 Z524302 Z589838 Z655374 Z720910 Z786446 Z851982 Z917518 Z983054 AQ65555 AQ131091 AQ196627 AQ262163 AQ327699 AQ393235 AQ458771 AQ524307 AQ589843 AQ655379 AQ720915 AQ786451 AQ851987 AQ917523 AQ983059 P65521:R65522 P131057:R131058 P196593:R196594 P262129:R262130 P327665:R327666 P393201:R393202 P458737:R458738 P524273:R524274 P589809:R589810 P655345:R655346 P720881:R720882 P786417:R786418 P851953:R851954 P917489:R917490 P983025:R983026">
      <formula1>1</formula1>
      <formula2>12</formula2>
    </dataValidation>
    <dataValidation imeMode="hiragana" allowBlank="1" showInputMessage="1" showErrorMessage="1" promptTitle="ご確認下さい！" prompt="該当サイトが公開前の場合、必ず別途サービス概要資料や商材価格表をご提出下さい。" sqref="I65551:AK65552 I131087:AK131088 I196623:AK196624 I262159:AK262160 I327695:AK327696 I393231:AK393232 I458767:AK458768 I524303:AK524304 I589839:AK589840 I655375:AK655376 I720911:AK720912 I786447:AK786448 I851983:AK851984 I917519:AK917520 I983055:AK983056"/>
    <dataValidation imeMode="fullKatakana" allowBlank="1" showInputMessage="1" showErrorMessage="1" sqref="I65526:AT65526 I131062:AT131062 I196598:AT196598 I262134:AT262134 I327670:AT327670 I393206:AT393206 I458742:AT458742 I524278:AT524278 I589814:AT589814 I655350:AT655350 I720886:AT720886 I786422:AT786422 I851958:AT851958 I917494:AT917494 I983030:AT983030 I65529:AT65529 I131065:AT131065 I196601:AT196601 I262137:AT262137 I327673:AT327673 I393209:AT393209 I458745:AT458745 I524281:AT524281 I589817:AT589817 I655353:AT655353 I720889:AT720889 I786425:AT786425 I851961:AT851961 I917497:AT917497 I983033:AT983033 I65537:Q65537 I131073:Q131073 I196609:Q196609 I262145:Q262145 I327681:Q327681 I393217:Q393217 I458753:Q458753 I524289:Q524289 I589825:Q589825 I655361:Q655361 I720897:Q720897 I786433:Q786433 I851969:Q851969 I917505:Q917505 I983041:Q983041 I65545:AA65545 I131081:AA131081 I196617:AA196617 I262153:AA262153 I327689:AA327689 I393225:AA393225 I458761:AA458761 I524297:AA524297 I589833:AA589833 I655369:AA655369 I720905:AA720905 I786441:AA786441 I851977:AA851977 I917513:AA917513 I983049:AA983049 I65669:Y65669 I131205:Y131205 I196741:Y196741 I262277:Y262277 I327813:Y327813 I393349:Y393349 I458885:Y458885 I524421:Y524421 I589957:Y589957 I655493:Y655493 I721029:Y721029 I786565:Y786565 I852101:Y852101 I917637:Y917637 I983173:Y983173 I65672:Y65672 I131208:Y131208 I196744:Y196744 I262280:Y262280 I327816:Y327816 I393352:Y393352 I458888:Y458888 I524424:Y524424 I589960:Y589960 I655496:Y655496 I721032:Y721032 I786568:Y786568 I852104:Y852104 I917640:Y917640 I983176:Y983176 I65675:Y65675 I131211:Y131211 I196747:Y196747 I262283:Y262283 I327819:Y327819 I393355:Y393355 I458891:Y458891 I524427:Y524427 I589963:Y589963 I655499:Y655499 I721035:Y721035 I786571:Y786571 I852107:Y852107 I917643:Y917643 I983179:Y983179"/>
    <dataValidation imeMode="halfAlpha" allowBlank="1" showInputMessage="1" showErrorMessage="1" promptTitle="サイトURL" prompt="http://やhttps://を省略せずご記入下さい。_x000a_企業HPや店舗HPではなく、決済サービスをご利用いただくサイトのトップページのURLをご記入いただく必要がございます。" sqref="I65548:AH65549 I131084:AH131085 I196620:AH196621 I262156:AH262157 I327692:AH327693 I393228:AH393229 I458764:AH458765 I524300:AH524301 I589836:AH589837 I655372:AH655373 I720908:AH720909 I786444:AH786445 I851980:AH851981 I917516:AH917517 I983052:AH983053"/>
    <dataValidation type="list" allowBlank="1" showInputMessage="1" showErrorMessage="1" sqref="C983078:I983078 C917542:I917542 C852006:I852006 C786470:I786470 C720934:I720934 C655398:I655398 C589862:I589862 C524326:I524326 C458790:I458790 C393254:I393254 C327718:I327718 C262182:I262182 C196646:I196646 C131110:I131110 C65574:I65574">
      <formula1>$CF$15:$CF$16</formula1>
    </dataValidation>
    <dataValidation type="list" allowBlank="1" showInputMessage="1" showErrorMessage="1" sqref="C983069:I983069 C917533:I917533 C851997:I851997 C786461:I786461 C720925:I720925 C655389:I655389 C589853:I589853 C524317:I524317 C458781:I458781 C393245:I393245 C327709:I327709 C262173:I262173 C196637:I196637 C131101:I131101 C65565:I65565">
      <formula1>$CF$11:$CF$12</formula1>
    </dataValidation>
    <dataValidation type="textLength" imeMode="halfAlpha" operator="greaterThanOrEqual" allowBlank="1" showInputMessage="1" showErrorMessage="1" sqref="AB65555:AH65555 AB131091:AH131091 AB196627:AH196627 AB262163:AH262163 AB327699:AH327699 AB393235:AH393235 AB458771:AH458771 AB524307:AH524307 AB589843:AH589843 AB655379:AH655379 AB720915:AH720915 AB786451:AH786451 AB851987:AH851987 AB917523:AH917523 AB983059:AH983059">
      <formula1>1</formula1>
    </dataValidation>
    <dataValidation type="list" allowBlank="1" showInputMessage="1" showErrorMessage="1" sqref="C983079:I983079 C917543:I917543 C852007:I852007 C786471:I786471 C720935:I720935 C655399:I655399 C589863:I589863 C524327:I524327 C458791:I458791 C393255:I393255 C327719:I327719 C262183:I262183 C196647:I196647 C131111:I131111 C65575:I65575">
      <formula1>$CF$18:$CF$22</formula1>
    </dataValidation>
    <dataValidation type="list" allowBlank="1" showDropDown="1" showInputMessage="1" showErrorMessage="1" errorTitle="トランザクション費" error="トランザクション費は決済手段毎に設定できません。_x000a_対象外とする場合はDeleteキーで消して下さい。" promptTitle="トランザクション費" prompt="トランザクション費は全決済手段で一律です。_x000a_対象とするかしないかは決済手段毎に設定することが可能ですが、決済手段毎にトランザクション費を変えることは出来ませんのでご注意下さい。_x000a_対象外とする場合はDeleteキーで消して下さい。" sqref="AG983101:AJ983101 AG65597:AJ65597 AG131133:AJ131133 AG196669:AJ196669 AG262205:AJ262205 AG327741:AJ327741 AG393277:AJ393277 AG458813:AJ458813 AG524349:AJ524349 AG589885:AJ589885 AG655421:AJ655421 AG720957:AJ720957 AG786493:AJ786493 AG852029:AJ852029 AG917565:AJ917565">
      <formula1>#REF!</formula1>
    </dataValidation>
    <dataValidation type="list" allowBlank="1" showDropDown="1" showInputMessage="1" showErrorMessage="1" errorTitle="ASP手数料" error="ASP手数料は決済手段毎に設定出来ません。_x000a_対象外とする場合はDeleteキーで消して下さい。" promptTitle="ASP手数料" prompt="ASP手数料は全決済手段で一律です。_x000a_対象とするかしないかは決済手段毎に設定することが可能ですが、決済手段毎にASP手数料を変えることは出来ませんのでご注意下さい。_x000a_対象外とする場合はDeleteキーで消して下さい。_x000a_" sqref="AC983101:AF983101 AC65597:AF65597 AC131133:AF131133 AC196669:AF196669 AC262205:AF262205 AC327741:AF327741 AC393277:AF393277 AC458813:AF458813 AC524349:AF524349 AC589885:AF589885 AC655421:AF655421 AC720957:AF720957 AC786493:AF786493 AC852029:AF852029 AC917565:AF917565">
      <formula1>#REF!</formula1>
    </dataValidation>
    <dataValidation imeMode="hiragana" allowBlank="1" showInputMessage="1" showErrorMessage="1" promptTitle="会社所在地" prompt="都道府県名からご記入下さい" sqref="I65531:AT65532 I131067:AT131068 I196603:AT196604 I262139:AT262140 I327675:AT327676 I393211:AT393212 I458747:AT458748 I524283:AT524284 I589819:AT589820 I655355:AT655356 I720891:AT720892 I786427:AT786428 I851963:AT851964 I917499:AT917500 I983035:AT983036"/>
    <dataValidation type="whole" imeMode="halfAlpha" allowBlank="1" showInputMessage="1" showErrorMessage="1" sqref="Q65534:R65534 Q131070:R131070 Q196606:R196606 Q262142:R262142 Q327678:R327678 Q393214:R393214 Q458750:R458750 Q524286:R524286 Q589822:R589822 Q655358:R655358 Q720894:R720894 Q786430:R786430 Q851966:R851966 Q917502:R917502 Q983038:R983038 AB65550 AB131086 AB196622 AB262158 AB327694 AB393230 AB458766 AB524302 AB589838 AB655374 AB720910 AB786446 AB851982 AB917518 AB983054 AS65555 AS131091 AS196627 AS262163 AS327699 AS393235 AS458771 AS524307 AS589843 AS655379 AS720915 AS786451 AS851987 AS917523 AS983059 U65521:W65522 U131057:W131058 U196593:W196594 U262129:W262130 U327665:W327666 U393201:W393202 U458737:W458738 U524273:W524274 U589809:W589810 U655345:W655346 U720881:W720882 U786417:W786418 U851953:W851954 U917489:W917490 U983025:W983026">
      <formula1>1</formula1>
      <formula2>31</formula2>
    </dataValidation>
    <dataValidation type="textLength" errorStyle="warning" operator="lessThanOrEqual" allowBlank="1" showInputMessage="1" showErrorMessage="1" errorTitle="文字数制限がございます" error="全角12文字程度でご設定下さい。_x000a_長い場合には金融機関により切られて表示される場合がございます。_x000a_また、登録されるのは20文字までとなりそれ以上ご記入いただいても登録されません。" promptTitle="屋号" prompt="金融機関に申請する正式名称で、利用明細などに表示されます。_x000a_金融機関により切られて表示されることがございますので予めご了承いただき12文字以下を目安にご設定下さい。_x000a_最大20文字まで。それ以上ご記入いただいても登録されません。" sqref="I65546:AA65547 I131082:AA131083 I196618:AA196619 I262154:AA262155 I327690:AA327691 I393226:AA393227 I458762:AA458763 I524298:AA524299 I589834:AA589835 I655370:AA655371 I720906:AA720907 I786442:AA786443 I851978:AA851979 I917514:AA917515 I983050:AA983051">
      <formula1>12</formula1>
    </dataValidation>
    <dataValidation type="textLength" operator="lessThanOrEqual" allowBlank="1" showInputMessage="1" showErrorMessage="1" errorTitle="文字数制限がございます" error="25文字を超える設定は出来ません。" promptTitle="サービス名称" prompt="決済をご利用いただくサービス名称（サイト名称など）をご記入下さい。_x000a_決済画面等で表示されます。_x000a_全角でご指定下さい。_x000a_「～」「―（全角ダッシュ）」、「－（全角マイナス）」、その他特殊文字は使用できません。_x000a_「‐（全角ハイフン）」、「ー（長音）」に変換お願いします。" sqref="I65543:AT65544 I131079:AT131080 I196615:AT196616 I262151:AT262152 I327687:AT327688 I393223:AT393224 I458759:AT458760 I524295:AT524296 I589831:AT589832 I655367:AT655368 I720903:AT720904 I786439:AT786440 I851975:AT851976 I917511:AT917512 I983047:AT983048">
      <formula1>30</formula1>
    </dataValidation>
    <dataValidation imeMode="fullKatakana" allowBlank="1" showInputMessage="1" showErrorMessage="1" promptTitle="口座名義カナ" prompt="必ず正式な口座名義名（カナ）をご確認の上入力して下さい。ご登録のものと相違がありますと振込エラーとなり、入金をさせていただくことが出来ません。_x000a_・法人略語は正しくご入力ください。_x000a_前株の場合は「カ）」、後株の場合は「（カ」、途中に入る場合は「（カ）」のようにご入力ください。_x000a_・中黒点（・）はご使用いただけません。_x000a_　ピリオド（．）に置き換えてご入力ください。_x000a_例：ソフトバンク．ペイメント．サービス（カ" sqref="I65692:AT65693 I131228:AT131229 I196764:AT196765 I262300:AT262301 I327836:AT327837 I393372:AT393373 I458908:AT458909 I524444:AT524445 I589980:AT589981 I655516:AT655517 I721052:AT721053 I786588:AT786589 I852124:AT852125 I917660:AT917661 I983196:AT983197"/>
    <dataValidation imeMode="hiragana" allowBlank="1" showInputMessage="1" showErrorMessage="1" promptTitle="売上報告担当" prompt="収納レポートやご請求書の送付先となります。" sqref="I65676:Y65677 I131212:Y131213 I196748:Y196749 I262284:Y262285 I327820:Y327821 I393356:Y393357 I458892:Y458893 I524428:Y524429 I589964:Y589965 I655500:Y655501 I721036:Y721037 I786572:Y786573 I852108:Y852109 I917644:Y917645 I983180:Y983181"/>
    <dataValidation imeMode="hiragana" allowBlank="1" showInputMessage="1" showErrorMessage="1" promptTitle="技術担当" prompt="接続情報のご連絡など、システム設定に関するご案内をさせていただきます。_x000a_サイト構築を他社に依頼されている場合は、そのご連絡先でも結構です。_x000a_E-mailアドレスにつきましてはグループアドレスのご指定を推奨しております。" sqref="I65673:Y65674 I131209:Y131210 I196745:Y196746 I262281:Y262282 I327817:Y327818 I393353:Y393354 I458889:Y458890 I524425:Y524426 I589961:Y589962 I655497:Y655498 I721033:Y721034 I786569:Y786570 I852105:Y852106 I917641:Y917642 I983177:Y983178"/>
    <dataValidation imeMode="hiragana" allowBlank="1" showInputMessage="1" showErrorMessage="1" promptTitle="運用担当" prompt="申込書の押印のご依頼、決済機関からの問い合わせのご連絡、メンテナンスのご案内などをさせていただきます。_x000a_E-mailアドレスにつきましてはグループアドレスのご指定を推奨しております。" sqref="I65670:Y65671 I131206:Y131207 I196742:Y196743 I262278:Y262279 I327814:Y327815 I393350:Y393351 I458886:Y458887 I524422:Y524423 I589958:Y589959 I655494:Y655495 I721030:Y721031 I786566:Y786567 I852102:Y852103 I917638:Y917639 I983174:Y983175"/>
    <dataValidation imeMode="halfAlpha" allowBlank="1" showInputMessage="1" showErrorMessage="1" prompt="特商法ページのURLを記載して下さい。_x000a_その際、http://やhttps://を省略しないようお願いいたします。" sqref="I983201:AI983201 I65697:AI65697 I131233:AI131233 I196769:AI196769 I262305:AI262305 I327841:AI327841 I393377:AI393377 I458913:AI458913 I524449:AI524449 I589985:AI589985 I655521:AI655521 I721057:AI721057 I786593:AI786593 I852129:AI852129 I917665:AI917665"/>
    <dataValidation type="list" allowBlank="1" showInputMessage="1" showErrorMessage="1" sqref="O983069:P983072 O917533:P917536 O851997:P852000 O786461:P786464 O720925:P720928 O655389:P655392 O589853:P589856 O524317:P524320 O458781:P458784 O393245:P393248 O327709:P327712 O262173:P262176 O196637:P196640 O131101:P131104 O65565:P65568">
      <formula1>$CF$32:$CF$33</formula1>
    </dataValidation>
    <dataValidation type="list" allowBlank="1" showInputMessage="1" showErrorMessage="1" sqref="C65578:I65578 C131114:I131114 C196650:I196650 C262186:I262186 C327722:I327722 C393258:I393258 C458794:I458794 C524330:I524330 C589866:I589866 C655402:I655402 C720938:I720938 C786474:I786474 C852010:I852010 C917546:I917546 C983082:I983082 I65504 I131040 I262112 I196576 I983008 I917472 I851936 I786400 I720864 I655328 I589792 I524256 I458720 I393184 I327648">
      <formula1>#REF!</formula1>
    </dataValidation>
    <dataValidation type="whole" imeMode="halfAlpha" allowBlank="1" showInputMessage="1" showErrorMessage="1" sqref="W65550:X65550 W131086:X131086 W196622:X196622 W262158:X262158 W327694:X327694 W393230:X393230 W458766:X458766 W524302:X524302 W589838:X589838 W655374:X655374 W720910:X720910 W786446:X786446 W851982:X851982 W917518:X917518 W983054:X983054">
      <formula1>2014</formula1>
      <formula2>2099</formula2>
    </dataValidation>
    <dataValidation type="whole" imeMode="halfAlpha" allowBlank="1" showInputMessage="1" showErrorMessage="1" sqref="AN65555:AO65555 AN131091:AO131091 AN196627:AO196627 AN262163:AO262163 AN327699:AO327699 AN393235:AO393235 AN458771:AO458771 AN524307:AO524307 AN589843:AO589843 AN655379:AO655379 AN720915:AO720915 AN786451:AO786451 AN851987:AO851987 AN917523:AO917523 AN983059:AO983059">
      <formula1>1000</formula1>
      <formula2>2099</formula2>
    </dataValidation>
    <dataValidation type="textLength" imeMode="halfAlpha" operator="equal" allowBlank="1" showInputMessage="1" showErrorMessage="1" sqref="AG65503:AK65503 AG131039:AK131039 AG196575:AK196575 AG262111:AK262111 AG327647:AK327647 AG393183:AK393183 AG458719:AK458719 AG524255:AK524255 AG589791:AK589791 AG655327:AK655327 AG720863:AK720863 AG786399:AK786399 AG851935:AK851935 AG917471:AK917471 AG983007:AK983007">
      <formula1>7</formula1>
    </dataValidation>
    <dataValidation type="list" allowBlank="1" showInputMessage="1" showErrorMessage="1" sqref="AA76:AL76">
      <formula1>INDIRECT("メルペイ"&amp;$AW$76)</formula1>
    </dataValidation>
    <dataValidation type="list" allowBlank="1" showInputMessage="1" showErrorMessage="1" sqref="AS75:AT75">
      <formula1>"0:無,1:有"</formula1>
    </dataValidation>
    <dataValidation type="list" allowBlank="1" showInputMessage="1" showErrorMessage="1" sqref="O76:X76">
      <formula1>メルペイ業種</formula1>
    </dataValidation>
    <dataValidation type="whole" imeMode="disabled" allowBlank="1" showInputMessage="1" showErrorMessage="1" sqref="AP4:AT4">
      <formula1>1000</formula1>
      <formula2>9999</formula2>
    </dataValidation>
    <dataValidation type="custom" imeMode="disabled" allowBlank="1" showInputMessage="1" showErrorMessage="1" errorTitle="電話番号" error="半角でご入力下さい。_x000a_ハイフンもご入力下さい。" sqref="AK152:AT152">
      <formula1>IF(AND(COUNTIF(AK152,"*-*-*")&gt;0,ISNUMBER(VALUE(SUBSTITUTE(AK152,"-",""))),LENB(AK152)&lt;14,LENB(AK152)&gt;9),TRUE,FALSE)</formula1>
    </dataValidation>
    <dataValidation type="textLength" imeMode="disabled" operator="equal" allowBlank="1" showInputMessage="1" showErrorMessage="1" sqref="AE152:AF152">
      <formula1>4</formula1>
    </dataValidation>
    <dataValidation type="textLength" imeMode="disabled" operator="equal" allowBlank="1" showInputMessage="1" showErrorMessage="1" sqref="AB152:AC152">
      <formula1>3</formula1>
    </dataValidation>
    <dataValidation type="list" allowBlank="1" showInputMessage="1" showErrorMessage="1" sqref="Q51:X51">
      <formula1>JKOPAY商品1</formula1>
    </dataValidation>
    <dataValidation type="list" allowBlank="1" showInputMessage="1" showErrorMessage="1" error="小数第二位までとなります。" sqref="AA51:AJ51">
      <formula1>INDIRECT("JKOPAY"&amp;$AV$51)</formula1>
    </dataValidation>
    <dataValidation type="list" allowBlank="1" showInputMessage="1" showErrorMessage="1" sqref="O72:X72">
      <formula1>auPAY業種</formula1>
    </dataValidation>
    <dataValidation operator="greaterThanOrEqual" allowBlank="1" showInputMessage="1" showErrorMessage="1" sqref="Q159:AB159"/>
    <dataValidation type="list" allowBlank="1" showInputMessage="1" showErrorMessage="1" sqref="O64:X64">
      <formula1>楽天ペイ大項目</formula1>
    </dataValidation>
    <dataValidation type="list" allowBlank="1" showInputMessage="1" showErrorMessage="1" sqref="Q61:X61">
      <formula1>商品1</formula1>
    </dataValidation>
    <dataValidation type="list" allowBlank="1" showInputMessage="1" showErrorMessage="1" sqref="AA61:AS61">
      <formula1>INDIRECT($AW$41)</formula1>
    </dataValidation>
    <dataValidation type="list" allowBlank="1" showInputMessage="1" showErrorMessage="1" sqref="AA64:AL64">
      <formula1>INDIRECT("楽天ペイ"&amp;$AV$45)</formula1>
    </dataValidation>
    <dataValidation type="list" allowBlank="1" showInputMessage="1" showErrorMessage="1" sqref="AS80:AT80">
      <formula1>"包括,業代,取次,直接"</formula1>
    </dataValidation>
    <dataValidation type="list" allowBlank="1" showInputMessage="1" showErrorMessage="1" sqref="O79:V79">
      <formula1>JCoin業種</formula1>
    </dataValidation>
    <dataValidation type="list" allowBlank="1" showInputMessage="1" showErrorMessage="1" sqref="AS78:AT78 AS18:AT18 AS29:AT34">
      <formula1>"包括,直接"</formula1>
    </dataValidation>
    <dataValidation type="list" allowBlank="1" showInputMessage="1" showErrorMessage="1" sqref="AA79:AH79">
      <formula1>INDIRECT("JCoin"&amp;$AV$60)</formula1>
    </dataValidation>
    <dataValidation type="list" allowBlank="1" showInputMessage="1" showErrorMessage="1" sqref="AN29:AO29">
      <formula1>"JCB,西武鉄道,東急電鉄,東京都交通局,東武鉄道,京成電鉄,JR西日本,JR東日本,JR東海"</formula1>
    </dataValidation>
    <dataValidation type="list" allowBlank="1" showInputMessage="1" showErrorMessage="1" sqref="AN30:AO30">
      <formula1>"JCB,楽天"</formula1>
    </dataValidation>
    <dataValidation type="list" allowBlank="1" showInputMessage="1" showErrorMessage="1" sqref="AN32:AO32">
      <formula1>"JCB,イオン"</formula1>
    </dataValidation>
    <dataValidation type="list" allowBlank="1" showInputMessage="1" showErrorMessage="1" sqref="AR44:AT44">
      <formula1>"直接接続,電文変換"</formula1>
    </dataValidation>
  </dataValidations>
  <printOptions horizontalCentered="1" verticalCentered="1"/>
  <pageMargins left="0" right="0" top="0" bottom="0" header="0" footer="0"/>
  <pageSetup paperSize="9" scale="28"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9089" r:id="rId4" name="Check Box 1">
              <controlPr defaultSize="0" autoFill="0" autoLine="0" autoPict="0">
                <anchor moveWithCells="1">
                  <from>
                    <xdr:col>11</xdr:col>
                    <xdr:colOff>184150</xdr:colOff>
                    <xdr:row>20</xdr:row>
                    <xdr:rowOff>12700</xdr:rowOff>
                  </from>
                  <to>
                    <xdr:col>13</xdr:col>
                    <xdr:colOff>19050</xdr:colOff>
                    <xdr:row>20</xdr:row>
                    <xdr:rowOff>222250</xdr:rowOff>
                  </to>
                </anchor>
              </controlPr>
            </control>
          </mc:Choice>
        </mc:AlternateContent>
        <mc:AlternateContent xmlns:mc="http://schemas.openxmlformats.org/markup-compatibility/2006">
          <mc:Choice Requires="x14">
            <control shapeId="89090" r:id="rId5" name="Check Box 2">
              <controlPr defaultSize="0" autoFill="0" autoLine="0" autoPict="0">
                <anchor moveWithCells="1">
                  <from>
                    <xdr:col>11</xdr:col>
                    <xdr:colOff>184150</xdr:colOff>
                    <xdr:row>21</xdr:row>
                    <xdr:rowOff>12700</xdr:rowOff>
                  </from>
                  <to>
                    <xdr:col>13</xdr:col>
                    <xdr:colOff>19050</xdr:colOff>
                    <xdr:row>21</xdr:row>
                    <xdr:rowOff>222250</xdr:rowOff>
                  </to>
                </anchor>
              </controlPr>
            </control>
          </mc:Choice>
        </mc:AlternateContent>
        <mc:AlternateContent xmlns:mc="http://schemas.openxmlformats.org/markup-compatibility/2006">
          <mc:Choice Requires="x14">
            <control shapeId="89091" r:id="rId6" name="Check Box 3">
              <controlPr defaultSize="0" autoFill="0" autoLine="0" autoPict="0">
                <anchor moveWithCells="1">
                  <from>
                    <xdr:col>11</xdr:col>
                    <xdr:colOff>184150</xdr:colOff>
                    <xdr:row>22</xdr:row>
                    <xdr:rowOff>12700</xdr:rowOff>
                  </from>
                  <to>
                    <xdr:col>13</xdr:col>
                    <xdr:colOff>19050</xdr:colOff>
                    <xdr:row>22</xdr:row>
                    <xdr:rowOff>222250</xdr:rowOff>
                  </to>
                </anchor>
              </controlPr>
            </control>
          </mc:Choice>
        </mc:AlternateContent>
        <mc:AlternateContent xmlns:mc="http://schemas.openxmlformats.org/markup-compatibility/2006">
          <mc:Choice Requires="x14">
            <control shapeId="89093" r:id="rId7" name="Check Box 5">
              <controlPr defaultSize="0" autoFill="0" autoLine="0" autoPict="0">
                <anchor moveWithCells="1">
                  <from>
                    <xdr:col>11</xdr:col>
                    <xdr:colOff>184150</xdr:colOff>
                    <xdr:row>19</xdr:row>
                    <xdr:rowOff>31750</xdr:rowOff>
                  </from>
                  <to>
                    <xdr:col>13</xdr:col>
                    <xdr:colOff>19050</xdr:colOff>
                    <xdr:row>19</xdr:row>
                    <xdr:rowOff>241300</xdr:rowOff>
                  </to>
                </anchor>
              </controlPr>
            </control>
          </mc:Choice>
        </mc:AlternateContent>
        <mc:AlternateContent xmlns:mc="http://schemas.openxmlformats.org/markup-compatibility/2006">
          <mc:Choice Requires="x14">
            <control shapeId="89094" r:id="rId8" name="Check Box 6">
              <controlPr defaultSize="0" autoFill="0" autoLine="0" autoPict="0">
                <anchor moveWithCells="1">
                  <from>
                    <xdr:col>9</xdr:col>
                    <xdr:colOff>146050</xdr:colOff>
                    <xdr:row>17</xdr:row>
                    <xdr:rowOff>31750</xdr:rowOff>
                  </from>
                  <to>
                    <xdr:col>10</xdr:col>
                    <xdr:colOff>247650</xdr:colOff>
                    <xdr:row>17</xdr:row>
                    <xdr:rowOff>241300</xdr:rowOff>
                  </to>
                </anchor>
              </controlPr>
            </control>
          </mc:Choice>
        </mc:AlternateContent>
        <mc:AlternateContent xmlns:mc="http://schemas.openxmlformats.org/markup-compatibility/2006">
          <mc:Choice Requires="x14">
            <control shapeId="89097" r:id="rId9" name="Check Box 9">
              <controlPr defaultSize="0" autoFill="0" autoLine="0" autoPict="0">
                <anchor moveWithCells="1">
                  <from>
                    <xdr:col>9</xdr:col>
                    <xdr:colOff>171450</xdr:colOff>
                    <xdr:row>28</xdr:row>
                    <xdr:rowOff>12700</xdr:rowOff>
                  </from>
                  <to>
                    <xdr:col>11</xdr:col>
                    <xdr:colOff>19050</xdr:colOff>
                    <xdr:row>28</xdr:row>
                    <xdr:rowOff>228600</xdr:rowOff>
                  </to>
                </anchor>
              </controlPr>
            </control>
          </mc:Choice>
        </mc:AlternateContent>
        <mc:AlternateContent xmlns:mc="http://schemas.openxmlformats.org/markup-compatibility/2006">
          <mc:Choice Requires="x14">
            <control shapeId="89098" r:id="rId10" name="Check Box 10">
              <controlPr defaultSize="0" autoFill="0" autoLine="0" autoPict="0">
                <anchor moveWithCells="1">
                  <from>
                    <xdr:col>9</xdr:col>
                    <xdr:colOff>171450</xdr:colOff>
                    <xdr:row>29</xdr:row>
                    <xdr:rowOff>19050</xdr:rowOff>
                  </from>
                  <to>
                    <xdr:col>11</xdr:col>
                    <xdr:colOff>19050</xdr:colOff>
                    <xdr:row>29</xdr:row>
                    <xdr:rowOff>228600</xdr:rowOff>
                  </to>
                </anchor>
              </controlPr>
            </control>
          </mc:Choice>
        </mc:AlternateContent>
        <mc:AlternateContent xmlns:mc="http://schemas.openxmlformats.org/markup-compatibility/2006">
          <mc:Choice Requires="x14">
            <control shapeId="89099" r:id="rId11" name="Check Box 11">
              <controlPr defaultSize="0" autoFill="0" autoLine="0" autoPict="0">
                <anchor moveWithCells="1">
                  <from>
                    <xdr:col>9</xdr:col>
                    <xdr:colOff>171450</xdr:colOff>
                    <xdr:row>30</xdr:row>
                    <xdr:rowOff>19050</xdr:rowOff>
                  </from>
                  <to>
                    <xdr:col>11</xdr:col>
                    <xdr:colOff>19050</xdr:colOff>
                    <xdr:row>30</xdr:row>
                    <xdr:rowOff>228600</xdr:rowOff>
                  </to>
                </anchor>
              </controlPr>
            </control>
          </mc:Choice>
        </mc:AlternateContent>
        <mc:AlternateContent xmlns:mc="http://schemas.openxmlformats.org/markup-compatibility/2006">
          <mc:Choice Requires="x14">
            <control shapeId="89100" r:id="rId12" name="Check Box 12">
              <controlPr defaultSize="0" autoFill="0" autoLine="0" autoPict="0">
                <anchor moveWithCells="1">
                  <from>
                    <xdr:col>9</xdr:col>
                    <xdr:colOff>171450</xdr:colOff>
                    <xdr:row>31</xdr:row>
                    <xdr:rowOff>19050</xdr:rowOff>
                  </from>
                  <to>
                    <xdr:col>11</xdr:col>
                    <xdr:colOff>19050</xdr:colOff>
                    <xdr:row>31</xdr:row>
                    <xdr:rowOff>228600</xdr:rowOff>
                  </to>
                </anchor>
              </controlPr>
            </control>
          </mc:Choice>
        </mc:AlternateContent>
        <mc:AlternateContent xmlns:mc="http://schemas.openxmlformats.org/markup-compatibility/2006">
          <mc:Choice Requires="x14">
            <control shapeId="89101" r:id="rId13" name="Check Box 13">
              <controlPr defaultSize="0" autoFill="0" autoLine="0" autoPict="0">
                <anchor moveWithCells="1">
                  <from>
                    <xdr:col>9</xdr:col>
                    <xdr:colOff>171450</xdr:colOff>
                    <xdr:row>32</xdr:row>
                    <xdr:rowOff>19050</xdr:rowOff>
                  </from>
                  <to>
                    <xdr:col>11</xdr:col>
                    <xdr:colOff>19050</xdr:colOff>
                    <xdr:row>32</xdr:row>
                    <xdr:rowOff>228600</xdr:rowOff>
                  </to>
                </anchor>
              </controlPr>
            </control>
          </mc:Choice>
        </mc:AlternateContent>
        <mc:AlternateContent xmlns:mc="http://schemas.openxmlformats.org/markup-compatibility/2006">
          <mc:Choice Requires="x14">
            <control shapeId="89107" r:id="rId14" name="Group Box 19">
              <controlPr defaultSize="0" autoFill="0" autoPict="0">
                <anchor moveWithCells="1">
                  <from>
                    <xdr:col>14</xdr:col>
                    <xdr:colOff>57150</xdr:colOff>
                    <xdr:row>33</xdr:row>
                    <xdr:rowOff>0</xdr:rowOff>
                  </from>
                  <to>
                    <xdr:col>24</xdr:col>
                    <xdr:colOff>38100</xdr:colOff>
                    <xdr:row>39</xdr:row>
                    <xdr:rowOff>241300</xdr:rowOff>
                  </to>
                </anchor>
              </controlPr>
            </control>
          </mc:Choice>
        </mc:AlternateContent>
        <mc:AlternateContent xmlns:mc="http://schemas.openxmlformats.org/markup-compatibility/2006">
          <mc:Choice Requires="x14">
            <control shapeId="89116" r:id="rId15" name="Group Box 28">
              <controlPr defaultSize="0" autoFill="0" autoPict="0">
                <anchor moveWithCells="1">
                  <from>
                    <xdr:col>14</xdr:col>
                    <xdr:colOff>57150</xdr:colOff>
                    <xdr:row>33</xdr:row>
                    <xdr:rowOff>0</xdr:rowOff>
                  </from>
                  <to>
                    <xdr:col>24</xdr:col>
                    <xdr:colOff>38100</xdr:colOff>
                    <xdr:row>39</xdr:row>
                    <xdr:rowOff>241300</xdr:rowOff>
                  </to>
                </anchor>
              </controlPr>
            </control>
          </mc:Choice>
        </mc:AlternateContent>
        <mc:AlternateContent xmlns:mc="http://schemas.openxmlformats.org/markup-compatibility/2006">
          <mc:Choice Requires="x14">
            <control shapeId="89122" r:id="rId16" name="Group Box 34">
              <controlPr defaultSize="0" autoFill="0" autoPict="0">
                <anchor moveWithCells="1">
                  <from>
                    <xdr:col>28</xdr:col>
                    <xdr:colOff>12700</xdr:colOff>
                    <xdr:row>33</xdr:row>
                    <xdr:rowOff>0</xdr:rowOff>
                  </from>
                  <to>
                    <xdr:col>36</xdr:col>
                    <xdr:colOff>127000</xdr:colOff>
                    <xdr:row>39</xdr:row>
                    <xdr:rowOff>31750</xdr:rowOff>
                  </to>
                </anchor>
              </controlPr>
            </control>
          </mc:Choice>
        </mc:AlternateContent>
        <mc:AlternateContent xmlns:mc="http://schemas.openxmlformats.org/markup-compatibility/2006">
          <mc:Choice Requires="x14">
            <control shapeId="89124" r:id="rId17" name="Group Box 36">
              <controlPr defaultSize="0" autoFill="0" autoPict="0">
                <anchor moveWithCells="1">
                  <from>
                    <xdr:col>14</xdr:col>
                    <xdr:colOff>57150</xdr:colOff>
                    <xdr:row>33</xdr:row>
                    <xdr:rowOff>0</xdr:rowOff>
                  </from>
                  <to>
                    <xdr:col>22</xdr:col>
                    <xdr:colOff>190500</xdr:colOff>
                    <xdr:row>39</xdr:row>
                    <xdr:rowOff>152400</xdr:rowOff>
                  </to>
                </anchor>
              </controlPr>
            </control>
          </mc:Choice>
        </mc:AlternateContent>
        <mc:AlternateContent xmlns:mc="http://schemas.openxmlformats.org/markup-compatibility/2006">
          <mc:Choice Requires="x14">
            <control shapeId="89163" r:id="rId18" name="Check Box 75">
              <controlPr defaultSize="0" autoFill="0" autoLine="0" autoPict="0">
                <anchor moveWithCells="1">
                  <from>
                    <xdr:col>9</xdr:col>
                    <xdr:colOff>146050</xdr:colOff>
                    <xdr:row>17</xdr:row>
                    <xdr:rowOff>12700</xdr:rowOff>
                  </from>
                  <to>
                    <xdr:col>10</xdr:col>
                    <xdr:colOff>247650</xdr:colOff>
                    <xdr:row>17</xdr:row>
                    <xdr:rowOff>228600</xdr:rowOff>
                  </to>
                </anchor>
              </controlPr>
            </control>
          </mc:Choice>
        </mc:AlternateContent>
        <mc:AlternateContent xmlns:mc="http://schemas.openxmlformats.org/markup-compatibility/2006">
          <mc:Choice Requires="x14">
            <control shapeId="89165" r:id="rId19" name="Check Box 77">
              <controlPr defaultSize="0" autoFill="0" autoLine="0" autoPict="0">
                <anchor moveWithCells="1">
                  <from>
                    <xdr:col>9</xdr:col>
                    <xdr:colOff>146050</xdr:colOff>
                    <xdr:row>15</xdr:row>
                    <xdr:rowOff>133350</xdr:rowOff>
                  </from>
                  <to>
                    <xdr:col>10</xdr:col>
                    <xdr:colOff>247650</xdr:colOff>
                    <xdr:row>16</xdr:row>
                    <xdr:rowOff>107950</xdr:rowOff>
                  </to>
                </anchor>
              </controlPr>
            </control>
          </mc:Choice>
        </mc:AlternateContent>
        <mc:AlternateContent xmlns:mc="http://schemas.openxmlformats.org/markup-compatibility/2006">
          <mc:Choice Requires="x14">
            <control shapeId="89166" r:id="rId20" name="Group Box 78">
              <controlPr defaultSize="0" autoFill="0" autoPict="0">
                <anchor moveWithCells="1">
                  <from>
                    <xdr:col>14</xdr:col>
                    <xdr:colOff>57150</xdr:colOff>
                    <xdr:row>33</xdr:row>
                    <xdr:rowOff>0</xdr:rowOff>
                  </from>
                  <to>
                    <xdr:col>24</xdr:col>
                    <xdr:colOff>38100</xdr:colOff>
                    <xdr:row>39</xdr:row>
                    <xdr:rowOff>241300</xdr:rowOff>
                  </to>
                </anchor>
              </controlPr>
            </control>
          </mc:Choice>
        </mc:AlternateContent>
        <mc:AlternateContent xmlns:mc="http://schemas.openxmlformats.org/markup-compatibility/2006">
          <mc:Choice Requires="x14">
            <control shapeId="89167" r:id="rId21" name="Group Box 79">
              <controlPr defaultSize="0" autoFill="0" autoPict="0">
                <anchor moveWithCells="1">
                  <from>
                    <xdr:col>14</xdr:col>
                    <xdr:colOff>57150</xdr:colOff>
                    <xdr:row>33</xdr:row>
                    <xdr:rowOff>0</xdr:rowOff>
                  </from>
                  <to>
                    <xdr:col>24</xdr:col>
                    <xdr:colOff>38100</xdr:colOff>
                    <xdr:row>39</xdr:row>
                    <xdr:rowOff>241300</xdr:rowOff>
                  </to>
                </anchor>
              </controlPr>
            </control>
          </mc:Choice>
        </mc:AlternateContent>
        <mc:AlternateContent xmlns:mc="http://schemas.openxmlformats.org/markup-compatibility/2006">
          <mc:Choice Requires="x14">
            <control shapeId="89168" r:id="rId22" name="Group Box 80">
              <controlPr defaultSize="0" autoFill="0" autoPict="0">
                <anchor moveWithCells="1">
                  <from>
                    <xdr:col>28</xdr:col>
                    <xdr:colOff>12700</xdr:colOff>
                    <xdr:row>33</xdr:row>
                    <xdr:rowOff>0</xdr:rowOff>
                  </from>
                  <to>
                    <xdr:col>36</xdr:col>
                    <xdr:colOff>127000</xdr:colOff>
                    <xdr:row>39</xdr:row>
                    <xdr:rowOff>19050</xdr:rowOff>
                  </to>
                </anchor>
              </controlPr>
            </control>
          </mc:Choice>
        </mc:AlternateContent>
        <mc:AlternateContent xmlns:mc="http://schemas.openxmlformats.org/markup-compatibility/2006">
          <mc:Choice Requires="x14">
            <control shapeId="89169" r:id="rId23" name="Group Box 81">
              <controlPr defaultSize="0" autoFill="0" autoPict="0">
                <anchor moveWithCells="1">
                  <from>
                    <xdr:col>14</xdr:col>
                    <xdr:colOff>57150</xdr:colOff>
                    <xdr:row>33</xdr:row>
                    <xdr:rowOff>0</xdr:rowOff>
                  </from>
                  <to>
                    <xdr:col>22</xdr:col>
                    <xdr:colOff>190500</xdr:colOff>
                    <xdr:row>39</xdr:row>
                    <xdr:rowOff>152400</xdr:rowOff>
                  </to>
                </anchor>
              </controlPr>
            </control>
          </mc:Choice>
        </mc:AlternateContent>
        <mc:AlternateContent xmlns:mc="http://schemas.openxmlformats.org/markup-compatibility/2006">
          <mc:Choice Requires="x14">
            <control shapeId="89170" r:id="rId24" name="Check Box 82">
              <controlPr defaultSize="0" autoFill="0" autoLine="0" autoPict="0">
                <anchor moveWithCells="1">
                  <from>
                    <xdr:col>9</xdr:col>
                    <xdr:colOff>171450</xdr:colOff>
                    <xdr:row>33</xdr:row>
                    <xdr:rowOff>19050</xdr:rowOff>
                  </from>
                  <to>
                    <xdr:col>11</xdr:col>
                    <xdr:colOff>19050</xdr:colOff>
                    <xdr:row>33</xdr:row>
                    <xdr:rowOff>228600</xdr:rowOff>
                  </to>
                </anchor>
              </controlPr>
            </control>
          </mc:Choice>
        </mc:AlternateContent>
        <mc:AlternateContent xmlns:mc="http://schemas.openxmlformats.org/markup-compatibility/2006">
          <mc:Choice Requires="x14">
            <control shapeId="89171" r:id="rId25" name="Check Box 83">
              <controlPr defaultSize="0" autoFill="0" autoLine="0" autoPict="0">
                <anchor moveWithCells="1">
                  <from>
                    <xdr:col>9</xdr:col>
                    <xdr:colOff>171450</xdr:colOff>
                    <xdr:row>49</xdr:row>
                    <xdr:rowOff>19050</xdr:rowOff>
                  </from>
                  <to>
                    <xdr:col>11</xdr:col>
                    <xdr:colOff>19050</xdr:colOff>
                    <xdr:row>49</xdr:row>
                    <xdr:rowOff>228600</xdr:rowOff>
                  </to>
                </anchor>
              </controlPr>
            </control>
          </mc:Choice>
        </mc:AlternateContent>
        <mc:AlternateContent xmlns:mc="http://schemas.openxmlformats.org/markup-compatibility/2006">
          <mc:Choice Requires="x14">
            <control shapeId="89172" r:id="rId26" name="Check Box 84">
              <controlPr defaultSize="0" autoFill="0" autoLine="0" autoPict="0">
                <anchor moveWithCells="1">
                  <from>
                    <xdr:col>9</xdr:col>
                    <xdr:colOff>171450</xdr:colOff>
                    <xdr:row>43</xdr:row>
                    <xdr:rowOff>19050</xdr:rowOff>
                  </from>
                  <to>
                    <xdr:col>11</xdr:col>
                    <xdr:colOff>19050</xdr:colOff>
                    <xdr:row>43</xdr:row>
                    <xdr:rowOff>228600</xdr:rowOff>
                  </to>
                </anchor>
              </controlPr>
            </control>
          </mc:Choice>
        </mc:AlternateContent>
        <mc:AlternateContent xmlns:mc="http://schemas.openxmlformats.org/markup-compatibility/2006">
          <mc:Choice Requires="x14">
            <control shapeId="89173" r:id="rId27" name="Check Box 85">
              <controlPr defaultSize="0" autoFill="0" autoLine="0" autoPict="0">
                <anchor moveWithCells="1">
                  <from>
                    <xdr:col>9</xdr:col>
                    <xdr:colOff>171450</xdr:colOff>
                    <xdr:row>44</xdr:row>
                    <xdr:rowOff>19050</xdr:rowOff>
                  </from>
                  <to>
                    <xdr:col>11</xdr:col>
                    <xdr:colOff>19050</xdr:colOff>
                    <xdr:row>44</xdr:row>
                    <xdr:rowOff>228600</xdr:rowOff>
                  </to>
                </anchor>
              </controlPr>
            </control>
          </mc:Choice>
        </mc:AlternateContent>
        <mc:AlternateContent xmlns:mc="http://schemas.openxmlformats.org/markup-compatibility/2006">
          <mc:Choice Requires="x14">
            <control shapeId="89174" r:id="rId28" name="Check Box 86">
              <controlPr defaultSize="0" autoFill="0" autoLine="0" autoPict="0">
                <anchor moveWithCells="1">
                  <from>
                    <xdr:col>9</xdr:col>
                    <xdr:colOff>171450</xdr:colOff>
                    <xdr:row>46</xdr:row>
                    <xdr:rowOff>152400</xdr:rowOff>
                  </from>
                  <to>
                    <xdr:col>11</xdr:col>
                    <xdr:colOff>19050</xdr:colOff>
                    <xdr:row>47</xdr:row>
                    <xdr:rowOff>114300</xdr:rowOff>
                  </to>
                </anchor>
              </controlPr>
            </control>
          </mc:Choice>
        </mc:AlternateContent>
        <mc:AlternateContent xmlns:mc="http://schemas.openxmlformats.org/markup-compatibility/2006">
          <mc:Choice Requires="x14">
            <control shapeId="89175" r:id="rId29" name="Check Box 87">
              <controlPr defaultSize="0" autoFill="0" autoLine="0" autoPict="0">
                <anchor moveWithCells="1">
                  <from>
                    <xdr:col>9</xdr:col>
                    <xdr:colOff>171450</xdr:colOff>
                    <xdr:row>59</xdr:row>
                    <xdr:rowOff>19050</xdr:rowOff>
                  </from>
                  <to>
                    <xdr:col>11</xdr:col>
                    <xdr:colOff>19050</xdr:colOff>
                    <xdr:row>59</xdr:row>
                    <xdr:rowOff>228600</xdr:rowOff>
                  </to>
                </anchor>
              </controlPr>
            </control>
          </mc:Choice>
        </mc:AlternateContent>
        <mc:AlternateContent xmlns:mc="http://schemas.openxmlformats.org/markup-compatibility/2006">
          <mc:Choice Requires="x14">
            <control shapeId="89177" r:id="rId30" name="Check Box 89">
              <controlPr defaultSize="0" autoFill="0" autoLine="0" autoPict="0">
                <anchor moveWithCells="1">
                  <from>
                    <xdr:col>9</xdr:col>
                    <xdr:colOff>171450</xdr:colOff>
                    <xdr:row>64</xdr:row>
                    <xdr:rowOff>19050</xdr:rowOff>
                  </from>
                  <to>
                    <xdr:col>11</xdr:col>
                    <xdr:colOff>19050</xdr:colOff>
                    <xdr:row>64</xdr:row>
                    <xdr:rowOff>228600</xdr:rowOff>
                  </to>
                </anchor>
              </controlPr>
            </control>
          </mc:Choice>
        </mc:AlternateContent>
        <mc:AlternateContent xmlns:mc="http://schemas.openxmlformats.org/markup-compatibility/2006">
          <mc:Choice Requires="x14">
            <control shapeId="89180" r:id="rId31" name="Group Box 92">
              <controlPr defaultSize="0" autoFill="0" autoPict="0">
                <anchor moveWithCells="1">
                  <from>
                    <xdr:col>27</xdr:col>
                    <xdr:colOff>203200</xdr:colOff>
                    <xdr:row>70</xdr:row>
                    <xdr:rowOff>203200</xdr:rowOff>
                  </from>
                  <to>
                    <xdr:col>45</xdr:col>
                    <xdr:colOff>203200</xdr:colOff>
                    <xdr:row>74</xdr:row>
                    <xdr:rowOff>69850</xdr:rowOff>
                  </to>
                </anchor>
              </controlPr>
            </control>
          </mc:Choice>
        </mc:AlternateContent>
        <mc:AlternateContent xmlns:mc="http://schemas.openxmlformats.org/markup-compatibility/2006">
          <mc:Choice Requires="x14">
            <control shapeId="89181" r:id="rId32" name="Option Button 93">
              <controlPr defaultSize="0" autoFill="0" autoLine="0" autoPict="0">
                <anchor moveWithCells="1">
                  <from>
                    <xdr:col>28</xdr:col>
                    <xdr:colOff>133350</xdr:colOff>
                    <xdr:row>71</xdr:row>
                    <xdr:rowOff>19050</xdr:rowOff>
                  </from>
                  <to>
                    <xdr:col>31</xdr:col>
                    <xdr:colOff>190500</xdr:colOff>
                    <xdr:row>71</xdr:row>
                    <xdr:rowOff>222250</xdr:rowOff>
                  </to>
                </anchor>
              </controlPr>
            </control>
          </mc:Choice>
        </mc:AlternateContent>
        <mc:AlternateContent xmlns:mc="http://schemas.openxmlformats.org/markup-compatibility/2006">
          <mc:Choice Requires="x14">
            <control shapeId="89182" r:id="rId33" name="Option Button 94">
              <controlPr defaultSize="0" autoFill="0" autoLine="0" autoPict="0">
                <anchor moveWithCells="1">
                  <from>
                    <xdr:col>33</xdr:col>
                    <xdr:colOff>38100</xdr:colOff>
                    <xdr:row>71</xdr:row>
                    <xdr:rowOff>19050</xdr:rowOff>
                  </from>
                  <to>
                    <xdr:col>36</xdr:col>
                    <xdr:colOff>95250</xdr:colOff>
                    <xdr:row>71</xdr:row>
                    <xdr:rowOff>222250</xdr:rowOff>
                  </to>
                </anchor>
              </controlPr>
            </control>
          </mc:Choice>
        </mc:AlternateContent>
        <mc:AlternateContent xmlns:mc="http://schemas.openxmlformats.org/markup-compatibility/2006">
          <mc:Choice Requires="x14">
            <control shapeId="89183" r:id="rId34" name="Option Button 95">
              <controlPr defaultSize="0" autoFill="0" autoLine="0" autoPict="0">
                <anchor moveWithCells="1">
                  <from>
                    <xdr:col>40</xdr:col>
                    <xdr:colOff>19050</xdr:colOff>
                    <xdr:row>71</xdr:row>
                    <xdr:rowOff>19050</xdr:rowOff>
                  </from>
                  <to>
                    <xdr:col>43</xdr:col>
                    <xdr:colOff>76200</xdr:colOff>
                    <xdr:row>71</xdr:row>
                    <xdr:rowOff>228600</xdr:rowOff>
                  </to>
                </anchor>
              </controlPr>
            </control>
          </mc:Choice>
        </mc:AlternateContent>
        <mc:AlternateContent xmlns:mc="http://schemas.openxmlformats.org/markup-compatibility/2006">
          <mc:Choice Requires="x14">
            <control shapeId="89184" r:id="rId35" name="Check Box 96">
              <controlPr defaultSize="0" autoFill="0" autoLine="0" autoPict="0">
                <anchor moveWithCells="1">
                  <from>
                    <xdr:col>9</xdr:col>
                    <xdr:colOff>171450</xdr:colOff>
                    <xdr:row>70</xdr:row>
                    <xdr:rowOff>19050</xdr:rowOff>
                  </from>
                  <to>
                    <xdr:col>11</xdr:col>
                    <xdr:colOff>19050</xdr:colOff>
                    <xdr:row>70</xdr:row>
                    <xdr:rowOff>228600</xdr:rowOff>
                  </to>
                </anchor>
              </controlPr>
            </control>
          </mc:Choice>
        </mc:AlternateContent>
        <mc:AlternateContent xmlns:mc="http://schemas.openxmlformats.org/markup-compatibility/2006">
          <mc:Choice Requires="x14">
            <control shapeId="89185" r:id="rId36" name="Check Box 97">
              <controlPr defaultSize="0" autoFill="0" autoLine="0" autoPict="0">
                <anchor moveWithCells="1">
                  <from>
                    <xdr:col>9</xdr:col>
                    <xdr:colOff>171450</xdr:colOff>
                    <xdr:row>77</xdr:row>
                    <xdr:rowOff>19050</xdr:rowOff>
                  </from>
                  <to>
                    <xdr:col>11</xdr:col>
                    <xdr:colOff>19050</xdr:colOff>
                    <xdr:row>77</xdr:row>
                    <xdr:rowOff>228600</xdr:rowOff>
                  </to>
                </anchor>
              </controlPr>
            </control>
          </mc:Choice>
        </mc:AlternateContent>
        <mc:AlternateContent xmlns:mc="http://schemas.openxmlformats.org/markup-compatibility/2006">
          <mc:Choice Requires="x14">
            <control shapeId="89186" r:id="rId37" name="Group Box 98">
              <controlPr defaultSize="0" autoFill="0" autoPict="0">
                <anchor moveWithCells="1">
                  <from>
                    <xdr:col>14</xdr:col>
                    <xdr:colOff>38100</xdr:colOff>
                    <xdr:row>76</xdr:row>
                    <xdr:rowOff>0</xdr:rowOff>
                  </from>
                  <to>
                    <xdr:col>23</xdr:col>
                    <xdr:colOff>241300</xdr:colOff>
                    <xdr:row>77</xdr:row>
                    <xdr:rowOff>19050</xdr:rowOff>
                  </to>
                </anchor>
              </controlPr>
            </control>
          </mc:Choice>
        </mc:AlternateContent>
        <mc:AlternateContent xmlns:mc="http://schemas.openxmlformats.org/markup-compatibility/2006">
          <mc:Choice Requires="x14">
            <control shapeId="89187" r:id="rId38" name="Check Box 99">
              <controlPr defaultSize="0" autoFill="0" autoLine="0" autoPict="0">
                <anchor moveWithCells="1">
                  <from>
                    <xdr:col>9</xdr:col>
                    <xdr:colOff>171450</xdr:colOff>
                    <xdr:row>74</xdr:row>
                    <xdr:rowOff>19050</xdr:rowOff>
                  </from>
                  <to>
                    <xdr:col>11</xdr:col>
                    <xdr:colOff>19050</xdr:colOff>
                    <xdr:row>74</xdr:row>
                    <xdr:rowOff>228600</xdr:rowOff>
                  </to>
                </anchor>
              </controlPr>
            </control>
          </mc:Choice>
        </mc:AlternateContent>
        <mc:AlternateContent xmlns:mc="http://schemas.openxmlformats.org/markup-compatibility/2006">
          <mc:Choice Requires="x14">
            <control shapeId="89188" r:id="rId39" name="Check Box 100">
              <controlPr defaultSize="0" autoFill="0" autoLine="0" autoPict="0">
                <anchor moveWithCells="1">
                  <from>
                    <xdr:col>9</xdr:col>
                    <xdr:colOff>171450</xdr:colOff>
                    <xdr:row>77</xdr:row>
                    <xdr:rowOff>19050</xdr:rowOff>
                  </from>
                  <to>
                    <xdr:col>11</xdr:col>
                    <xdr:colOff>19050</xdr:colOff>
                    <xdr:row>77</xdr:row>
                    <xdr:rowOff>228600</xdr:rowOff>
                  </to>
                </anchor>
              </controlPr>
            </control>
          </mc:Choice>
        </mc:AlternateContent>
        <mc:AlternateContent xmlns:mc="http://schemas.openxmlformats.org/markup-compatibility/2006">
          <mc:Choice Requires="x14">
            <control shapeId="89189" r:id="rId40" name="Group Box 101">
              <controlPr defaultSize="0" autoFill="0" autoPict="0">
                <anchor moveWithCells="1">
                  <from>
                    <xdr:col>14</xdr:col>
                    <xdr:colOff>38100</xdr:colOff>
                    <xdr:row>76</xdr:row>
                    <xdr:rowOff>0</xdr:rowOff>
                  </from>
                  <to>
                    <xdr:col>23</xdr:col>
                    <xdr:colOff>241300</xdr:colOff>
                    <xdr:row>77</xdr:row>
                    <xdr:rowOff>19050</xdr:rowOff>
                  </to>
                </anchor>
              </controlPr>
            </control>
          </mc:Choice>
        </mc:AlternateContent>
        <mc:AlternateContent xmlns:mc="http://schemas.openxmlformats.org/markup-compatibility/2006">
          <mc:Choice Requires="x14">
            <control shapeId="89190" r:id="rId41" name="Option Button 102">
              <controlPr defaultSize="0" autoFill="0" autoLine="0" autoPict="0">
                <anchor moveWithCells="1">
                  <from>
                    <xdr:col>14</xdr:col>
                    <xdr:colOff>114300</xdr:colOff>
                    <xdr:row>76</xdr:row>
                    <xdr:rowOff>19050</xdr:rowOff>
                  </from>
                  <to>
                    <xdr:col>17</xdr:col>
                    <xdr:colOff>171450</xdr:colOff>
                    <xdr:row>76</xdr:row>
                    <xdr:rowOff>222250</xdr:rowOff>
                  </to>
                </anchor>
              </controlPr>
            </control>
          </mc:Choice>
        </mc:AlternateContent>
        <mc:AlternateContent xmlns:mc="http://schemas.openxmlformats.org/markup-compatibility/2006">
          <mc:Choice Requires="x14">
            <control shapeId="89191" r:id="rId42" name="Option Button 103">
              <controlPr defaultSize="0" autoFill="0" autoLine="0" autoPict="0">
                <anchor moveWithCells="1">
                  <from>
                    <xdr:col>18</xdr:col>
                    <xdr:colOff>260350</xdr:colOff>
                    <xdr:row>76</xdr:row>
                    <xdr:rowOff>19050</xdr:rowOff>
                  </from>
                  <to>
                    <xdr:col>22</xdr:col>
                    <xdr:colOff>57150</xdr:colOff>
                    <xdr:row>76</xdr:row>
                    <xdr:rowOff>222250</xdr:rowOff>
                  </to>
                </anchor>
              </controlPr>
            </control>
          </mc:Choice>
        </mc:AlternateContent>
        <mc:AlternateContent xmlns:mc="http://schemas.openxmlformats.org/markup-compatibility/2006">
          <mc:Choice Requires="x14">
            <control shapeId="89192" r:id="rId43" name="Group Box 104">
              <controlPr defaultSize="0" autoFill="0" autoPict="0">
                <anchor moveWithCells="1">
                  <from>
                    <xdr:col>28</xdr:col>
                    <xdr:colOff>12700</xdr:colOff>
                    <xdr:row>64</xdr:row>
                    <xdr:rowOff>228600</xdr:rowOff>
                  </from>
                  <to>
                    <xdr:col>36</xdr:col>
                    <xdr:colOff>0</xdr:colOff>
                    <xdr:row>70</xdr:row>
                    <xdr:rowOff>12700</xdr:rowOff>
                  </to>
                </anchor>
              </controlPr>
            </control>
          </mc:Choice>
        </mc:AlternateContent>
        <mc:AlternateContent xmlns:mc="http://schemas.openxmlformats.org/markup-compatibility/2006">
          <mc:Choice Requires="x14">
            <control shapeId="89193" r:id="rId44" name="Option Button 105">
              <controlPr defaultSize="0" autoFill="0" autoLine="0" autoPict="0">
                <anchor moveWithCells="1">
                  <from>
                    <xdr:col>28</xdr:col>
                    <xdr:colOff>127000</xdr:colOff>
                    <xdr:row>65</xdr:row>
                    <xdr:rowOff>19050</xdr:rowOff>
                  </from>
                  <to>
                    <xdr:col>31</xdr:col>
                    <xdr:colOff>241300</xdr:colOff>
                    <xdr:row>65</xdr:row>
                    <xdr:rowOff>222250</xdr:rowOff>
                  </to>
                </anchor>
              </controlPr>
            </control>
          </mc:Choice>
        </mc:AlternateContent>
        <mc:AlternateContent xmlns:mc="http://schemas.openxmlformats.org/markup-compatibility/2006">
          <mc:Choice Requires="x14">
            <control shapeId="89194" r:id="rId45" name="Option Button 106">
              <controlPr defaultSize="0" autoFill="0" autoLine="0" autoPict="0">
                <anchor moveWithCells="1">
                  <from>
                    <xdr:col>32</xdr:col>
                    <xdr:colOff>107950</xdr:colOff>
                    <xdr:row>65</xdr:row>
                    <xdr:rowOff>19050</xdr:rowOff>
                  </from>
                  <to>
                    <xdr:col>35</xdr:col>
                    <xdr:colOff>222250</xdr:colOff>
                    <xdr:row>65</xdr:row>
                    <xdr:rowOff>222250</xdr:rowOff>
                  </to>
                </anchor>
              </controlPr>
            </control>
          </mc:Choice>
        </mc:AlternateContent>
        <mc:AlternateContent xmlns:mc="http://schemas.openxmlformats.org/markup-compatibility/2006">
          <mc:Choice Requires="x14">
            <control shapeId="89195" r:id="rId46" name="Group Box 107">
              <controlPr defaultSize="0" autoFill="0" autoPict="0">
                <anchor moveWithCells="1">
                  <from>
                    <xdr:col>14</xdr:col>
                    <xdr:colOff>50800</xdr:colOff>
                    <xdr:row>60</xdr:row>
                    <xdr:rowOff>241300</xdr:rowOff>
                  </from>
                  <to>
                    <xdr:col>23</xdr:col>
                    <xdr:colOff>209550</xdr:colOff>
                    <xdr:row>62</xdr:row>
                    <xdr:rowOff>209550</xdr:rowOff>
                  </to>
                </anchor>
              </controlPr>
            </control>
          </mc:Choice>
        </mc:AlternateContent>
        <mc:AlternateContent xmlns:mc="http://schemas.openxmlformats.org/markup-compatibility/2006">
          <mc:Choice Requires="x14">
            <control shapeId="89198" r:id="rId47" name="Group Box 110">
              <controlPr defaultSize="0" autoFill="0" autoPict="0">
                <anchor moveWithCells="1">
                  <from>
                    <xdr:col>14</xdr:col>
                    <xdr:colOff>31750</xdr:colOff>
                    <xdr:row>80</xdr:row>
                    <xdr:rowOff>247650</xdr:rowOff>
                  </from>
                  <to>
                    <xdr:col>23</xdr:col>
                    <xdr:colOff>222250</xdr:colOff>
                    <xdr:row>82</xdr:row>
                    <xdr:rowOff>0</xdr:rowOff>
                  </to>
                </anchor>
              </controlPr>
            </control>
          </mc:Choice>
        </mc:AlternateContent>
        <mc:AlternateContent xmlns:mc="http://schemas.openxmlformats.org/markup-compatibility/2006">
          <mc:Choice Requires="x14">
            <control shapeId="89199" r:id="rId48" name="Option Button 111">
              <controlPr defaultSize="0" autoFill="0" autoLine="0" autoPict="0">
                <anchor moveWithCells="1">
                  <from>
                    <xdr:col>14</xdr:col>
                    <xdr:colOff>203200</xdr:colOff>
                    <xdr:row>81</xdr:row>
                    <xdr:rowOff>0</xdr:rowOff>
                  </from>
                  <to>
                    <xdr:col>18</xdr:col>
                    <xdr:colOff>107950</xdr:colOff>
                    <xdr:row>81</xdr:row>
                    <xdr:rowOff>241300</xdr:rowOff>
                  </to>
                </anchor>
              </controlPr>
            </control>
          </mc:Choice>
        </mc:AlternateContent>
        <mc:AlternateContent xmlns:mc="http://schemas.openxmlformats.org/markup-compatibility/2006">
          <mc:Choice Requires="x14">
            <control shapeId="89200" r:id="rId49" name="Option Button 112">
              <controlPr defaultSize="0" autoFill="0" autoLine="0" autoPict="0">
                <anchor moveWithCells="1">
                  <from>
                    <xdr:col>19</xdr:col>
                    <xdr:colOff>209550</xdr:colOff>
                    <xdr:row>81</xdr:row>
                    <xdr:rowOff>0</xdr:rowOff>
                  </from>
                  <to>
                    <xdr:col>23</xdr:col>
                    <xdr:colOff>114300</xdr:colOff>
                    <xdr:row>81</xdr:row>
                    <xdr:rowOff>241300</xdr:rowOff>
                  </to>
                </anchor>
              </controlPr>
            </control>
          </mc:Choice>
        </mc:AlternateContent>
        <mc:AlternateContent xmlns:mc="http://schemas.openxmlformats.org/markup-compatibility/2006">
          <mc:Choice Requires="x14">
            <control shapeId="89201" r:id="rId50" name="Group Box 113">
              <controlPr defaultSize="0" autoFill="0" autoPict="0">
                <anchor moveWithCells="1">
                  <from>
                    <xdr:col>14</xdr:col>
                    <xdr:colOff>31750</xdr:colOff>
                    <xdr:row>82</xdr:row>
                    <xdr:rowOff>19050</xdr:rowOff>
                  </from>
                  <to>
                    <xdr:col>23</xdr:col>
                    <xdr:colOff>222250</xdr:colOff>
                    <xdr:row>83</xdr:row>
                    <xdr:rowOff>222250</xdr:rowOff>
                  </to>
                </anchor>
              </controlPr>
            </control>
          </mc:Choice>
        </mc:AlternateContent>
        <mc:AlternateContent xmlns:mc="http://schemas.openxmlformats.org/markup-compatibility/2006">
          <mc:Choice Requires="x14">
            <control shapeId="89204" r:id="rId51" name="Group Box 116">
              <controlPr defaultSize="0" autoFill="0" autoPict="0">
                <anchor moveWithCells="1">
                  <from>
                    <xdr:col>16</xdr:col>
                    <xdr:colOff>31750</xdr:colOff>
                    <xdr:row>153</xdr:row>
                    <xdr:rowOff>0</xdr:rowOff>
                  </from>
                  <to>
                    <xdr:col>27</xdr:col>
                    <xdr:colOff>241300</xdr:colOff>
                    <xdr:row>153</xdr:row>
                    <xdr:rowOff>241300</xdr:rowOff>
                  </to>
                </anchor>
              </controlPr>
            </control>
          </mc:Choice>
        </mc:AlternateContent>
        <mc:AlternateContent xmlns:mc="http://schemas.openxmlformats.org/markup-compatibility/2006">
          <mc:Choice Requires="x14">
            <control shapeId="89205" r:id="rId52" name="Option Button 117">
              <controlPr defaultSize="0" autoFill="0" autoLine="0" autoPict="0">
                <anchor moveWithCells="1">
                  <from>
                    <xdr:col>16</xdr:col>
                    <xdr:colOff>222250</xdr:colOff>
                    <xdr:row>153</xdr:row>
                    <xdr:rowOff>0</xdr:rowOff>
                  </from>
                  <to>
                    <xdr:col>20</xdr:col>
                    <xdr:colOff>165100</xdr:colOff>
                    <xdr:row>153</xdr:row>
                    <xdr:rowOff>241300</xdr:rowOff>
                  </to>
                </anchor>
              </controlPr>
            </control>
          </mc:Choice>
        </mc:AlternateContent>
        <mc:AlternateContent xmlns:mc="http://schemas.openxmlformats.org/markup-compatibility/2006">
          <mc:Choice Requires="x14">
            <control shapeId="89206" r:id="rId53" name="Option Button 118">
              <controlPr defaultSize="0" autoFill="0" autoLine="0" autoPict="0">
                <anchor moveWithCells="1">
                  <from>
                    <xdr:col>22</xdr:col>
                    <xdr:colOff>203200</xdr:colOff>
                    <xdr:row>153</xdr:row>
                    <xdr:rowOff>0</xdr:rowOff>
                  </from>
                  <to>
                    <xdr:col>26</xdr:col>
                    <xdr:colOff>146050</xdr:colOff>
                    <xdr:row>153</xdr:row>
                    <xdr:rowOff>241300</xdr:rowOff>
                  </to>
                </anchor>
              </controlPr>
            </control>
          </mc:Choice>
        </mc:AlternateContent>
        <mc:AlternateContent xmlns:mc="http://schemas.openxmlformats.org/markup-compatibility/2006">
          <mc:Choice Requires="x14">
            <control shapeId="89207" r:id="rId54" name="Group Box 119">
              <controlPr defaultSize="0" autoFill="0" autoPict="0">
                <anchor moveWithCells="1">
                  <from>
                    <xdr:col>16</xdr:col>
                    <xdr:colOff>31750</xdr:colOff>
                    <xdr:row>155</xdr:row>
                    <xdr:rowOff>12700</xdr:rowOff>
                  </from>
                  <to>
                    <xdr:col>27</xdr:col>
                    <xdr:colOff>241300</xdr:colOff>
                    <xdr:row>156</xdr:row>
                    <xdr:rowOff>0</xdr:rowOff>
                  </to>
                </anchor>
              </controlPr>
            </control>
          </mc:Choice>
        </mc:AlternateContent>
        <mc:AlternateContent xmlns:mc="http://schemas.openxmlformats.org/markup-compatibility/2006">
          <mc:Choice Requires="x14">
            <control shapeId="89208" r:id="rId55" name="Option Button 120">
              <controlPr defaultSize="0" autoFill="0" autoLine="0" autoPict="0">
                <anchor moveWithCells="1">
                  <from>
                    <xdr:col>16</xdr:col>
                    <xdr:colOff>222250</xdr:colOff>
                    <xdr:row>155</xdr:row>
                    <xdr:rowOff>12700</xdr:rowOff>
                  </from>
                  <to>
                    <xdr:col>20</xdr:col>
                    <xdr:colOff>165100</xdr:colOff>
                    <xdr:row>156</xdr:row>
                    <xdr:rowOff>0</xdr:rowOff>
                  </to>
                </anchor>
              </controlPr>
            </control>
          </mc:Choice>
        </mc:AlternateContent>
        <mc:AlternateContent xmlns:mc="http://schemas.openxmlformats.org/markup-compatibility/2006">
          <mc:Choice Requires="x14">
            <control shapeId="89209" r:id="rId56" name="Option Button 121">
              <controlPr defaultSize="0" autoFill="0" autoLine="0" autoPict="0">
                <anchor moveWithCells="1">
                  <from>
                    <xdr:col>22</xdr:col>
                    <xdr:colOff>203200</xdr:colOff>
                    <xdr:row>155</xdr:row>
                    <xdr:rowOff>12700</xdr:rowOff>
                  </from>
                  <to>
                    <xdr:col>26</xdr:col>
                    <xdr:colOff>146050</xdr:colOff>
                    <xdr:row>156</xdr:row>
                    <xdr:rowOff>0</xdr:rowOff>
                  </to>
                </anchor>
              </controlPr>
            </control>
          </mc:Choice>
        </mc:AlternateContent>
        <mc:AlternateContent xmlns:mc="http://schemas.openxmlformats.org/markup-compatibility/2006">
          <mc:Choice Requires="x14">
            <control shapeId="89210" r:id="rId57" name="Group Box 122">
              <controlPr defaultSize="0" autoFill="0" autoPict="0">
                <anchor moveWithCells="1">
                  <from>
                    <xdr:col>34</xdr:col>
                    <xdr:colOff>31750</xdr:colOff>
                    <xdr:row>155</xdr:row>
                    <xdr:rowOff>12700</xdr:rowOff>
                  </from>
                  <to>
                    <xdr:col>45</xdr:col>
                    <xdr:colOff>241300</xdr:colOff>
                    <xdr:row>156</xdr:row>
                    <xdr:rowOff>0</xdr:rowOff>
                  </to>
                </anchor>
              </controlPr>
            </control>
          </mc:Choice>
        </mc:AlternateContent>
        <mc:AlternateContent xmlns:mc="http://schemas.openxmlformats.org/markup-compatibility/2006">
          <mc:Choice Requires="x14">
            <control shapeId="89211" r:id="rId58" name="Option Button 123">
              <controlPr defaultSize="0" autoFill="0" autoLine="0" autoPict="0">
                <anchor moveWithCells="1">
                  <from>
                    <xdr:col>34</xdr:col>
                    <xdr:colOff>222250</xdr:colOff>
                    <xdr:row>155</xdr:row>
                    <xdr:rowOff>12700</xdr:rowOff>
                  </from>
                  <to>
                    <xdr:col>38</xdr:col>
                    <xdr:colOff>165100</xdr:colOff>
                    <xdr:row>156</xdr:row>
                    <xdr:rowOff>0</xdr:rowOff>
                  </to>
                </anchor>
              </controlPr>
            </control>
          </mc:Choice>
        </mc:AlternateContent>
        <mc:AlternateContent xmlns:mc="http://schemas.openxmlformats.org/markup-compatibility/2006">
          <mc:Choice Requires="x14">
            <control shapeId="89212" r:id="rId59" name="Option Button 124">
              <controlPr defaultSize="0" autoFill="0" autoLine="0" autoPict="0">
                <anchor moveWithCells="1">
                  <from>
                    <xdr:col>40</xdr:col>
                    <xdr:colOff>203200</xdr:colOff>
                    <xdr:row>155</xdr:row>
                    <xdr:rowOff>12700</xdr:rowOff>
                  </from>
                  <to>
                    <xdr:col>44</xdr:col>
                    <xdr:colOff>146050</xdr:colOff>
                    <xdr:row>156</xdr:row>
                    <xdr:rowOff>0</xdr:rowOff>
                  </to>
                </anchor>
              </controlPr>
            </control>
          </mc:Choice>
        </mc:AlternateContent>
        <mc:AlternateContent xmlns:mc="http://schemas.openxmlformats.org/markup-compatibility/2006">
          <mc:Choice Requires="x14">
            <control shapeId="89213" r:id="rId60" name="Group Box 125">
              <controlPr defaultSize="0" autoFill="0" autoPict="0">
                <anchor moveWithCells="1">
                  <from>
                    <xdr:col>16</xdr:col>
                    <xdr:colOff>38100</xdr:colOff>
                    <xdr:row>156</xdr:row>
                    <xdr:rowOff>12700</xdr:rowOff>
                  </from>
                  <to>
                    <xdr:col>27</xdr:col>
                    <xdr:colOff>247650</xdr:colOff>
                    <xdr:row>157</xdr:row>
                    <xdr:rowOff>0</xdr:rowOff>
                  </to>
                </anchor>
              </controlPr>
            </control>
          </mc:Choice>
        </mc:AlternateContent>
        <mc:AlternateContent xmlns:mc="http://schemas.openxmlformats.org/markup-compatibility/2006">
          <mc:Choice Requires="x14">
            <control shapeId="89214" r:id="rId61" name="Option Button 126">
              <controlPr defaultSize="0" autoFill="0" autoLine="0" autoPict="0">
                <anchor moveWithCells="1">
                  <from>
                    <xdr:col>16</xdr:col>
                    <xdr:colOff>222250</xdr:colOff>
                    <xdr:row>156</xdr:row>
                    <xdr:rowOff>12700</xdr:rowOff>
                  </from>
                  <to>
                    <xdr:col>20</xdr:col>
                    <xdr:colOff>165100</xdr:colOff>
                    <xdr:row>157</xdr:row>
                    <xdr:rowOff>0</xdr:rowOff>
                  </to>
                </anchor>
              </controlPr>
            </control>
          </mc:Choice>
        </mc:AlternateContent>
        <mc:AlternateContent xmlns:mc="http://schemas.openxmlformats.org/markup-compatibility/2006">
          <mc:Choice Requires="x14">
            <control shapeId="89215" r:id="rId62" name="Option Button 127">
              <controlPr defaultSize="0" autoFill="0" autoLine="0" autoPict="0">
                <anchor moveWithCells="1">
                  <from>
                    <xdr:col>22</xdr:col>
                    <xdr:colOff>203200</xdr:colOff>
                    <xdr:row>156</xdr:row>
                    <xdr:rowOff>12700</xdr:rowOff>
                  </from>
                  <to>
                    <xdr:col>26</xdr:col>
                    <xdr:colOff>146050</xdr:colOff>
                    <xdr:row>157</xdr:row>
                    <xdr:rowOff>0</xdr:rowOff>
                  </to>
                </anchor>
              </controlPr>
            </control>
          </mc:Choice>
        </mc:AlternateContent>
        <mc:AlternateContent xmlns:mc="http://schemas.openxmlformats.org/markup-compatibility/2006">
          <mc:Choice Requires="x14">
            <control shapeId="89216" r:id="rId63" name="Group Box 128">
              <controlPr defaultSize="0" autoFill="0" autoPict="0">
                <anchor moveWithCells="1">
                  <from>
                    <xdr:col>16</xdr:col>
                    <xdr:colOff>38100</xdr:colOff>
                    <xdr:row>158</xdr:row>
                    <xdr:rowOff>0</xdr:rowOff>
                  </from>
                  <to>
                    <xdr:col>27</xdr:col>
                    <xdr:colOff>247650</xdr:colOff>
                    <xdr:row>158</xdr:row>
                    <xdr:rowOff>241300</xdr:rowOff>
                  </to>
                </anchor>
              </controlPr>
            </control>
          </mc:Choice>
        </mc:AlternateContent>
        <mc:AlternateContent xmlns:mc="http://schemas.openxmlformats.org/markup-compatibility/2006">
          <mc:Choice Requires="x14">
            <control shapeId="89219" r:id="rId64" name="Group Box 131">
              <controlPr defaultSize="0" autoFill="0" autoPict="0">
                <anchor moveWithCells="1">
                  <from>
                    <xdr:col>16</xdr:col>
                    <xdr:colOff>31750</xdr:colOff>
                    <xdr:row>159</xdr:row>
                    <xdr:rowOff>0</xdr:rowOff>
                  </from>
                  <to>
                    <xdr:col>27</xdr:col>
                    <xdr:colOff>241300</xdr:colOff>
                    <xdr:row>161</xdr:row>
                    <xdr:rowOff>241300</xdr:rowOff>
                  </to>
                </anchor>
              </controlPr>
            </control>
          </mc:Choice>
        </mc:AlternateContent>
        <mc:AlternateContent xmlns:mc="http://schemas.openxmlformats.org/markup-compatibility/2006">
          <mc:Choice Requires="x14">
            <control shapeId="89222" r:id="rId65" name="Group Box 134">
              <controlPr defaultSize="0" autoFill="0" autoPict="0">
                <anchor moveWithCells="1">
                  <from>
                    <xdr:col>18</xdr:col>
                    <xdr:colOff>31750</xdr:colOff>
                    <xdr:row>160</xdr:row>
                    <xdr:rowOff>0</xdr:rowOff>
                  </from>
                  <to>
                    <xdr:col>29</xdr:col>
                    <xdr:colOff>241300</xdr:colOff>
                    <xdr:row>161</xdr:row>
                    <xdr:rowOff>241300</xdr:rowOff>
                  </to>
                </anchor>
              </controlPr>
            </control>
          </mc:Choice>
        </mc:AlternateContent>
        <mc:AlternateContent xmlns:mc="http://schemas.openxmlformats.org/markup-compatibility/2006">
          <mc:Choice Requires="x14">
            <control shapeId="89225" r:id="rId66" name="Group Box 137">
              <controlPr defaultSize="0" autoFill="0" autoPict="0">
                <anchor moveWithCells="1">
                  <from>
                    <xdr:col>34</xdr:col>
                    <xdr:colOff>31750</xdr:colOff>
                    <xdr:row>160</xdr:row>
                    <xdr:rowOff>0</xdr:rowOff>
                  </from>
                  <to>
                    <xdr:col>45</xdr:col>
                    <xdr:colOff>241300</xdr:colOff>
                    <xdr:row>161</xdr:row>
                    <xdr:rowOff>241300</xdr:rowOff>
                  </to>
                </anchor>
              </controlPr>
            </control>
          </mc:Choice>
        </mc:AlternateContent>
        <mc:AlternateContent xmlns:mc="http://schemas.openxmlformats.org/markup-compatibility/2006">
          <mc:Choice Requires="x14">
            <control shapeId="89228" r:id="rId67" name="Group Box 140">
              <controlPr defaultSize="0" autoFill="0" autoPict="0">
                <anchor moveWithCells="1">
                  <from>
                    <xdr:col>16</xdr:col>
                    <xdr:colOff>50800</xdr:colOff>
                    <xdr:row>156</xdr:row>
                    <xdr:rowOff>241300</xdr:rowOff>
                  </from>
                  <to>
                    <xdr:col>31</xdr:col>
                    <xdr:colOff>50800</xdr:colOff>
                    <xdr:row>158</xdr:row>
                    <xdr:rowOff>0</xdr:rowOff>
                  </to>
                </anchor>
              </controlPr>
            </control>
          </mc:Choice>
        </mc:AlternateContent>
        <mc:AlternateContent xmlns:mc="http://schemas.openxmlformats.org/markup-compatibility/2006">
          <mc:Choice Requires="x14">
            <control shapeId="89229" r:id="rId68" name="Option Button 141">
              <controlPr defaultSize="0" autoFill="0" autoLine="0" autoPict="0">
                <anchor moveWithCells="1">
                  <from>
                    <xdr:col>16</xdr:col>
                    <xdr:colOff>209550</xdr:colOff>
                    <xdr:row>157</xdr:row>
                    <xdr:rowOff>0</xdr:rowOff>
                  </from>
                  <to>
                    <xdr:col>20</xdr:col>
                    <xdr:colOff>146050</xdr:colOff>
                    <xdr:row>157</xdr:row>
                    <xdr:rowOff>241300</xdr:rowOff>
                  </to>
                </anchor>
              </controlPr>
            </control>
          </mc:Choice>
        </mc:AlternateContent>
        <mc:AlternateContent xmlns:mc="http://schemas.openxmlformats.org/markup-compatibility/2006">
          <mc:Choice Requires="x14">
            <control shapeId="89230" r:id="rId69" name="Option Button 142">
              <controlPr defaultSize="0" autoFill="0" autoLine="0" autoPict="0">
                <anchor moveWithCells="1">
                  <from>
                    <xdr:col>21</xdr:col>
                    <xdr:colOff>222250</xdr:colOff>
                    <xdr:row>157</xdr:row>
                    <xdr:rowOff>0</xdr:rowOff>
                  </from>
                  <to>
                    <xdr:col>25</xdr:col>
                    <xdr:colOff>165100</xdr:colOff>
                    <xdr:row>157</xdr:row>
                    <xdr:rowOff>241300</xdr:rowOff>
                  </to>
                </anchor>
              </controlPr>
            </control>
          </mc:Choice>
        </mc:AlternateContent>
        <mc:AlternateContent xmlns:mc="http://schemas.openxmlformats.org/markup-compatibility/2006">
          <mc:Choice Requires="x14">
            <control shapeId="89231" r:id="rId70" name="Option Button 143">
              <controlPr defaultSize="0" autoFill="0" autoLine="0" autoPict="0">
                <anchor moveWithCells="1">
                  <from>
                    <xdr:col>26</xdr:col>
                    <xdr:colOff>222250</xdr:colOff>
                    <xdr:row>157</xdr:row>
                    <xdr:rowOff>0</xdr:rowOff>
                  </from>
                  <to>
                    <xdr:col>30</xdr:col>
                    <xdr:colOff>165100</xdr:colOff>
                    <xdr:row>157</xdr:row>
                    <xdr:rowOff>241300</xdr:rowOff>
                  </to>
                </anchor>
              </controlPr>
            </control>
          </mc:Choice>
        </mc:AlternateContent>
        <mc:AlternateContent xmlns:mc="http://schemas.openxmlformats.org/markup-compatibility/2006">
          <mc:Choice Requires="x14">
            <control shapeId="89232" r:id="rId71" name="Group Box 144">
              <controlPr defaultSize="0" autoFill="0" autoPict="0">
                <anchor moveWithCells="1">
                  <from>
                    <xdr:col>14</xdr:col>
                    <xdr:colOff>31750</xdr:colOff>
                    <xdr:row>82</xdr:row>
                    <xdr:rowOff>19050</xdr:rowOff>
                  </from>
                  <to>
                    <xdr:col>23</xdr:col>
                    <xdr:colOff>222250</xdr:colOff>
                    <xdr:row>83</xdr:row>
                    <xdr:rowOff>222250</xdr:rowOff>
                  </to>
                </anchor>
              </controlPr>
            </control>
          </mc:Choice>
        </mc:AlternateContent>
        <mc:AlternateContent xmlns:mc="http://schemas.openxmlformats.org/markup-compatibility/2006">
          <mc:Choice Requires="x14">
            <control shapeId="89242" r:id="rId72" name="Group Box 154">
              <controlPr defaultSize="0" autoFill="0" autoPict="0">
                <anchor moveWithCells="1">
                  <from>
                    <xdr:col>48</xdr:col>
                    <xdr:colOff>381000</xdr:colOff>
                    <xdr:row>83</xdr:row>
                    <xdr:rowOff>107950</xdr:rowOff>
                  </from>
                  <to>
                    <xdr:col>140</xdr:col>
                    <xdr:colOff>95250</xdr:colOff>
                    <xdr:row>111</xdr:row>
                    <xdr:rowOff>184150</xdr:rowOff>
                  </to>
                </anchor>
              </controlPr>
            </control>
          </mc:Choice>
        </mc:AlternateContent>
        <mc:AlternateContent xmlns:mc="http://schemas.openxmlformats.org/markup-compatibility/2006">
          <mc:Choice Requires="x14">
            <control shapeId="89243" r:id="rId73" name="Option Button 155">
              <controlPr defaultSize="0" autoFill="0" autoLine="0" autoPict="0">
                <anchor moveWithCells="1">
                  <from>
                    <xdr:col>22</xdr:col>
                    <xdr:colOff>171450</xdr:colOff>
                    <xdr:row>149</xdr:row>
                    <xdr:rowOff>12700</xdr:rowOff>
                  </from>
                  <to>
                    <xdr:col>25</xdr:col>
                    <xdr:colOff>260350</xdr:colOff>
                    <xdr:row>150</xdr:row>
                    <xdr:rowOff>0</xdr:rowOff>
                  </to>
                </anchor>
              </controlPr>
            </control>
          </mc:Choice>
        </mc:AlternateContent>
        <mc:AlternateContent xmlns:mc="http://schemas.openxmlformats.org/markup-compatibility/2006">
          <mc:Choice Requires="x14">
            <control shapeId="89244" r:id="rId74" name="Option Button 156">
              <controlPr defaultSize="0" autoFill="0" autoLine="0" autoPict="0">
                <anchor moveWithCells="1">
                  <from>
                    <xdr:col>10</xdr:col>
                    <xdr:colOff>165100</xdr:colOff>
                    <xdr:row>149</xdr:row>
                    <xdr:rowOff>12700</xdr:rowOff>
                  </from>
                  <to>
                    <xdr:col>14</xdr:col>
                    <xdr:colOff>0</xdr:colOff>
                    <xdr:row>150</xdr:row>
                    <xdr:rowOff>0</xdr:rowOff>
                  </to>
                </anchor>
              </controlPr>
            </control>
          </mc:Choice>
        </mc:AlternateContent>
        <mc:AlternateContent xmlns:mc="http://schemas.openxmlformats.org/markup-compatibility/2006">
          <mc:Choice Requires="x14">
            <control shapeId="89245" r:id="rId75" name="Option Button 157">
              <controlPr defaultSize="0" autoFill="0" autoLine="0" autoPict="0">
                <anchor moveWithCells="1">
                  <from>
                    <xdr:col>34</xdr:col>
                    <xdr:colOff>165100</xdr:colOff>
                    <xdr:row>149</xdr:row>
                    <xdr:rowOff>12700</xdr:rowOff>
                  </from>
                  <to>
                    <xdr:col>38</xdr:col>
                    <xdr:colOff>0</xdr:colOff>
                    <xdr:row>150</xdr:row>
                    <xdr:rowOff>0</xdr:rowOff>
                  </to>
                </anchor>
              </controlPr>
            </control>
          </mc:Choice>
        </mc:AlternateContent>
        <mc:AlternateContent xmlns:mc="http://schemas.openxmlformats.org/markup-compatibility/2006">
          <mc:Choice Requires="x14">
            <control shapeId="89246" r:id="rId76" name="Check Box 158">
              <controlPr defaultSize="0" autoFill="0" autoLine="0" autoPict="0">
                <anchor moveWithCells="1">
                  <from>
                    <xdr:col>9</xdr:col>
                    <xdr:colOff>171450</xdr:colOff>
                    <xdr:row>59</xdr:row>
                    <xdr:rowOff>19050</xdr:rowOff>
                  </from>
                  <to>
                    <xdr:col>11</xdr:col>
                    <xdr:colOff>19050</xdr:colOff>
                    <xdr:row>59</xdr:row>
                    <xdr:rowOff>228600</xdr:rowOff>
                  </to>
                </anchor>
              </controlPr>
            </control>
          </mc:Choice>
        </mc:AlternateContent>
        <mc:AlternateContent xmlns:mc="http://schemas.openxmlformats.org/markup-compatibility/2006">
          <mc:Choice Requires="x14">
            <control shapeId="89247" r:id="rId77" name="Check Box 159">
              <controlPr defaultSize="0" autoFill="0" autoLine="0" autoPict="0">
                <anchor moveWithCells="1">
                  <from>
                    <xdr:col>9</xdr:col>
                    <xdr:colOff>171450</xdr:colOff>
                    <xdr:row>62</xdr:row>
                    <xdr:rowOff>19050</xdr:rowOff>
                  </from>
                  <to>
                    <xdr:col>11</xdr:col>
                    <xdr:colOff>19050</xdr:colOff>
                    <xdr:row>62</xdr:row>
                    <xdr:rowOff>228600</xdr:rowOff>
                  </to>
                </anchor>
              </controlPr>
            </control>
          </mc:Choice>
        </mc:AlternateContent>
        <mc:AlternateContent xmlns:mc="http://schemas.openxmlformats.org/markup-compatibility/2006">
          <mc:Choice Requires="x14">
            <control shapeId="89248" r:id="rId78" name="Group Box 160">
              <controlPr defaultSize="0" autoFill="0" autoPict="0">
                <anchor moveWithCells="1">
                  <from>
                    <xdr:col>14</xdr:col>
                    <xdr:colOff>50800</xdr:colOff>
                    <xdr:row>60</xdr:row>
                    <xdr:rowOff>241300</xdr:rowOff>
                  </from>
                  <to>
                    <xdr:col>23</xdr:col>
                    <xdr:colOff>209550</xdr:colOff>
                    <xdr:row>62</xdr:row>
                    <xdr:rowOff>209550</xdr:rowOff>
                  </to>
                </anchor>
              </controlPr>
            </control>
          </mc:Choice>
        </mc:AlternateContent>
        <mc:AlternateContent xmlns:mc="http://schemas.openxmlformats.org/markup-compatibility/2006">
          <mc:Choice Requires="x14">
            <control shapeId="89249" r:id="rId79" name="Option Button 161">
              <controlPr defaultSize="0" autoFill="0" autoLine="0" autoPict="0">
                <anchor moveWithCells="1">
                  <from>
                    <xdr:col>14</xdr:col>
                    <xdr:colOff>127000</xdr:colOff>
                    <xdr:row>61</xdr:row>
                    <xdr:rowOff>12700</xdr:rowOff>
                  </from>
                  <to>
                    <xdr:col>17</xdr:col>
                    <xdr:colOff>241300</xdr:colOff>
                    <xdr:row>61</xdr:row>
                    <xdr:rowOff>209550</xdr:rowOff>
                  </to>
                </anchor>
              </controlPr>
            </control>
          </mc:Choice>
        </mc:AlternateContent>
        <mc:AlternateContent xmlns:mc="http://schemas.openxmlformats.org/markup-compatibility/2006">
          <mc:Choice Requires="x14">
            <control shapeId="89250" r:id="rId80" name="Option Button 162">
              <controlPr defaultSize="0" autoFill="0" autoLine="0" autoPict="0">
                <anchor moveWithCells="1">
                  <from>
                    <xdr:col>19</xdr:col>
                    <xdr:colOff>38100</xdr:colOff>
                    <xdr:row>61</xdr:row>
                    <xdr:rowOff>12700</xdr:rowOff>
                  </from>
                  <to>
                    <xdr:col>22</xdr:col>
                    <xdr:colOff>152400</xdr:colOff>
                    <xdr:row>61</xdr:row>
                    <xdr:rowOff>209550</xdr:rowOff>
                  </to>
                </anchor>
              </controlPr>
            </control>
          </mc:Choice>
        </mc:AlternateContent>
        <mc:AlternateContent xmlns:mc="http://schemas.openxmlformats.org/markup-compatibility/2006">
          <mc:Choice Requires="x14">
            <control shapeId="89253" r:id="rId81" name="Group Box 165">
              <controlPr defaultSize="0" autoFill="0" autoPict="0">
                <anchor moveWithCells="1">
                  <from>
                    <xdr:col>14</xdr:col>
                    <xdr:colOff>0</xdr:colOff>
                    <xdr:row>60</xdr:row>
                    <xdr:rowOff>0</xdr:rowOff>
                  </from>
                  <to>
                    <xdr:col>25</xdr:col>
                    <xdr:colOff>247650</xdr:colOff>
                    <xdr:row>60</xdr:row>
                    <xdr:rowOff>241300</xdr:rowOff>
                  </to>
                </anchor>
              </controlPr>
            </control>
          </mc:Choice>
        </mc:AlternateContent>
        <mc:AlternateContent xmlns:mc="http://schemas.openxmlformats.org/markup-compatibility/2006">
          <mc:Choice Requires="x14">
            <control shapeId="89255" r:id="rId82" name="Group Box 167">
              <controlPr defaultSize="0" autoFill="0" autoPict="0">
                <anchor moveWithCells="1">
                  <from>
                    <xdr:col>14</xdr:col>
                    <xdr:colOff>57150</xdr:colOff>
                    <xdr:row>82</xdr:row>
                    <xdr:rowOff>228600</xdr:rowOff>
                  </from>
                  <to>
                    <xdr:col>38</xdr:col>
                    <xdr:colOff>241300</xdr:colOff>
                    <xdr:row>84</xdr:row>
                    <xdr:rowOff>38100</xdr:rowOff>
                  </to>
                </anchor>
              </controlPr>
            </control>
          </mc:Choice>
        </mc:AlternateContent>
        <mc:AlternateContent xmlns:mc="http://schemas.openxmlformats.org/markup-compatibility/2006">
          <mc:Choice Requires="x14">
            <control shapeId="89256" r:id="rId83" name="Option Button 168">
              <controlPr defaultSize="0" autoFill="0" autoLine="0" autoPict="0">
                <anchor moveWithCells="1">
                  <from>
                    <xdr:col>14</xdr:col>
                    <xdr:colOff>203200</xdr:colOff>
                    <xdr:row>82</xdr:row>
                    <xdr:rowOff>247650</xdr:rowOff>
                  </from>
                  <to>
                    <xdr:col>18</xdr:col>
                    <xdr:colOff>107950</xdr:colOff>
                    <xdr:row>83</xdr:row>
                    <xdr:rowOff>241300</xdr:rowOff>
                  </to>
                </anchor>
              </controlPr>
            </control>
          </mc:Choice>
        </mc:AlternateContent>
        <mc:AlternateContent xmlns:mc="http://schemas.openxmlformats.org/markup-compatibility/2006">
          <mc:Choice Requires="x14">
            <control shapeId="89257" r:id="rId84" name="Option Button 169">
              <controlPr defaultSize="0" autoFill="0" autoLine="0" autoPict="0">
                <anchor moveWithCells="1">
                  <from>
                    <xdr:col>19</xdr:col>
                    <xdr:colOff>209550</xdr:colOff>
                    <xdr:row>82</xdr:row>
                    <xdr:rowOff>247650</xdr:rowOff>
                  </from>
                  <to>
                    <xdr:col>23</xdr:col>
                    <xdr:colOff>114300</xdr:colOff>
                    <xdr:row>83</xdr:row>
                    <xdr:rowOff>241300</xdr:rowOff>
                  </to>
                </anchor>
              </controlPr>
            </control>
          </mc:Choice>
        </mc:AlternateContent>
        <mc:AlternateContent xmlns:mc="http://schemas.openxmlformats.org/markup-compatibility/2006">
          <mc:Choice Requires="x14">
            <control shapeId="89258" r:id="rId85" name="Option Button 170">
              <controlPr defaultSize="0" autoFill="0" autoLine="0" autoPict="0">
                <anchor moveWithCells="1">
                  <from>
                    <xdr:col>29</xdr:col>
                    <xdr:colOff>209550</xdr:colOff>
                    <xdr:row>82</xdr:row>
                    <xdr:rowOff>247650</xdr:rowOff>
                  </from>
                  <to>
                    <xdr:col>33</xdr:col>
                    <xdr:colOff>114300</xdr:colOff>
                    <xdr:row>83</xdr:row>
                    <xdr:rowOff>241300</xdr:rowOff>
                  </to>
                </anchor>
              </controlPr>
            </control>
          </mc:Choice>
        </mc:AlternateContent>
        <mc:AlternateContent xmlns:mc="http://schemas.openxmlformats.org/markup-compatibility/2006">
          <mc:Choice Requires="x14">
            <control shapeId="89259" r:id="rId86" name="Group Box 171">
              <controlPr defaultSize="0" autoFill="0" autoPict="0">
                <anchor moveWithCells="1">
                  <from>
                    <xdr:col>14</xdr:col>
                    <xdr:colOff>107950</xdr:colOff>
                    <xdr:row>85</xdr:row>
                    <xdr:rowOff>228600</xdr:rowOff>
                  </from>
                  <to>
                    <xdr:col>23</xdr:col>
                    <xdr:colOff>152400</xdr:colOff>
                    <xdr:row>88</xdr:row>
                    <xdr:rowOff>19050</xdr:rowOff>
                  </to>
                </anchor>
              </controlPr>
            </control>
          </mc:Choice>
        </mc:AlternateContent>
        <mc:AlternateContent xmlns:mc="http://schemas.openxmlformats.org/markup-compatibility/2006">
          <mc:Choice Requires="x14">
            <control shapeId="89260" r:id="rId87" name="Option Button 172">
              <controlPr defaultSize="0" autoFill="0" autoLine="0" autoPict="0">
                <anchor moveWithCells="1">
                  <from>
                    <xdr:col>14</xdr:col>
                    <xdr:colOff>203200</xdr:colOff>
                    <xdr:row>85</xdr:row>
                    <xdr:rowOff>247650</xdr:rowOff>
                  </from>
                  <to>
                    <xdr:col>18</xdr:col>
                    <xdr:colOff>107950</xdr:colOff>
                    <xdr:row>86</xdr:row>
                    <xdr:rowOff>241300</xdr:rowOff>
                  </to>
                </anchor>
              </controlPr>
            </control>
          </mc:Choice>
        </mc:AlternateContent>
        <mc:AlternateContent xmlns:mc="http://schemas.openxmlformats.org/markup-compatibility/2006">
          <mc:Choice Requires="x14">
            <control shapeId="89261" r:id="rId88" name="Option Button 173">
              <controlPr defaultSize="0" autoFill="0" autoLine="0" autoPict="0">
                <anchor moveWithCells="1">
                  <from>
                    <xdr:col>19</xdr:col>
                    <xdr:colOff>209550</xdr:colOff>
                    <xdr:row>85</xdr:row>
                    <xdr:rowOff>247650</xdr:rowOff>
                  </from>
                  <to>
                    <xdr:col>23</xdr:col>
                    <xdr:colOff>114300</xdr:colOff>
                    <xdr:row>86</xdr:row>
                    <xdr:rowOff>241300</xdr:rowOff>
                  </to>
                </anchor>
              </controlPr>
            </control>
          </mc:Choice>
        </mc:AlternateContent>
        <mc:AlternateContent xmlns:mc="http://schemas.openxmlformats.org/markup-compatibility/2006">
          <mc:Choice Requires="x14">
            <control shapeId="89265" r:id="rId89" name="Check Box 177">
              <controlPr defaultSize="0" autoFill="0" autoLine="0" autoPict="0">
                <anchor moveWithCells="1">
                  <from>
                    <xdr:col>10</xdr:col>
                    <xdr:colOff>146050</xdr:colOff>
                    <xdr:row>174</xdr:row>
                    <xdr:rowOff>0</xdr:rowOff>
                  </from>
                  <to>
                    <xdr:col>15</xdr:col>
                    <xdr:colOff>241300</xdr:colOff>
                    <xdr:row>175</xdr:row>
                    <xdr:rowOff>0</xdr:rowOff>
                  </to>
                </anchor>
              </controlPr>
            </control>
          </mc:Choice>
        </mc:AlternateContent>
        <mc:AlternateContent xmlns:mc="http://schemas.openxmlformats.org/markup-compatibility/2006">
          <mc:Choice Requires="x14">
            <control shapeId="89266" r:id="rId90" name="Check Box 178">
              <controlPr defaultSize="0" autoFill="0" autoLine="0" autoPict="0">
                <anchor moveWithCells="1">
                  <from>
                    <xdr:col>9</xdr:col>
                    <xdr:colOff>171450</xdr:colOff>
                    <xdr:row>77</xdr:row>
                    <xdr:rowOff>19050</xdr:rowOff>
                  </from>
                  <to>
                    <xdr:col>11</xdr:col>
                    <xdr:colOff>19050</xdr:colOff>
                    <xdr:row>77</xdr:row>
                    <xdr:rowOff>228600</xdr:rowOff>
                  </to>
                </anchor>
              </controlPr>
            </control>
          </mc:Choice>
        </mc:AlternateContent>
        <mc:AlternateContent xmlns:mc="http://schemas.openxmlformats.org/markup-compatibility/2006">
          <mc:Choice Requires="x14">
            <control shapeId="89267" r:id="rId91" name="Group Box 179">
              <controlPr defaultSize="0" autoFill="0" autoPict="0">
                <anchor moveWithCells="1">
                  <from>
                    <xdr:col>14</xdr:col>
                    <xdr:colOff>38100</xdr:colOff>
                    <xdr:row>76</xdr:row>
                    <xdr:rowOff>0</xdr:rowOff>
                  </from>
                  <to>
                    <xdr:col>23</xdr:col>
                    <xdr:colOff>241300</xdr:colOff>
                    <xdr:row>77</xdr:row>
                    <xdr:rowOff>19050</xdr:rowOff>
                  </to>
                </anchor>
              </controlPr>
            </control>
          </mc:Choice>
        </mc:AlternateContent>
        <mc:AlternateContent xmlns:mc="http://schemas.openxmlformats.org/markup-compatibility/2006">
          <mc:Choice Requires="x14">
            <control shapeId="89268" r:id="rId92" name="Check Box 180">
              <controlPr defaultSize="0" autoFill="0" autoLine="0" autoPict="0">
                <anchor moveWithCells="1">
                  <from>
                    <xdr:col>9</xdr:col>
                    <xdr:colOff>171450</xdr:colOff>
                    <xdr:row>79</xdr:row>
                    <xdr:rowOff>19050</xdr:rowOff>
                  </from>
                  <to>
                    <xdr:col>11</xdr:col>
                    <xdr:colOff>19050</xdr:colOff>
                    <xdr:row>79</xdr:row>
                    <xdr:rowOff>228600</xdr:rowOff>
                  </to>
                </anchor>
              </controlPr>
            </control>
          </mc:Choice>
        </mc:AlternateContent>
        <mc:AlternateContent xmlns:mc="http://schemas.openxmlformats.org/markup-compatibility/2006">
          <mc:Choice Requires="x14">
            <control shapeId="89269" r:id="rId93" name="Group Box 181">
              <controlPr defaultSize="0" autoFill="0" autoPict="0">
                <anchor moveWithCells="1">
                  <from>
                    <xdr:col>37</xdr:col>
                    <xdr:colOff>203200</xdr:colOff>
                    <xdr:row>77</xdr:row>
                    <xdr:rowOff>209550</xdr:rowOff>
                  </from>
                  <to>
                    <xdr:col>46</xdr:col>
                    <xdr:colOff>50800</xdr:colOff>
                    <xdr:row>79</xdr:row>
                    <xdr:rowOff>38100</xdr:rowOff>
                  </to>
                </anchor>
              </controlPr>
            </control>
          </mc:Choice>
        </mc:AlternateContent>
        <mc:AlternateContent xmlns:mc="http://schemas.openxmlformats.org/markup-compatibility/2006">
          <mc:Choice Requires="x14">
            <control shapeId="89270" r:id="rId94" name="Option Button 182">
              <controlPr defaultSize="0" autoFill="0" autoLine="0" autoPict="0">
                <anchor moveWithCells="1">
                  <from>
                    <xdr:col>38</xdr:col>
                    <xdr:colOff>95250</xdr:colOff>
                    <xdr:row>78</xdr:row>
                    <xdr:rowOff>0</xdr:rowOff>
                  </from>
                  <to>
                    <xdr:col>42</xdr:col>
                    <xdr:colOff>0</xdr:colOff>
                    <xdr:row>78</xdr:row>
                    <xdr:rowOff>241300</xdr:rowOff>
                  </to>
                </anchor>
              </controlPr>
            </control>
          </mc:Choice>
        </mc:AlternateContent>
        <mc:AlternateContent xmlns:mc="http://schemas.openxmlformats.org/markup-compatibility/2006">
          <mc:Choice Requires="x14">
            <control shapeId="89271" r:id="rId95" name="Option Button 183">
              <controlPr defaultSize="0" autoFill="0" autoLine="0" autoPict="0">
                <anchor moveWithCells="1">
                  <from>
                    <xdr:col>42</xdr:col>
                    <xdr:colOff>76200</xdr:colOff>
                    <xdr:row>78</xdr:row>
                    <xdr:rowOff>0</xdr:rowOff>
                  </from>
                  <to>
                    <xdr:col>45</xdr:col>
                    <xdr:colOff>241300</xdr:colOff>
                    <xdr:row>78</xdr:row>
                    <xdr:rowOff>241300</xdr:rowOff>
                  </to>
                </anchor>
              </controlPr>
            </control>
          </mc:Choice>
        </mc:AlternateContent>
        <mc:AlternateContent xmlns:mc="http://schemas.openxmlformats.org/markup-compatibility/2006">
          <mc:Choice Requires="x14">
            <control shapeId="89273" r:id="rId96" name="Check Box 185">
              <controlPr defaultSize="0" autoFill="0" autoLine="0" autoPict="0">
                <anchor moveWithCells="1">
                  <from>
                    <xdr:col>9</xdr:col>
                    <xdr:colOff>171450</xdr:colOff>
                    <xdr:row>88</xdr:row>
                    <xdr:rowOff>19050</xdr:rowOff>
                  </from>
                  <to>
                    <xdr:col>11</xdr:col>
                    <xdr:colOff>19050</xdr:colOff>
                    <xdr:row>88</xdr:row>
                    <xdr:rowOff>228600</xdr:rowOff>
                  </to>
                </anchor>
              </controlPr>
            </control>
          </mc:Choice>
        </mc:AlternateContent>
        <mc:AlternateContent xmlns:mc="http://schemas.openxmlformats.org/markup-compatibility/2006">
          <mc:Choice Requires="x14">
            <control shapeId="89274" r:id="rId97" name="Group Box 186">
              <controlPr defaultSize="0" autoFill="0" autoPict="0">
                <anchor moveWithCells="1">
                  <from>
                    <xdr:col>15</xdr:col>
                    <xdr:colOff>247650</xdr:colOff>
                    <xdr:row>158</xdr:row>
                    <xdr:rowOff>12700</xdr:rowOff>
                  </from>
                  <to>
                    <xdr:col>27</xdr:col>
                    <xdr:colOff>247650</xdr:colOff>
                    <xdr:row>161</xdr:row>
                    <xdr:rowOff>241300</xdr:rowOff>
                  </to>
                </anchor>
              </controlPr>
            </control>
          </mc:Choice>
        </mc:AlternateContent>
        <mc:AlternateContent xmlns:mc="http://schemas.openxmlformats.org/markup-compatibility/2006">
          <mc:Choice Requires="x14">
            <control shapeId="89275" r:id="rId98" name="Option Button 187">
              <controlPr defaultSize="0" autoFill="0" autoLine="0" autoPict="0">
                <anchor moveWithCells="1">
                  <from>
                    <xdr:col>16</xdr:col>
                    <xdr:colOff>222250</xdr:colOff>
                    <xdr:row>158</xdr:row>
                    <xdr:rowOff>12700</xdr:rowOff>
                  </from>
                  <to>
                    <xdr:col>20</xdr:col>
                    <xdr:colOff>50800</xdr:colOff>
                    <xdr:row>159</xdr:row>
                    <xdr:rowOff>0</xdr:rowOff>
                  </to>
                </anchor>
              </controlPr>
            </control>
          </mc:Choice>
        </mc:AlternateContent>
        <mc:AlternateContent xmlns:mc="http://schemas.openxmlformats.org/markup-compatibility/2006">
          <mc:Choice Requires="x14">
            <control shapeId="89276" r:id="rId99" name="Option Button 188">
              <controlPr defaultSize="0" autoFill="0" autoLine="0" autoPict="0">
                <anchor moveWithCells="1">
                  <from>
                    <xdr:col>22</xdr:col>
                    <xdr:colOff>203200</xdr:colOff>
                    <xdr:row>158</xdr:row>
                    <xdr:rowOff>12700</xdr:rowOff>
                  </from>
                  <to>
                    <xdr:col>26</xdr:col>
                    <xdr:colOff>38100</xdr:colOff>
                    <xdr:row>159</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B1:G96"/>
  <sheetViews>
    <sheetView showGridLines="0" zoomScale="85" zoomScaleNormal="85" workbookViewId="0">
      <pane ySplit="6" topLeftCell="A7" activePane="bottomLeft" state="frozen"/>
      <selection pane="bottomLeft" activeCell="C58" sqref="C58"/>
    </sheetView>
  </sheetViews>
  <sheetFormatPr defaultColWidth="9" defaultRowHeight="15"/>
  <cols>
    <col min="1" max="1" width="3.7265625" style="1120" customWidth="1"/>
    <col min="2" max="2" width="14.6328125" style="1120" customWidth="1"/>
    <col min="3" max="3" width="30.6328125" style="1120" customWidth="1"/>
    <col min="4" max="4" width="100.6328125" style="1120" customWidth="1"/>
    <col min="5" max="7" width="8.6328125" style="1120" hidden="1" customWidth="1"/>
    <col min="8" max="16384" width="9" style="1120"/>
  </cols>
  <sheetData>
    <row r="1" spans="2:7">
      <c r="E1" s="1121" t="s">
        <v>1073</v>
      </c>
      <c r="F1" s="1121" t="s">
        <v>1073</v>
      </c>
      <c r="G1" s="1121" t="s">
        <v>1073</v>
      </c>
    </row>
    <row r="2" spans="2:7" ht="26.5">
      <c r="B2" s="1122" t="s">
        <v>4150</v>
      </c>
    </row>
    <row r="4" spans="2:7">
      <c r="B4" s="527" t="s">
        <v>1885</v>
      </c>
      <c r="C4" s="1161" t="str">
        <f ca="1">IF(G5=0,"該当する業種を一覧の中からご選択ください。",OFFSET(C6,G5,0))</f>
        <v>電話機販売</v>
      </c>
      <c r="G4" s="1333" t="str">
        <f ca="1">IF(G5=0,0,OFFSET(G6,G5,0))</f>
        <v>40802</v>
      </c>
    </row>
    <row r="5" spans="2:7">
      <c r="G5" s="1190">
        <v>28</v>
      </c>
    </row>
    <row r="6" spans="2:7" ht="30">
      <c r="B6" s="1124" t="s">
        <v>1884</v>
      </c>
      <c r="C6" s="1125" t="s">
        <v>4151</v>
      </c>
      <c r="D6" s="1126" t="s">
        <v>4152</v>
      </c>
      <c r="G6" s="1120" t="s">
        <v>4153</v>
      </c>
    </row>
    <row r="7" spans="2:7" ht="16.5" customHeight="1">
      <c r="B7" s="1127"/>
      <c r="C7" s="1127" t="s">
        <v>4154</v>
      </c>
      <c r="D7" s="1128"/>
      <c r="G7" s="1120" t="s">
        <v>4155</v>
      </c>
    </row>
    <row r="8" spans="2:7" ht="16.5" customHeight="1">
      <c r="B8" s="1127"/>
      <c r="C8" s="1127" t="s">
        <v>1507</v>
      </c>
      <c r="D8" s="1128"/>
      <c r="G8" s="1120" t="s">
        <v>4156</v>
      </c>
    </row>
    <row r="9" spans="2:7" ht="16.5" customHeight="1">
      <c r="B9" s="1127"/>
      <c r="C9" s="1127" t="s">
        <v>1510</v>
      </c>
      <c r="D9" s="1128"/>
      <c r="G9" s="1120" t="s">
        <v>4157</v>
      </c>
    </row>
    <row r="10" spans="2:7" ht="16.5" customHeight="1">
      <c r="B10" s="1127"/>
      <c r="C10" s="1127" t="s">
        <v>4158</v>
      </c>
      <c r="D10" s="1128" t="s">
        <v>4159</v>
      </c>
      <c r="G10" s="1120" t="s">
        <v>4160</v>
      </c>
    </row>
    <row r="11" spans="2:7" ht="16.5" customHeight="1">
      <c r="B11" s="1127"/>
      <c r="C11" s="1127" t="s">
        <v>4161</v>
      </c>
      <c r="D11" s="1128"/>
      <c r="G11" s="1120" t="s">
        <v>4162</v>
      </c>
    </row>
    <row r="12" spans="2:7" ht="16.5" customHeight="1">
      <c r="B12" s="1127"/>
      <c r="C12" s="1127" t="s">
        <v>4163</v>
      </c>
      <c r="D12" s="1128"/>
      <c r="G12" s="1120" t="s">
        <v>4164</v>
      </c>
    </row>
    <row r="13" spans="2:7" ht="16.5" customHeight="1">
      <c r="B13" s="1127"/>
      <c r="C13" s="1127" t="s">
        <v>4165</v>
      </c>
      <c r="D13" s="1128"/>
      <c r="G13" s="1120" t="s">
        <v>4166</v>
      </c>
    </row>
    <row r="14" spans="2:7" ht="16.5" customHeight="1">
      <c r="B14" s="1127"/>
      <c r="C14" s="1127" t="s">
        <v>4167</v>
      </c>
      <c r="D14" s="1128"/>
      <c r="G14" s="1120" t="s">
        <v>4168</v>
      </c>
    </row>
    <row r="15" spans="2:7" ht="16.5" customHeight="1">
      <c r="B15" s="1127"/>
      <c r="C15" s="1127" t="s">
        <v>4169</v>
      </c>
      <c r="D15" s="1128"/>
      <c r="G15" s="1120" t="s">
        <v>3649</v>
      </c>
    </row>
    <row r="16" spans="2:7" ht="16.5" customHeight="1">
      <c r="B16" s="1127"/>
      <c r="C16" s="1127" t="s">
        <v>4170</v>
      </c>
      <c r="D16" s="1128"/>
      <c r="G16" s="1120" t="s">
        <v>4171</v>
      </c>
    </row>
    <row r="17" spans="2:7" ht="16.5" customHeight="1">
      <c r="B17" s="1127"/>
      <c r="C17" s="1127" t="s">
        <v>4172</v>
      </c>
      <c r="D17" s="1128"/>
      <c r="G17" s="1120" t="s">
        <v>4173</v>
      </c>
    </row>
    <row r="18" spans="2:7" ht="16.5" customHeight="1">
      <c r="B18" s="1127"/>
      <c r="C18" s="1127" t="s">
        <v>4174</v>
      </c>
      <c r="D18" s="1128"/>
      <c r="G18" s="1120" t="s">
        <v>4175</v>
      </c>
    </row>
    <row r="19" spans="2:7" ht="16.5" customHeight="1">
      <c r="B19" s="1127"/>
      <c r="C19" s="1127" t="s">
        <v>4176</v>
      </c>
      <c r="D19" s="1128"/>
      <c r="G19" s="1120" t="s">
        <v>4177</v>
      </c>
    </row>
    <row r="20" spans="2:7" ht="16.5" customHeight="1">
      <c r="B20" s="1127"/>
      <c r="C20" s="1127" t="s">
        <v>4178</v>
      </c>
      <c r="D20" s="1128" t="s">
        <v>4179</v>
      </c>
      <c r="G20" s="1120" t="s">
        <v>4180</v>
      </c>
    </row>
    <row r="21" spans="2:7" ht="16.5" customHeight="1">
      <c r="B21" s="1127"/>
      <c r="C21" s="1127" t="s">
        <v>4181</v>
      </c>
      <c r="D21" s="1128"/>
      <c r="G21" s="1120" t="s">
        <v>4182</v>
      </c>
    </row>
    <row r="22" spans="2:7" ht="16.5" customHeight="1">
      <c r="B22" s="1127"/>
      <c r="C22" s="1127" t="s">
        <v>4183</v>
      </c>
      <c r="D22" s="1128"/>
      <c r="G22" s="1120" t="s">
        <v>4184</v>
      </c>
    </row>
    <row r="23" spans="2:7" ht="16.5" customHeight="1">
      <c r="B23" s="1127"/>
      <c r="C23" s="1127" t="s">
        <v>4185</v>
      </c>
      <c r="D23" s="1128"/>
      <c r="G23" s="1120" t="s">
        <v>4186</v>
      </c>
    </row>
    <row r="24" spans="2:7" ht="16.5" customHeight="1">
      <c r="B24" s="1127"/>
      <c r="C24" s="1127" t="s">
        <v>2450</v>
      </c>
      <c r="D24" s="1128"/>
      <c r="G24" s="1120" t="s">
        <v>4187</v>
      </c>
    </row>
    <row r="25" spans="2:7" ht="16.5" customHeight="1">
      <c r="B25" s="1127"/>
      <c r="C25" s="1127" t="s">
        <v>4188</v>
      </c>
      <c r="D25" s="1128"/>
      <c r="G25" s="1120" t="s">
        <v>4189</v>
      </c>
    </row>
    <row r="26" spans="2:7" ht="16.5" customHeight="1">
      <c r="B26" s="1127"/>
      <c r="C26" s="1127" t="s">
        <v>4190</v>
      </c>
      <c r="D26" s="1128"/>
      <c r="G26" s="1120" t="s">
        <v>4191</v>
      </c>
    </row>
    <row r="27" spans="2:7" ht="16.5" customHeight="1">
      <c r="B27" s="1127"/>
      <c r="C27" s="1127" t="s">
        <v>4192</v>
      </c>
      <c r="D27" s="1128"/>
      <c r="G27" s="1120" t="s">
        <v>4193</v>
      </c>
    </row>
    <row r="28" spans="2:7" ht="16.5" customHeight="1">
      <c r="B28" s="1127"/>
      <c r="C28" s="1127" t="s">
        <v>1675</v>
      </c>
      <c r="D28" s="1128"/>
      <c r="G28" s="1120" t="s">
        <v>4095</v>
      </c>
    </row>
    <row r="29" spans="2:7" ht="16.5" customHeight="1">
      <c r="B29" s="1127"/>
      <c r="C29" s="1127" t="s">
        <v>4194</v>
      </c>
      <c r="D29" s="1128"/>
      <c r="G29" s="1120" t="s">
        <v>4195</v>
      </c>
    </row>
    <row r="30" spans="2:7" ht="16.5" customHeight="1">
      <c r="B30" s="1127"/>
      <c r="C30" s="1127" t="s">
        <v>4196</v>
      </c>
      <c r="D30" s="1128"/>
      <c r="G30" s="1120" t="s">
        <v>4197</v>
      </c>
    </row>
    <row r="31" spans="2:7" ht="16.5" customHeight="1">
      <c r="B31" s="1127"/>
      <c r="C31" s="1127" t="s">
        <v>4198</v>
      </c>
      <c r="D31" s="1128"/>
      <c r="G31" s="1120" t="s">
        <v>4199</v>
      </c>
    </row>
    <row r="32" spans="2:7" ht="16.5" customHeight="1">
      <c r="B32" s="1127"/>
      <c r="C32" s="1127" t="s">
        <v>4200</v>
      </c>
      <c r="D32" s="1128"/>
      <c r="G32" s="1120" t="s">
        <v>4201</v>
      </c>
    </row>
    <row r="33" spans="2:7" ht="16.5" customHeight="1">
      <c r="B33" s="1127"/>
      <c r="C33" s="1127" t="s">
        <v>4202</v>
      </c>
      <c r="D33" s="1128" t="s">
        <v>4203</v>
      </c>
      <c r="G33" s="1120" t="s">
        <v>4204</v>
      </c>
    </row>
    <row r="34" spans="2:7" ht="16.5" customHeight="1">
      <c r="B34" s="1127"/>
      <c r="C34" s="1127" t="s">
        <v>4205</v>
      </c>
      <c r="D34" s="1128" t="s">
        <v>4206</v>
      </c>
      <c r="G34" s="1120" t="s">
        <v>4207</v>
      </c>
    </row>
    <row r="35" spans="2:7" ht="16.5" customHeight="1">
      <c r="B35" s="1127"/>
      <c r="C35" s="1127" t="s">
        <v>4208</v>
      </c>
      <c r="D35" s="1128" t="s">
        <v>4209</v>
      </c>
      <c r="G35" s="1120" t="s">
        <v>4210</v>
      </c>
    </row>
    <row r="36" spans="2:7" ht="16.5" customHeight="1">
      <c r="B36" s="1127"/>
      <c r="C36" s="1127" t="s">
        <v>4211</v>
      </c>
      <c r="D36" s="1128" t="s">
        <v>4212</v>
      </c>
      <c r="G36" s="1120" t="s">
        <v>4213</v>
      </c>
    </row>
    <row r="37" spans="2:7" ht="16.5" customHeight="1">
      <c r="B37" s="1127"/>
      <c r="C37" s="1127" t="s">
        <v>4214</v>
      </c>
      <c r="D37" s="1128"/>
      <c r="G37" s="1120" t="s">
        <v>4215</v>
      </c>
    </row>
    <row r="38" spans="2:7" ht="16.5" customHeight="1">
      <c r="B38" s="1127"/>
      <c r="C38" s="1127" t="s">
        <v>4216</v>
      </c>
      <c r="D38" s="1128"/>
      <c r="G38" s="1120" t="s">
        <v>4217</v>
      </c>
    </row>
    <row r="39" spans="2:7" ht="16.5" customHeight="1">
      <c r="B39" s="1127"/>
      <c r="C39" s="1127" t="s">
        <v>4218</v>
      </c>
      <c r="D39" s="1128" t="s">
        <v>4219</v>
      </c>
      <c r="G39" s="1120" t="s">
        <v>4220</v>
      </c>
    </row>
    <row r="40" spans="2:7" ht="16.5" customHeight="1">
      <c r="B40" s="1127"/>
      <c r="C40" s="1127" t="s">
        <v>4221</v>
      </c>
      <c r="D40" s="1128"/>
      <c r="G40" s="1120" t="s">
        <v>4098</v>
      </c>
    </row>
    <row r="41" spans="2:7" ht="16.5" customHeight="1">
      <c r="B41" s="1127"/>
      <c r="C41" s="1127" t="s">
        <v>4222</v>
      </c>
      <c r="D41" s="1128"/>
      <c r="G41" s="1120" t="s">
        <v>4223</v>
      </c>
    </row>
    <row r="42" spans="2:7" ht="16.5" customHeight="1">
      <c r="B42" s="1127"/>
      <c r="C42" s="1127" t="s">
        <v>4224</v>
      </c>
      <c r="D42" s="1128" t="s">
        <v>4225</v>
      </c>
      <c r="G42" s="1120" t="s">
        <v>4226</v>
      </c>
    </row>
    <row r="43" spans="2:7" ht="16.5" customHeight="1">
      <c r="B43" s="1127"/>
      <c r="C43" s="1127" t="s">
        <v>4227</v>
      </c>
      <c r="D43" s="1128"/>
      <c r="G43" s="1120" t="s">
        <v>4228</v>
      </c>
    </row>
    <row r="44" spans="2:7" ht="16.5" customHeight="1">
      <c r="B44" s="1127"/>
      <c r="C44" s="1127" t="s">
        <v>4229</v>
      </c>
      <c r="D44" s="1128" t="s">
        <v>4230</v>
      </c>
      <c r="G44" s="1120" t="s">
        <v>4231</v>
      </c>
    </row>
    <row r="45" spans="2:7" ht="16.5" customHeight="1">
      <c r="B45" s="1127"/>
      <c r="C45" s="1127" t="s">
        <v>4232</v>
      </c>
      <c r="D45" s="1128"/>
      <c r="G45" s="1120" t="s">
        <v>4233</v>
      </c>
    </row>
    <row r="46" spans="2:7" ht="16.5" customHeight="1">
      <c r="B46" s="1127"/>
      <c r="C46" s="1127" t="s">
        <v>4234</v>
      </c>
      <c r="D46" s="1128"/>
      <c r="G46" s="1120" t="s">
        <v>4235</v>
      </c>
    </row>
    <row r="47" spans="2:7" ht="16.5" customHeight="1">
      <c r="B47" s="1127"/>
      <c r="C47" s="1127" t="s">
        <v>4236</v>
      </c>
      <c r="D47" s="1128" t="s">
        <v>4237</v>
      </c>
      <c r="G47" s="1120" t="s">
        <v>4238</v>
      </c>
    </row>
    <row r="48" spans="2:7" ht="16.5" customHeight="1">
      <c r="B48" s="1127"/>
      <c r="C48" s="1127" t="s">
        <v>5682</v>
      </c>
      <c r="D48" s="1128" t="s">
        <v>5683</v>
      </c>
      <c r="G48" s="1358" t="s">
        <v>5674</v>
      </c>
    </row>
    <row r="49" spans="2:7" ht="16.5" customHeight="1">
      <c r="B49" s="1127"/>
      <c r="C49" s="1127" t="s">
        <v>4239</v>
      </c>
      <c r="D49" s="1128"/>
      <c r="G49" s="1120" t="s">
        <v>4240</v>
      </c>
    </row>
    <row r="50" spans="2:7" ht="16.5" customHeight="1">
      <c r="B50" s="1127"/>
      <c r="C50" s="1127" t="s">
        <v>4241</v>
      </c>
      <c r="D50" s="1128" t="s">
        <v>4242</v>
      </c>
      <c r="G50" s="1120" t="s">
        <v>4243</v>
      </c>
    </row>
    <row r="51" spans="2:7" ht="16.5" customHeight="1">
      <c r="B51" s="1127"/>
      <c r="C51" s="1127" t="s">
        <v>4244</v>
      </c>
      <c r="D51" s="1128"/>
      <c r="G51" s="1120" t="s">
        <v>4245</v>
      </c>
    </row>
    <row r="52" spans="2:7" ht="16.5" customHeight="1">
      <c r="B52" s="1127"/>
      <c r="C52" s="1127" t="s">
        <v>4246</v>
      </c>
      <c r="D52" s="1128" t="s">
        <v>4247</v>
      </c>
      <c r="G52" s="1120" t="s">
        <v>4248</v>
      </c>
    </row>
    <row r="53" spans="2:7" ht="16.5" customHeight="1">
      <c r="B53" s="1127"/>
      <c r="C53" s="1127" t="s">
        <v>4249</v>
      </c>
      <c r="D53" s="1128"/>
      <c r="G53" s="1120" t="s">
        <v>4250</v>
      </c>
    </row>
    <row r="54" spans="2:7" ht="16.5" customHeight="1">
      <c r="B54" s="1127"/>
      <c r="C54" s="1127" t="s">
        <v>4251</v>
      </c>
      <c r="D54" s="1128" t="s">
        <v>4252</v>
      </c>
      <c r="G54" s="1120" t="s">
        <v>4253</v>
      </c>
    </row>
    <row r="55" spans="2:7" ht="16.5" customHeight="1">
      <c r="B55" s="1127"/>
      <c r="C55" s="1127" t="s">
        <v>4254</v>
      </c>
      <c r="D55" s="1128" t="s">
        <v>4255</v>
      </c>
      <c r="G55" s="1120" t="s">
        <v>4256</v>
      </c>
    </row>
    <row r="56" spans="2:7" ht="16.5" customHeight="1">
      <c r="B56" s="1127"/>
      <c r="C56" s="1127" t="s">
        <v>4257</v>
      </c>
      <c r="D56" s="1128"/>
      <c r="G56" s="1120" t="s">
        <v>4258</v>
      </c>
    </row>
    <row r="57" spans="2:7" ht="16.5" customHeight="1">
      <c r="B57" s="1127"/>
      <c r="C57" s="1127" t="s">
        <v>4259</v>
      </c>
      <c r="D57" s="1128"/>
      <c r="G57" s="1120" t="s">
        <v>4260</v>
      </c>
    </row>
    <row r="58" spans="2:7" ht="16.5" customHeight="1">
      <c r="B58" s="1127"/>
      <c r="C58" s="1127" t="s">
        <v>4261</v>
      </c>
      <c r="D58" s="1128"/>
      <c r="G58" s="1120" t="s">
        <v>4262</v>
      </c>
    </row>
    <row r="59" spans="2:7" ht="16.5" customHeight="1">
      <c r="B59" s="1127"/>
      <c r="C59" s="1127" t="s">
        <v>4263</v>
      </c>
      <c r="D59" s="1128"/>
      <c r="G59" s="1120" t="s">
        <v>4264</v>
      </c>
    </row>
    <row r="60" spans="2:7" ht="16.5" customHeight="1">
      <c r="B60" s="1127"/>
      <c r="C60" s="1127" t="s">
        <v>4265</v>
      </c>
      <c r="D60" s="1128" t="s">
        <v>4266</v>
      </c>
      <c r="G60" s="1120" t="s">
        <v>4267</v>
      </c>
    </row>
    <row r="61" spans="2:7" ht="16.5" customHeight="1">
      <c r="B61" s="1127"/>
      <c r="C61" s="1127" t="s">
        <v>4268</v>
      </c>
      <c r="D61" s="1128"/>
      <c r="G61" s="1120" t="s">
        <v>4269</v>
      </c>
    </row>
    <row r="62" spans="2:7" ht="16.5" customHeight="1">
      <c r="B62" s="1127"/>
      <c r="C62" s="1127" t="s">
        <v>4270</v>
      </c>
      <c r="D62" s="1128"/>
      <c r="G62" s="1120" t="s">
        <v>4271</v>
      </c>
    </row>
    <row r="63" spans="2:7" ht="16.5" customHeight="1">
      <c r="B63" s="1127"/>
      <c r="C63" s="1127" t="s">
        <v>4272</v>
      </c>
      <c r="D63" s="1128" t="s">
        <v>4203</v>
      </c>
      <c r="G63" s="1120" t="s">
        <v>4273</v>
      </c>
    </row>
    <row r="64" spans="2:7" ht="16.5" customHeight="1">
      <c r="B64" s="1127"/>
      <c r="C64" s="1127" t="s">
        <v>4274</v>
      </c>
      <c r="D64" s="1128"/>
      <c r="G64" s="1120" t="s">
        <v>4275</v>
      </c>
    </row>
    <row r="65" spans="2:7" ht="75">
      <c r="B65" s="1127"/>
      <c r="C65" s="1127" t="s">
        <v>4276</v>
      </c>
      <c r="D65" s="1128" t="s">
        <v>4277</v>
      </c>
      <c r="G65" s="1120" t="s">
        <v>4278</v>
      </c>
    </row>
    <row r="66" spans="2:7" ht="16.5" customHeight="1">
      <c r="B66" s="1127"/>
      <c r="C66" s="1127" t="s">
        <v>4279</v>
      </c>
      <c r="D66" s="1128" t="s">
        <v>4203</v>
      </c>
      <c r="G66" s="1120" t="s">
        <v>4280</v>
      </c>
    </row>
    <row r="67" spans="2:7" ht="16.5" customHeight="1">
      <c r="B67" s="1127"/>
      <c r="C67" s="1127" t="s">
        <v>4281</v>
      </c>
      <c r="D67" s="1128"/>
      <c r="G67" s="1120" t="s">
        <v>4282</v>
      </c>
    </row>
    <row r="68" spans="2:7" ht="16.5" customHeight="1">
      <c r="B68" s="1127"/>
      <c r="C68" s="1127" t="s">
        <v>4283</v>
      </c>
      <c r="D68" s="1128"/>
      <c r="G68" s="1120" t="s">
        <v>4284</v>
      </c>
    </row>
    <row r="69" spans="2:7" ht="16.5" customHeight="1">
      <c r="B69" s="1127"/>
      <c r="C69" s="1127" t="s">
        <v>4285</v>
      </c>
      <c r="D69" s="1128"/>
      <c r="G69" s="1120" t="s">
        <v>4286</v>
      </c>
    </row>
    <row r="70" spans="2:7" ht="16.5" customHeight="1">
      <c r="B70" s="1127"/>
      <c r="C70" s="1127" t="s">
        <v>4287</v>
      </c>
      <c r="D70" s="1128"/>
      <c r="G70" s="1120" t="s">
        <v>4288</v>
      </c>
    </row>
    <row r="71" spans="2:7" ht="16.5" customHeight="1">
      <c r="B71" s="1127"/>
      <c r="C71" s="1127" t="s">
        <v>4289</v>
      </c>
      <c r="D71" s="1128" t="s">
        <v>4290</v>
      </c>
      <c r="G71" s="1120" t="s">
        <v>4291</v>
      </c>
    </row>
    <row r="72" spans="2:7" ht="16.5" customHeight="1">
      <c r="B72" s="1127"/>
      <c r="C72" s="1127" t="s">
        <v>4292</v>
      </c>
      <c r="D72" s="1128"/>
      <c r="G72" s="1120" t="s">
        <v>4293</v>
      </c>
    </row>
    <row r="73" spans="2:7" ht="16.5" customHeight="1">
      <c r="B73" s="1127"/>
      <c r="C73" s="1127" t="s">
        <v>4294</v>
      </c>
      <c r="D73" s="1128" t="s">
        <v>4295</v>
      </c>
      <c r="G73" s="1120" t="s">
        <v>4296</v>
      </c>
    </row>
    <row r="74" spans="2:7" ht="16.5" customHeight="1">
      <c r="B74" s="1127"/>
      <c r="C74" s="1127" t="s">
        <v>4297</v>
      </c>
      <c r="D74" s="1128"/>
      <c r="G74" s="1120" t="s">
        <v>4298</v>
      </c>
    </row>
    <row r="75" spans="2:7" ht="16.5" customHeight="1">
      <c r="B75" s="1127"/>
      <c r="C75" s="1127" t="s">
        <v>4299</v>
      </c>
      <c r="D75" s="1128"/>
      <c r="G75" s="1120" t="s">
        <v>4300</v>
      </c>
    </row>
    <row r="76" spans="2:7" ht="16.5" customHeight="1">
      <c r="B76" s="1127"/>
      <c r="C76" s="1127" t="s">
        <v>4301</v>
      </c>
      <c r="D76" s="1128"/>
      <c r="G76" s="1120" t="s">
        <v>4302</v>
      </c>
    </row>
    <row r="77" spans="2:7" ht="16.5" customHeight="1">
      <c r="B77" s="1127"/>
      <c r="C77" s="1127" t="s">
        <v>4303</v>
      </c>
      <c r="D77" s="1128"/>
      <c r="G77" s="1120" t="s">
        <v>4304</v>
      </c>
    </row>
    <row r="78" spans="2:7" ht="16.5" customHeight="1">
      <c r="B78" s="1127"/>
      <c r="C78" s="1127" t="s">
        <v>4305</v>
      </c>
      <c r="D78" s="1128"/>
      <c r="G78" s="1120" t="s">
        <v>4306</v>
      </c>
    </row>
    <row r="79" spans="2:7" ht="16.5" customHeight="1">
      <c r="B79" s="1127"/>
      <c r="C79" s="1127" t="s">
        <v>4307</v>
      </c>
      <c r="D79" s="1128"/>
      <c r="G79" s="1120" t="s">
        <v>4308</v>
      </c>
    </row>
    <row r="80" spans="2:7" ht="16.5" customHeight="1">
      <c r="B80" s="1127"/>
      <c r="C80" s="1127" t="s">
        <v>4309</v>
      </c>
      <c r="D80" s="1128" t="s">
        <v>4310</v>
      </c>
      <c r="G80" s="1120" t="s">
        <v>4311</v>
      </c>
    </row>
    <row r="81" spans="2:7" ht="16.5" customHeight="1">
      <c r="B81" s="1127"/>
      <c r="C81" s="1127" t="s">
        <v>4312</v>
      </c>
      <c r="D81" s="1128"/>
      <c r="G81" s="1120" t="s">
        <v>4313</v>
      </c>
    </row>
    <row r="82" spans="2:7" ht="16.5" customHeight="1">
      <c r="B82" s="1127"/>
      <c r="C82" s="1127" t="s">
        <v>4314</v>
      </c>
      <c r="D82" s="1128"/>
      <c r="G82" s="1120" t="s">
        <v>4315</v>
      </c>
    </row>
    <row r="83" spans="2:7" ht="16.5" customHeight="1">
      <c r="B83" s="1127"/>
      <c r="C83" s="1127" t="s">
        <v>4316</v>
      </c>
      <c r="D83" s="1128"/>
      <c r="G83" s="1120" t="s">
        <v>4317</v>
      </c>
    </row>
    <row r="84" spans="2:7" ht="16.5" customHeight="1">
      <c r="B84" s="1127"/>
      <c r="C84" s="1127" t="s">
        <v>4318</v>
      </c>
      <c r="D84" s="1128"/>
      <c r="G84" s="1120" t="s">
        <v>4319</v>
      </c>
    </row>
    <row r="85" spans="2:7" ht="16.5" customHeight="1">
      <c r="B85" s="1127"/>
      <c r="C85" s="1127" t="s">
        <v>4320</v>
      </c>
      <c r="D85" s="1128"/>
      <c r="G85" s="1120" t="s">
        <v>4321</v>
      </c>
    </row>
    <row r="86" spans="2:7" ht="16.5" customHeight="1">
      <c r="B86" s="1127"/>
      <c r="C86" s="1127" t="s">
        <v>4322</v>
      </c>
      <c r="D86" s="1128"/>
      <c r="G86" s="1120" t="s">
        <v>4323</v>
      </c>
    </row>
    <row r="87" spans="2:7" ht="16.5" customHeight="1">
      <c r="B87" s="1127"/>
      <c r="C87" s="1127" t="s">
        <v>4096</v>
      </c>
      <c r="D87" s="1128"/>
      <c r="G87" s="1120" t="s">
        <v>4324</v>
      </c>
    </row>
    <row r="88" spans="2:7" ht="16.5" customHeight="1">
      <c r="B88" s="1127"/>
      <c r="C88" s="1127" t="s">
        <v>4325</v>
      </c>
      <c r="D88" s="1128"/>
      <c r="G88" s="1120" t="s">
        <v>4326</v>
      </c>
    </row>
    <row r="89" spans="2:7" ht="16.5" customHeight="1">
      <c r="B89" s="1127"/>
      <c r="C89" s="1127" t="s">
        <v>4327</v>
      </c>
      <c r="D89" s="1128"/>
      <c r="G89" s="1120" t="s">
        <v>4328</v>
      </c>
    </row>
    <row r="90" spans="2:7" ht="16.5" customHeight="1">
      <c r="B90" s="1127"/>
      <c r="C90" s="1127" t="s">
        <v>4329</v>
      </c>
      <c r="D90" s="1128"/>
      <c r="G90" s="1120" t="s">
        <v>4330</v>
      </c>
    </row>
    <row r="91" spans="2:7" ht="16.5" customHeight="1">
      <c r="B91" s="1127"/>
      <c r="C91" s="1127" t="s">
        <v>4331</v>
      </c>
      <c r="D91" s="1128"/>
      <c r="G91" s="1120" t="s">
        <v>4332</v>
      </c>
    </row>
    <row r="92" spans="2:7" ht="16.5" customHeight="1">
      <c r="B92" s="1127"/>
      <c r="C92" s="1127" t="s">
        <v>4333</v>
      </c>
      <c r="D92" s="1128"/>
      <c r="G92" s="1120" t="s">
        <v>4334</v>
      </c>
    </row>
    <row r="93" spans="2:7" ht="16.5" customHeight="1">
      <c r="B93" s="1127"/>
      <c r="C93" s="1127" t="s">
        <v>4335</v>
      </c>
      <c r="D93" s="1128"/>
      <c r="G93" s="1120" t="s">
        <v>4336</v>
      </c>
    </row>
    <row r="94" spans="2:7" ht="16.5" customHeight="1">
      <c r="B94" s="1127"/>
      <c r="C94" s="1127" t="s">
        <v>4337</v>
      </c>
      <c r="D94" s="1128"/>
      <c r="G94" s="1120" t="s">
        <v>4338</v>
      </c>
    </row>
    <row r="95" spans="2:7" ht="16.5" customHeight="1">
      <c r="B95" s="1127"/>
      <c r="C95" s="1127" t="s">
        <v>4339</v>
      </c>
      <c r="D95" s="1128" t="s">
        <v>4340</v>
      </c>
      <c r="G95" s="1120" t="s">
        <v>4341</v>
      </c>
    </row>
    <row r="96" spans="2:7" ht="16.5" customHeight="1">
      <c r="B96" s="1127"/>
      <c r="C96" s="1127" t="s">
        <v>4342</v>
      </c>
      <c r="D96" s="1128" t="s">
        <v>4343</v>
      </c>
      <c r="G96" s="1120" t="s">
        <v>4344</v>
      </c>
    </row>
  </sheetData>
  <sheetProtection algorithmName="SHA-512" hashValue="zQx5VCH/2uFyKOllgA30n9QknetFEG/6rfLtpVg608y1AHsfMa2pK2DRXP+O5W1YjhPZT4RG0gp9+kfHmF2bHA==" saltValue="bk3eFZmcSj7u2nFqCSa2ig==" spinCount="100000" sheet="1" objects="1" scenarios="1" selectLockedCells="1" selectUnlockedCells="1"/>
  <phoneticPr fontId="3"/>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59745" r:id="rId3" name="Option Button 1">
              <controlPr defaultSize="0" autoFill="0" autoLine="0" autoPict="0">
                <anchor moveWithCells="1">
                  <from>
                    <xdr:col>1</xdr:col>
                    <xdr:colOff>438150</xdr:colOff>
                    <xdr:row>6</xdr:row>
                    <xdr:rowOff>31750</xdr:rowOff>
                  </from>
                  <to>
                    <xdr:col>1</xdr:col>
                    <xdr:colOff>984250</xdr:colOff>
                    <xdr:row>6</xdr:row>
                    <xdr:rowOff>184150</xdr:rowOff>
                  </to>
                </anchor>
              </controlPr>
            </control>
          </mc:Choice>
        </mc:AlternateContent>
        <mc:AlternateContent xmlns:mc="http://schemas.openxmlformats.org/markup-compatibility/2006">
          <mc:Choice Requires="x14">
            <control shapeId="159746" r:id="rId4" name="Option Button 2">
              <controlPr defaultSize="0" autoFill="0" autoLine="0" autoPict="0">
                <anchor moveWithCells="1">
                  <from>
                    <xdr:col>1</xdr:col>
                    <xdr:colOff>438150</xdr:colOff>
                    <xdr:row>7</xdr:row>
                    <xdr:rowOff>31750</xdr:rowOff>
                  </from>
                  <to>
                    <xdr:col>1</xdr:col>
                    <xdr:colOff>984250</xdr:colOff>
                    <xdr:row>7</xdr:row>
                    <xdr:rowOff>184150</xdr:rowOff>
                  </to>
                </anchor>
              </controlPr>
            </control>
          </mc:Choice>
        </mc:AlternateContent>
        <mc:AlternateContent xmlns:mc="http://schemas.openxmlformats.org/markup-compatibility/2006">
          <mc:Choice Requires="x14">
            <control shapeId="159747" r:id="rId5" name="Option Button 3">
              <controlPr defaultSize="0" autoFill="0" autoLine="0" autoPict="0">
                <anchor moveWithCells="1">
                  <from>
                    <xdr:col>1</xdr:col>
                    <xdr:colOff>438150</xdr:colOff>
                    <xdr:row>8</xdr:row>
                    <xdr:rowOff>31750</xdr:rowOff>
                  </from>
                  <to>
                    <xdr:col>1</xdr:col>
                    <xdr:colOff>984250</xdr:colOff>
                    <xdr:row>8</xdr:row>
                    <xdr:rowOff>184150</xdr:rowOff>
                  </to>
                </anchor>
              </controlPr>
            </control>
          </mc:Choice>
        </mc:AlternateContent>
        <mc:AlternateContent xmlns:mc="http://schemas.openxmlformats.org/markup-compatibility/2006">
          <mc:Choice Requires="x14">
            <control shapeId="159748" r:id="rId6" name="Option Button 4">
              <controlPr defaultSize="0" autoFill="0" autoLine="0" autoPict="0">
                <anchor moveWithCells="1">
                  <from>
                    <xdr:col>1</xdr:col>
                    <xdr:colOff>438150</xdr:colOff>
                    <xdr:row>9</xdr:row>
                    <xdr:rowOff>31750</xdr:rowOff>
                  </from>
                  <to>
                    <xdr:col>1</xdr:col>
                    <xdr:colOff>984250</xdr:colOff>
                    <xdr:row>9</xdr:row>
                    <xdr:rowOff>184150</xdr:rowOff>
                  </to>
                </anchor>
              </controlPr>
            </control>
          </mc:Choice>
        </mc:AlternateContent>
        <mc:AlternateContent xmlns:mc="http://schemas.openxmlformats.org/markup-compatibility/2006">
          <mc:Choice Requires="x14">
            <control shapeId="159749" r:id="rId7" name="Option Button 5">
              <controlPr defaultSize="0" autoFill="0" autoLine="0" autoPict="0">
                <anchor moveWithCells="1">
                  <from>
                    <xdr:col>1</xdr:col>
                    <xdr:colOff>438150</xdr:colOff>
                    <xdr:row>10</xdr:row>
                    <xdr:rowOff>31750</xdr:rowOff>
                  </from>
                  <to>
                    <xdr:col>1</xdr:col>
                    <xdr:colOff>984250</xdr:colOff>
                    <xdr:row>10</xdr:row>
                    <xdr:rowOff>184150</xdr:rowOff>
                  </to>
                </anchor>
              </controlPr>
            </control>
          </mc:Choice>
        </mc:AlternateContent>
        <mc:AlternateContent xmlns:mc="http://schemas.openxmlformats.org/markup-compatibility/2006">
          <mc:Choice Requires="x14">
            <control shapeId="159750" r:id="rId8" name="Option Button 6">
              <controlPr defaultSize="0" autoFill="0" autoLine="0" autoPict="0">
                <anchor moveWithCells="1">
                  <from>
                    <xdr:col>1</xdr:col>
                    <xdr:colOff>438150</xdr:colOff>
                    <xdr:row>11</xdr:row>
                    <xdr:rowOff>31750</xdr:rowOff>
                  </from>
                  <to>
                    <xdr:col>1</xdr:col>
                    <xdr:colOff>984250</xdr:colOff>
                    <xdr:row>11</xdr:row>
                    <xdr:rowOff>184150</xdr:rowOff>
                  </to>
                </anchor>
              </controlPr>
            </control>
          </mc:Choice>
        </mc:AlternateContent>
        <mc:AlternateContent xmlns:mc="http://schemas.openxmlformats.org/markup-compatibility/2006">
          <mc:Choice Requires="x14">
            <control shapeId="159751" r:id="rId9" name="Option Button 7">
              <controlPr defaultSize="0" autoFill="0" autoLine="0" autoPict="0">
                <anchor moveWithCells="1">
                  <from>
                    <xdr:col>1</xdr:col>
                    <xdr:colOff>438150</xdr:colOff>
                    <xdr:row>12</xdr:row>
                    <xdr:rowOff>31750</xdr:rowOff>
                  </from>
                  <to>
                    <xdr:col>1</xdr:col>
                    <xdr:colOff>984250</xdr:colOff>
                    <xdr:row>12</xdr:row>
                    <xdr:rowOff>184150</xdr:rowOff>
                  </to>
                </anchor>
              </controlPr>
            </control>
          </mc:Choice>
        </mc:AlternateContent>
        <mc:AlternateContent xmlns:mc="http://schemas.openxmlformats.org/markup-compatibility/2006">
          <mc:Choice Requires="x14">
            <control shapeId="159752" r:id="rId10" name="Option Button 8">
              <controlPr defaultSize="0" autoFill="0" autoLine="0" autoPict="0">
                <anchor moveWithCells="1">
                  <from>
                    <xdr:col>1</xdr:col>
                    <xdr:colOff>438150</xdr:colOff>
                    <xdr:row>13</xdr:row>
                    <xdr:rowOff>31750</xdr:rowOff>
                  </from>
                  <to>
                    <xdr:col>1</xdr:col>
                    <xdr:colOff>984250</xdr:colOff>
                    <xdr:row>13</xdr:row>
                    <xdr:rowOff>184150</xdr:rowOff>
                  </to>
                </anchor>
              </controlPr>
            </control>
          </mc:Choice>
        </mc:AlternateContent>
        <mc:AlternateContent xmlns:mc="http://schemas.openxmlformats.org/markup-compatibility/2006">
          <mc:Choice Requires="x14">
            <control shapeId="159753" r:id="rId11" name="Option Button 9">
              <controlPr defaultSize="0" autoFill="0" autoLine="0" autoPict="0">
                <anchor moveWithCells="1">
                  <from>
                    <xdr:col>1</xdr:col>
                    <xdr:colOff>438150</xdr:colOff>
                    <xdr:row>14</xdr:row>
                    <xdr:rowOff>31750</xdr:rowOff>
                  </from>
                  <to>
                    <xdr:col>1</xdr:col>
                    <xdr:colOff>984250</xdr:colOff>
                    <xdr:row>14</xdr:row>
                    <xdr:rowOff>184150</xdr:rowOff>
                  </to>
                </anchor>
              </controlPr>
            </control>
          </mc:Choice>
        </mc:AlternateContent>
        <mc:AlternateContent xmlns:mc="http://schemas.openxmlformats.org/markup-compatibility/2006">
          <mc:Choice Requires="x14">
            <control shapeId="159754" r:id="rId12" name="Option Button 10">
              <controlPr defaultSize="0" autoFill="0" autoLine="0" autoPict="0">
                <anchor moveWithCells="1">
                  <from>
                    <xdr:col>1</xdr:col>
                    <xdr:colOff>438150</xdr:colOff>
                    <xdr:row>15</xdr:row>
                    <xdr:rowOff>31750</xdr:rowOff>
                  </from>
                  <to>
                    <xdr:col>1</xdr:col>
                    <xdr:colOff>984250</xdr:colOff>
                    <xdr:row>15</xdr:row>
                    <xdr:rowOff>184150</xdr:rowOff>
                  </to>
                </anchor>
              </controlPr>
            </control>
          </mc:Choice>
        </mc:AlternateContent>
        <mc:AlternateContent xmlns:mc="http://schemas.openxmlformats.org/markup-compatibility/2006">
          <mc:Choice Requires="x14">
            <control shapeId="159755" r:id="rId13" name="Option Button 11">
              <controlPr defaultSize="0" autoFill="0" autoLine="0" autoPict="0">
                <anchor moveWithCells="1">
                  <from>
                    <xdr:col>1</xdr:col>
                    <xdr:colOff>438150</xdr:colOff>
                    <xdr:row>16</xdr:row>
                    <xdr:rowOff>31750</xdr:rowOff>
                  </from>
                  <to>
                    <xdr:col>1</xdr:col>
                    <xdr:colOff>984250</xdr:colOff>
                    <xdr:row>16</xdr:row>
                    <xdr:rowOff>184150</xdr:rowOff>
                  </to>
                </anchor>
              </controlPr>
            </control>
          </mc:Choice>
        </mc:AlternateContent>
        <mc:AlternateContent xmlns:mc="http://schemas.openxmlformats.org/markup-compatibility/2006">
          <mc:Choice Requires="x14">
            <control shapeId="159756" r:id="rId14" name="Option Button 12">
              <controlPr defaultSize="0" autoFill="0" autoLine="0" autoPict="0">
                <anchor moveWithCells="1">
                  <from>
                    <xdr:col>1</xdr:col>
                    <xdr:colOff>438150</xdr:colOff>
                    <xdr:row>17</xdr:row>
                    <xdr:rowOff>31750</xdr:rowOff>
                  </from>
                  <to>
                    <xdr:col>1</xdr:col>
                    <xdr:colOff>984250</xdr:colOff>
                    <xdr:row>17</xdr:row>
                    <xdr:rowOff>184150</xdr:rowOff>
                  </to>
                </anchor>
              </controlPr>
            </control>
          </mc:Choice>
        </mc:AlternateContent>
        <mc:AlternateContent xmlns:mc="http://schemas.openxmlformats.org/markup-compatibility/2006">
          <mc:Choice Requires="x14">
            <control shapeId="159757" r:id="rId15" name="Option Button 13">
              <controlPr defaultSize="0" autoFill="0" autoLine="0" autoPict="0">
                <anchor moveWithCells="1">
                  <from>
                    <xdr:col>1</xdr:col>
                    <xdr:colOff>438150</xdr:colOff>
                    <xdr:row>18</xdr:row>
                    <xdr:rowOff>31750</xdr:rowOff>
                  </from>
                  <to>
                    <xdr:col>1</xdr:col>
                    <xdr:colOff>984250</xdr:colOff>
                    <xdr:row>18</xdr:row>
                    <xdr:rowOff>184150</xdr:rowOff>
                  </to>
                </anchor>
              </controlPr>
            </control>
          </mc:Choice>
        </mc:AlternateContent>
        <mc:AlternateContent xmlns:mc="http://schemas.openxmlformats.org/markup-compatibility/2006">
          <mc:Choice Requires="x14">
            <control shapeId="159758" r:id="rId16" name="Option Button 14">
              <controlPr defaultSize="0" autoFill="0" autoLine="0" autoPict="0">
                <anchor moveWithCells="1">
                  <from>
                    <xdr:col>1</xdr:col>
                    <xdr:colOff>438150</xdr:colOff>
                    <xdr:row>19</xdr:row>
                    <xdr:rowOff>31750</xdr:rowOff>
                  </from>
                  <to>
                    <xdr:col>1</xdr:col>
                    <xdr:colOff>984250</xdr:colOff>
                    <xdr:row>19</xdr:row>
                    <xdr:rowOff>184150</xdr:rowOff>
                  </to>
                </anchor>
              </controlPr>
            </control>
          </mc:Choice>
        </mc:AlternateContent>
        <mc:AlternateContent xmlns:mc="http://schemas.openxmlformats.org/markup-compatibility/2006">
          <mc:Choice Requires="x14">
            <control shapeId="159759" r:id="rId17" name="Option Button 15">
              <controlPr defaultSize="0" autoFill="0" autoLine="0" autoPict="0">
                <anchor moveWithCells="1">
                  <from>
                    <xdr:col>1</xdr:col>
                    <xdr:colOff>438150</xdr:colOff>
                    <xdr:row>20</xdr:row>
                    <xdr:rowOff>31750</xdr:rowOff>
                  </from>
                  <to>
                    <xdr:col>1</xdr:col>
                    <xdr:colOff>984250</xdr:colOff>
                    <xdr:row>20</xdr:row>
                    <xdr:rowOff>184150</xdr:rowOff>
                  </to>
                </anchor>
              </controlPr>
            </control>
          </mc:Choice>
        </mc:AlternateContent>
        <mc:AlternateContent xmlns:mc="http://schemas.openxmlformats.org/markup-compatibility/2006">
          <mc:Choice Requires="x14">
            <control shapeId="159760" r:id="rId18" name="Option Button 16">
              <controlPr defaultSize="0" autoFill="0" autoLine="0" autoPict="0">
                <anchor moveWithCells="1">
                  <from>
                    <xdr:col>1</xdr:col>
                    <xdr:colOff>438150</xdr:colOff>
                    <xdr:row>21</xdr:row>
                    <xdr:rowOff>31750</xdr:rowOff>
                  </from>
                  <to>
                    <xdr:col>1</xdr:col>
                    <xdr:colOff>984250</xdr:colOff>
                    <xdr:row>21</xdr:row>
                    <xdr:rowOff>184150</xdr:rowOff>
                  </to>
                </anchor>
              </controlPr>
            </control>
          </mc:Choice>
        </mc:AlternateContent>
        <mc:AlternateContent xmlns:mc="http://schemas.openxmlformats.org/markup-compatibility/2006">
          <mc:Choice Requires="x14">
            <control shapeId="159761" r:id="rId19" name="Option Button 17">
              <controlPr defaultSize="0" autoFill="0" autoLine="0" autoPict="0">
                <anchor moveWithCells="1">
                  <from>
                    <xdr:col>1</xdr:col>
                    <xdr:colOff>438150</xdr:colOff>
                    <xdr:row>22</xdr:row>
                    <xdr:rowOff>31750</xdr:rowOff>
                  </from>
                  <to>
                    <xdr:col>1</xdr:col>
                    <xdr:colOff>984250</xdr:colOff>
                    <xdr:row>22</xdr:row>
                    <xdr:rowOff>184150</xdr:rowOff>
                  </to>
                </anchor>
              </controlPr>
            </control>
          </mc:Choice>
        </mc:AlternateContent>
        <mc:AlternateContent xmlns:mc="http://schemas.openxmlformats.org/markup-compatibility/2006">
          <mc:Choice Requires="x14">
            <control shapeId="159762" r:id="rId20" name="Option Button 18">
              <controlPr defaultSize="0" autoFill="0" autoLine="0" autoPict="0">
                <anchor moveWithCells="1">
                  <from>
                    <xdr:col>1</xdr:col>
                    <xdr:colOff>438150</xdr:colOff>
                    <xdr:row>23</xdr:row>
                    <xdr:rowOff>31750</xdr:rowOff>
                  </from>
                  <to>
                    <xdr:col>1</xdr:col>
                    <xdr:colOff>984250</xdr:colOff>
                    <xdr:row>23</xdr:row>
                    <xdr:rowOff>184150</xdr:rowOff>
                  </to>
                </anchor>
              </controlPr>
            </control>
          </mc:Choice>
        </mc:AlternateContent>
        <mc:AlternateContent xmlns:mc="http://schemas.openxmlformats.org/markup-compatibility/2006">
          <mc:Choice Requires="x14">
            <control shapeId="159763" r:id="rId21" name="Option Button 19">
              <controlPr defaultSize="0" autoFill="0" autoLine="0" autoPict="0">
                <anchor moveWithCells="1">
                  <from>
                    <xdr:col>1</xdr:col>
                    <xdr:colOff>438150</xdr:colOff>
                    <xdr:row>24</xdr:row>
                    <xdr:rowOff>31750</xdr:rowOff>
                  </from>
                  <to>
                    <xdr:col>1</xdr:col>
                    <xdr:colOff>984250</xdr:colOff>
                    <xdr:row>24</xdr:row>
                    <xdr:rowOff>184150</xdr:rowOff>
                  </to>
                </anchor>
              </controlPr>
            </control>
          </mc:Choice>
        </mc:AlternateContent>
        <mc:AlternateContent xmlns:mc="http://schemas.openxmlformats.org/markup-compatibility/2006">
          <mc:Choice Requires="x14">
            <control shapeId="159764" r:id="rId22" name="Option Button 20">
              <controlPr defaultSize="0" autoFill="0" autoLine="0" autoPict="0">
                <anchor moveWithCells="1">
                  <from>
                    <xdr:col>1</xdr:col>
                    <xdr:colOff>438150</xdr:colOff>
                    <xdr:row>25</xdr:row>
                    <xdr:rowOff>31750</xdr:rowOff>
                  </from>
                  <to>
                    <xdr:col>1</xdr:col>
                    <xdr:colOff>984250</xdr:colOff>
                    <xdr:row>25</xdr:row>
                    <xdr:rowOff>184150</xdr:rowOff>
                  </to>
                </anchor>
              </controlPr>
            </control>
          </mc:Choice>
        </mc:AlternateContent>
        <mc:AlternateContent xmlns:mc="http://schemas.openxmlformats.org/markup-compatibility/2006">
          <mc:Choice Requires="x14">
            <control shapeId="159765" r:id="rId23" name="Option Button 21">
              <controlPr defaultSize="0" autoFill="0" autoLine="0" autoPict="0">
                <anchor moveWithCells="1">
                  <from>
                    <xdr:col>1</xdr:col>
                    <xdr:colOff>438150</xdr:colOff>
                    <xdr:row>26</xdr:row>
                    <xdr:rowOff>31750</xdr:rowOff>
                  </from>
                  <to>
                    <xdr:col>1</xdr:col>
                    <xdr:colOff>984250</xdr:colOff>
                    <xdr:row>26</xdr:row>
                    <xdr:rowOff>184150</xdr:rowOff>
                  </to>
                </anchor>
              </controlPr>
            </control>
          </mc:Choice>
        </mc:AlternateContent>
        <mc:AlternateContent xmlns:mc="http://schemas.openxmlformats.org/markup-compatibility/2006">
          <mc:Choice Requires="x14">
            <control shapeId="159766" r:id="rId24" name="Option Button 22">
              <controlPr defaultSize="0" autoFill="0" autoLine="0" autoPict="0">
                <anchor moveWithCells="1">
                  <from>
                    <xdr:col>1</xdr:col>
                    <xdr:colOff>438150</xdr:colOff>
                    <xdr:row>27</xdr:row>
                    <xdr:rowOff>31750</xdr:rowOff>
                  </from>
                  <to>
                    <xdr:col>1</xdr:col>
                    <xdr:colOff>984250</xdr:colOff>
                    <xdr:row>27</xdr:row>
                    <xdr:rowOff>184150</xdr:rowOff>
                  </to>
                </anchor>
              </controlPr>
            </control>
          </mc:Choice>
        </mc:AlternateContent>
        <mc:AlternateContent xmlns:mc="http://schemas.openxmlformats.org/markup-compatibility/2006">
          <mc:Choice Requires="x14">
            <control shapeId="159767" r:id="rId25" name="Option Button 23">
              <controlPr defaultSize="0" autoFill="0" autoLine="0" autoPict="0">
                <anchor moveWithCells="1">
                  <from>
                    <xdr:col>1</xdr:col>
                    <xdr:colOff>438150</xdr:colOff>
                    <xdr:row>28</xdr:row>
                    <xdr:rowOff>31750</xdr:rowOff>
                  </from>
                  <to>
                    <xdr:col>1</xdr:col>
                    <xdr:colOff>984250</xdr:colOff>
                    <xdr:row>28</xdr:row>
                    <xdr:rowOff>184150</xdr:rowOff>
                  </to>
                </anchor>
              </controlPr>
            </control>
          </mc:Choice>
        </mc:AlternateContent>
        <mc:AlternateContent xmlns:mc="http://schemas.openxmlformats.org/markup-compatibility/2006">
          <mc:Choice Requires="x14">
            <control shapeId="159768" r:id="rId26" name="Option Button 24">
              <controlPr defaultSize="0" autoFill="0" autoLine="0" autoPict="0">
                <anchor moveWithCells="1">
                  <from>
                    <xdr:col>1</xdr:col>
                    <xdr:colOff>438150</xdr:colOff>
                    <xdr:row>29</xdr:row>
                    <xdr:rowOff>31750</xdr:rowOff>
                  </from>
                  <to>
                    <xdr:col>1</xdr:col>
                    <xdr:colOff>984250</xdr:colOff>
                    <xdr:row>29</xdr:row>
                    <xdr:rowOff>184150</xdr:rowOff>
                  </to>
                </anchor>
              </controlPr>
            </control>
          </mc:Choice>
        </mc:AlternateContent>
        <mc:AlternateContent xmlns:mc="http://schemas.openxmlformats.org/markup-compatibility/2006">
          <mc:Choice Requires="x14">
            <control shapeId="159769" r:id="rId27" name="Option Button 25">
              <controlPr defaultSize="0" autoFill="0" autoLine="0" autoPict="0">
                <anchor moveWithCells="1">
                  <from>
                    <xdr:col>1</xdr:col>
                    <xdr:colOff>438150</xdr:colOff>
                    <xdr:row>30</xdr:row>
                    <xdr:rowOff>31750</xdr:rowOff>
                  </from>
                  <to>
                    <xdr:col>1</xdr:col>
                    <xdr:colOff>984250</xdr:colOff>
                    <xdr:row>30</xdr:row>
                    <xdr:rowOff>184150</xdr:rowOff>
                  </to>
                </anchor>
              </controlPr>
            </control>
          </mc:Choice>
        </mc:AlternateContent>
        <mc:AlternateContent xmlns:mc="http://schemas.openxmlformats.org/markup-compatibility/2006">
          <mc:Choice Requires="x14">
            <control shapeId="159770" r:id="rId28" name="Option Button 26">
              <controlPr defaultSize="0" autoFill="0" autoLine="0" autoPict="0">
                <anchor moveWithCells="1">
                  <from>
                    <xdr:col>1</xdr:col>
                    <xdr:colOff>438150</xdr:colOff>
                    <xdr:row>31</xdr:row>
                    <xdr:rowOff>31750</xdr:rowOff>
                  </from>
                  <to>
                    <xdr:col>1</xdr:col>
                    <xdr:colOff>984250</xdr:colOff>
                    <xdr:row>31</xdr:row>
                    <xdr:rowOff>184150</xdr:rowOff>
                  </to>
                </anchor>
              </controlPr>
            </control>
          </mc:Choice>
        </mc:AlternateContent>
        <mc:AlternateContent xmlns:mc="http://schemas.openxmlformats.org/markup-compatibility/2006">
          <mc:Choice Requires="x14">
            <control shapeId="159771" r:id="rId29" name="Option Button 27">
              <controlPr defaultSize="0" autoFill="0" autoLine="0" autoPict="0">
                <anchor moveWithCells="1">
                  <from>
                    <xdr:col>1</xdr:col>
                    <xdr:colOff>438150</xdr:colOff>
                    <xdr:row>32</xdr:row>
                    <xdr:rowOff>31750</xdr:rowOff>
                  </from>
                  <to>
                    <xdr:col>1</xdr:col>
                    <xdr:colOff>984250</xdr:colOff>
                    <xdr:row>32</xdr:row>
                    <xdr:rowOff>184150</xdr:rowOff>
                  </to>
                </anchor>
              </controlPr>
            </control>
          </mc:Choice>
        </mc:AlternateContent>
        <mc:AlternateContent xmlns:mc="http://schemas.openxmlformats.org/markup-compatibility/2006">
          <mc:Choice Requires="x14">
            <control shapeId="159772" r:id="rId30" name="Option Button 28">
              <controlPr defaultSize="0" autoFill="0" autoLine="0" autoPict="0">
                <anchor moveWithCells="1">
                  <from>
                    <xdr:col>1</xdr:col>
                    <xdr:colOff>438150</xdr:colOff>
                    <xdr:row>33</xdr:row>
                    <xdr:rowOff>31750</xdr:rowOff>
                  </from>
                  <to>
                    <xdr:col>1</xdr:col>
                    <xdr:colOff>984250</xdr:colOff>
                    <xdr:row>33</xdr:row>
                    <xdr:rowOff>184150</xdr:rowOff>
                  </to>
                </anchor>
              </controlPr>
            </control>
          </mc:Choice>
        </mc:AlternateContent>
        <mc:AlternateContent xmlns:mc="http://schemas.openxmlformats.org/markup-compatibility/2006">
          <mc:Choice Requires="x14">
            <control shapeId="159773" r:id="rId31" name="Option Button 29">
              <controlPr defaultSize="0" autoFill="0" autoLine="0" autoPict="0">
                <anchor moveWithCells="1">
                  <from>
                    <xdr:col>1</xdr:col>
                    <xdr:colOff>438150</xdr:colOff>
                    <xdr:row>34</xdr:row>
                    <xdr:rowOff>31750</xdr:rowOff>
                  </from>
                  <to>
                    <xdr:col>1</xdr:col>
                    <xdr:colOff>984250</xdr:colOff>
                    <xdr:row>34</xdr:row>
                    <xdr:rowOff>184150</xdr:rowOff>
                  </to>
                </anchor>
              </controlPr>
            </control>
          </mc:Choice>
        </mc:AlternateContent>
        <mc:AlternateContent xmlns:mc="http://schemas.openxmlformats.org/markup-compatibility/2006">
          <mc:Choice Requires="x14">
            <control shapeId="159774" r:id="rId32" name="Option Button 30">
              <controlPr defaultSize="0" autoFill="0" autoLine="0" autoPict="0">
                <anchor moveWithCells="1">
                  <from>
                    <xdr:col>1</xdr:col>
                    <xdr:colOff>438150</xdr:colOff>
                    <xdr:row>35</xdr:row>
                    <xdr:rowOff>31750</xdr:rowOff>
                  </from>
                  <to>
                    <xdr:col>1</xdr:col>
                    <xdr:colOff>984250</xdr:colOff>
                    <xdr:row>35</xdr:row>
                    <xdr:rowOff>184150</xdr:rowOff>
                  </to>
                </anchor>
              </controlPr>
            </control>
          </mc:Choice>
        </mc:AlternateContent>
        <mc:AlternateContent xmlns:mc="http://schemas.openxmlformats.org/markup-compatibility/2006">
          <mc:Choice Requires="x14">
            <control shapeId="159775" r:id="rId33" name="Option Button 31">
              <controlPr defaultSize="0" autoFill="0" autoLine="0" autoPict="0">
                <anchor moveWithCells="1">
                  <from>
                    <xdr:col>1</xdr:col>
                    <xdr:colOff>438150</xdr:colOff>
                    <xdr:row>36</xdr:row>
                    <xdr:rowOff>31750</xdr:rowOff>
                  </from>
                  <to>
                    <xdr:col>1</xdr:col>
                    <xdr:colOff>984250</xdr:colOff>
                    <xdr:row>36</xdr:row>
                    <xdr:rowOff>184150</xdr:rowOff>
                  </to>
                </anchor>
              </controlPr>
            </control>
          </mc:Choice>
        </mc:AlternateContent>
        <mc:AlternateContent xmlns:mc="http://schemas.openxmlformats.org/markup-compatibility/2006">
          <mc:Choice Requires="x14">
            <control shapeId="159776" r:id="rId34" name="Option Button 32">
              <controlPr defaultSize="0" autoFill="0" autoLine="0" autoPict="0">
                <anchor moveWithCells="1">
                  <from>
                    <xdr:col>1</xdr:col>
                    <xdr:colOff>438150</xdr:colOff>
                    <xdr:row>37</xdr:row>
                    <xdr:rowOff>31750</xdr:rowOff>
                  </from>
                  <to>
                    <xdr:col>1</xdr:col>
                    <xdr:colOff>984250</xdr:colOff>
                    <xdr:row>37</xdr:row>
                    <xdr:rowOff>184150</xdr:rowOff>
                  </to>
                </anchor>
              </controlPr>
            </control>
          </mc:Choice>
        </mc:AlternateContent>
        <mc:AlternateContent xmlns:mc="http://schemas.openxmlformats.org/markup-compatibility/2006">
          <mc:Choice Requires="x14">
            <control shapeId="159777" r:id="rId35" name="Option Button 33">
              <controlPr defaultSize="0" autoFill="0" autoLine="0" autoPict="0">
                <anchor moveWithCells="1">
                  <from>
                    <xdr:col>1</xdr:col>
                    <xdr:colOff>438150</xdr:colOff>
                    <xdr:row>38</xdr:row>
                    <xdr:rowOff>31750</xdr:rowOff>
                  </from>
                  <to>
                    <xdr:col>1</xdr:col>
                    <xdr:colOff>984250</xdr:colOff>
                    <xdr:row>38</xdr:row>
                    <xdr:rowOff>184150</xdr:rowOff>
                  </to>
                </anchor>
              </controlPr>
            </control>
          </mc:Choice>
        </mc:AlternateContent>
        <mc:AlternateContent xmlns:mc="http://schemas.openxmlformats.org/markup-compatibility/2006">
          <mc:Choice Requires="x14">
            <control shapeId="159778" r:id="rId36" name="Option Button 34">
              <controlPr defaultSize="0" autoFill="0" autoLine="0" autoPict="0">
                <anchor moveWithCells="1">
                  <from>
                    <xdr:col>1</xdr:col>
                    <xdr:colOff>438150</xdr:colOff>
                    <xdr:row>39</xdr:row>
                    <xdr:rowOff>31750</xdr:rowOff>
                  </from>
                  <to>
                    <xdr:col>1</xdr:col>
                    <xdr:colOff>984250</xdr:colOff>
                    <xdr:row>39</xdr:row>
                    <xdr:rowOff>184150</xdr:rowOff>
                  </to>
                </anchor>
              </controlPr>
            </control>
          </mc:Choice>
        </mc:AlternateContent>
        <mc:AlternateContent xmlns:mc="http://schemas.openxmlformats.org/markup-compatibility/2006">
          <mc:Choice Requires="x14">
            <control shapeId="159779" r:id="rId37" name="Option Button 35">
              <controlPr defaultSize="0" autoFill="0" autoLine="0" autoPict="0">
                <anchor moveWithCells="1">
                  <from>
                    <xdr:col>1</xdr:col>
                    <xdr:colOff>438150</xdr:colOff>
                    <xdr:row>40</xdr:row>
                    <xdr:rowOff>31750</xdr:rowOff>
                  </from>
                  <to>
                    <xdr:col>1</xdr:col>
                    <xdr:colOff>984250</xdr:colOff>
                    <xdr:row>40</xdr:row>
                    <xdr:rowOff>184150</xdr:rowOff>
                  </to>
                </anchor>
              </controlPr>
            </control>
          </mc:Choice>
        </mc:AlternateContent>
        <mc:AlternateContent xmlns:mc="http://schemas.openxmlformats.org/markup-compatibility/2006">
          <mc:Choice Requires="x14">
            <control shapeId="159780" r:id="rId38" name="Option Button 36">
              <controlPr defaultSize="0" autoFill="0" autoLine="0" autoPict="0">
                <anchor moveWithCells="1">
                  <from>
                    <xdr:col>1</xdr:col>
                    <xdr:colOff>438150</xdr:colOff>
                    <xdr:row>41</xdr:row>
                    <xdr:rowOff>31750</xdr:rowOff>
                  </from>
                  <to>
                    <xdr:col>1</xdr:col>
                    <xdr:colOff>984250</xdr:colOff>
                    <xdr:row>41</xdr:row>
                    <xdr:rowOff>184150</xdr:rowOff>
                  </to>
                </anchor>
              </controlPr>
            </control>
          </mc:Choice>
        </mc:AlternateContent>
        <mc:AlternateContent xmlns:mc="http://schemas.openxmlformats.org/markup-compatibility/2006">
          <mc:Choice Requires="x14">
            <control shapeId="159781" r:id="rId39" name="Option Button 37">
              <controlPr defaultSize="0" autoFill="0" autoLine="0" autoPict="0">
                <anchor moveWithCells="1">
                  <from>
                    <xdr:col>1</xdr:col>
                    <xdr:colOff>438150</xdr:colOff>
                    <xdr:row>42</xdr:row>
                    <xdr:rowOff>31750</xdr:rowOff>
                  </from>
                  <to>
                    <xdr:col>1</xdr:col>
                    <xdr:colOff>984250</xdr:colOff>
                    <xdr:row>42</xdr:row>
                    <xdr:rowOff>184150</xdr:rowOff>
                  </to>
                </anchor>
              </controlPr>
            </control>
          </mc:Choice>
        </mc:AlternateContent>
        <mc:AlternateContent xmlns:mc="http://schemas.openxmlformats.org/markup-compatibility/2006">
          <mc:Choice Requires="x14">
            <control shapeId="159782" r:id="rId40" name="Option Button 38">
              <controlPr defaultSize="0" autoFill="0" autoLine="0" autoPict="0">
                <anchor moveWithCells="1">
                  <from>
                    <xdr:col>1</xdr:col>
                    <xdr:colOff>438150</xdr:colOff>
                    <xdr:row>43</xdr:row>
                    <xdr:rowOff>31750</xdr:rowOff>
                  </from>
                  <to>
                    <xdr:col>1</xdr:col>
                    <xdr:colOff>984250</xdr:colOff>
                    <xdr:row>43</xdr:row>
                    <xdr:rowOff>184150</xdr:rowOff>
                  </to>
                </anchor>
              </controlPr>
            </control>
          </mc:Choice>
        </mc:AlternateContent>
        <mc:AlternateContent xmlns:mc="http://schemas.openxmlformats.org/markup-compatibility/2006">
          <mc:Choice Requires="x14">
            <control shapeId="159783" r:id="rId41" name="Option Button 39">
              <controlPr defaultSize="0" autoFill="0" autoLine="0" autoPict="0">
                <anchor moveWithCells="1">
                  <from>
                    <xdr:col>1</xdr:col>
                    <xdr:colOff>438150</xdr:colOff>
                    <xdr:row>44</xdr:row>
                    <xdr:rowOff>31750</xdr:rowOff>
                  </from>
                  <to>
                    <xdr:col>1</xdr:col>
                    <xdr:colOff>984250</xdr:colOff>
                    <xdr:row>44</xdr:row>
                    <xdr:rowOff>184150</xdr:rowOff>
                  </to>
                </anchor>
              </controlPr>
            </control>
          </mc:Choice>
        </mc:AlternateContent>
        <mc:AlternateContent xmlns:mc="http://schemas.openxmlformats.org/markup-compatibility/2006">
          <mc:Choice Requires="x14">
            <control shapeId="159784" r:id="rId42" name="Option Button 40">
              <controlPr defaultSize="0" autoFill="0" autoLine="0" autoPict="0">
                <anchor moveWithCells="1">
                  <from>
                    <xdr:col>1</xdr:col>
                    <xdr:colOff>438150</xdr:colOff>
                    <xdr:row>45</xdr:row>
                    <xdr:rowOff>31750</xdr:rowOff>
                  </from>
                  <to>
                    <xdr:col>1</xdr:col>
                    <xdr:colOff>984250</xdr:colOff>
                    <xdr:row>45</xdr:row>
                    <xdr:rowOff>184150</xdr:rowOff>
                  </to>
                </anchor>
              </controlPr>
            </control>
          </mc:Choice>
        </mc:AlternateContent>
        <mc:AlternateContent xmlns:mc="http://schemas.openxmlformats.org/markup-compatibility/2006">
          <mc:Choice Requires="x14">
            <control shapeId="159785" r:id="rId43" name="Option Button 41">
              <controlPr defaultSize="0" autoFill="0" autoLine="0" autoPict="0">
                <anchor moveWithCells="1">
                  <from>
                    <xdr:col>1</xdr:col>
                    <xdr:colOff>438150</xdr:colOff>
                    <xdr:row>46</xdr:row>
                    <xdr:rowOff>31750</xdr:rowOff>
                  </from>
                  <to>
                    <xdr:col>1</xdr:col>
                    <xdr:colOff>984250</xdr:colOff>
                    <xdr:row>46</xdr:row>
                    <xdr:rowOff>184150</xdr:rowOff>
                  </to>
                </anchor>
              </controlPr>
            </control>
          </mc:Choice>
        </mc:AlternateContent>
        <mc:AlternateContent xmlns:mc="http://schemas.openxmlformats.org/markup-compatibility/2006">
          <mc:Choice Requires="x14">
            <control shapeId="159786" r:id="rId44" name="Option Button 42">
              <controlPr defaultSize="0" autoFill="0" autoLine="0" autoPict="0">
                <anchor moveWithCells="1">
                  <from>
                    <xdr:col>1</xdr:col>
                    <xdr:colOff>438150</xdr:colOff>
                    <xdr:row>47</xdr:row>
                    <xdr:rowOff>38100</xdr:rowOff>
                  </from>
                  <to>
                    <xdr:col>1</xdr:col>
                    <xdr:colOff>984250</xdr:colOff>
                    <xdr:row>47</xdr:row>
                    <xdr:rowOff>190500</xdr:rowOff>
                  </to>
                </anchor>
              </controlPr>
            </control>
          </mc:Choice>
        </mc:AlternateContent>
        <mc:AlternateContent xmlns:mc="http://schemas.openxmlformats.org/markup-compatibility/2006">
          <mc:Choice Requires="x14">
            <control shapeId="159787" r:id="rId45" name="Option Button 43">
              <controlPr defaultSize="0" autoFill="0" autoLine="0" autoPict="0">
                <anchor moveWithCells="1">
                  <from>
                    <xdr:col>1</xdr:col>
                    <xdr:colOff>438150</xdr:colOff>
                    <xdr:row>48</xdr:row>
                    <xdr:rowOff>38100</xdr:rowOff>
                  </from>
                  <to>
                    <xdr:col>1</xdr:col>
                    <xdr:colOff>984250</xdr:colOff>
                    <xdr:row>48</xdr:row>
                    <xdr:rowOff>190500</xdr:rowOff>
                  </to>
                </anchor>
              </controlPr>
            </control>
          </mc:Choice>
        </mc:AlternateContent>
        <mc:AlternateContent xmlns:mc="http://schemas.openxmlformats.org/markup-compatibility/2006">
          <mc:Choice Requires="x14">
            <control shapeId="159788" r:id="rId46" name="Option Button 44">
              <controlPr defaultSize="0" autoFill="0" autoLine="0" autoPict="0">
                <anchor moveWithCells="1">
                  <from>
                    <xdr:col>1</xdr:col>
                    <xdr:colOff>438150</xdr:colOff>
                    <xdr:row>49</xdr:row>
                    <xdr:rowOff>38100</xdr:rowOff>
                  </from>
                  <to>
                    <xdr:col>1</xdr:col>
                    <xdr:colOff>984250</xdr:colOff>
                    <xdr:row>49</xdr:row>
                    <xdr:rowOff>190500</xdr:rowOff>
                  </to>
                </anchor>
              </controlPr>
            </control>
          </mc:Choice>
        </mc:AlternateContent>
        <mc:AlternateContent xmlns:mc="http://schemas.openxmlformats.org/markup-compatibility/2006">
          <mc:Choice Requires="x14">
            <control shapeId="159789" r:id="rId47" name="Option Button 45">
              <controlPr defaultSize="0" autoFill="0" autoLine="0" autoPict="0">
                <anchor moveWithCells="1">
                  <from>
                    <xdr:col>1</xdr:col>
                    <xdr:colOff>438150</xdr:colOff>
                    <xdr:row>50</xdr:row>
                    <xdr:rowOff>38100</xdr:rowOff>
                  </from>
                  <to>
                    <xdr:col>1</xdr:col>
                    <xdr:colOff>984250</xdr:colOff>
                    <xdr:row>50</xdr:row>
                    <xdr:rowOff>190500</xdr:rowOff>
                  </to>
                </anchor>
              </controlPr>
            </control>
          </mc:Choice>
        </mc:AlternateContent>
        <mc:AlternateContent xmlns:mc="http://schemas.openxmlformats.org/markup-compatibility/2006">
          <mc:Choice Requires="x14">
            <control shapeId="159790" r:id="rId48" name="Option Button 46">
              <controlPr defaultSize="0" autoFill="0" autoLine="0" autoPict="0">
                <anchor moveWithCells="1">
                  <from>
                    <xdr:col>1</xdr:col>
                    <xdr:colOff>438150</xdr:colOff>
                    <xdr:row>51</xdr:row>
                    <xdr:rowOff>38100</xdr:rowOff>
                  </from>
                  <to>
                    <xdr:col>1</xdr:col>
                    <xdr:colOff>984250</xdr:colOff>
                    <xdr:row>51</xdr:row>
                    <xdr:rowOff>190500</xdr:rowOff>
                  </to>
                </anchor>
              </controlPr>
            </control>
          </mc:Choice>
        </mc:AlternateContent>
        <mc:AlternateContent xmlns:mc="http://schemas.openxmlformats.org/markup-compatibility/2006">
          <mc:Choice Requires="x14">
            <control shapeId="159791" r:id="rId49" name="Option Button 47">
              <controlPr defaultSize="0" autoFill="0" autoLine="0" autoPict="0">
                <anchor moveWithCells="1">
                  <from>
                    <xdr:col>1</xdr:col>
                    <xdr:colOff>438150</xdr:colOff>
                    <xdr:row>52</xdr:row>
                    <xdr:rowOff>38100</xdr:rowOff>
                  </from>
                  <to>
                    <xdr:col>1</xdr:col>
                    <xdr:colOff>984250</xdr:colOff>
                    <xdr:row>52</xdr:row>
                    <xdr:rowOff>190500</xdr:rowOff>
                  </to>
                </anchor>
              </controlPr>
            </control>
          </mc:Choice>
        </mc:AlternateContent>
        <mc:AlternateContent xmlns:mc="http://schemas.openxmlformats.org/markup-compatibility/2006">
          <mc:Choice Requires="x14">
            <control shapeId="159792" r:id="rId50" name="Option Button 48">
              <controlPr defaultSize="0" autoFill="0" autoLine="0" autoPict="0">
                <anchor moveWithCells="1">
                  <from>
                    <xdr:col>1</xdr:col>
                    <xdr:colOff>438150</xdr:colOff>
                    <xdr:row>53</xdr:row>
                    <xdr:rowOff>38100</xdr:rowOff>
                  </from>
                  <to>
                    <xdr:col>1</xdr:col>
                    <xdr:colOff>984250</xdr:colOff>
                    <xdr:row>53</xdr:row>
                    <xdr:rowOff>190500</xdr:rowOff>
                  </to>
                </anchor>
              </controlPr>
            </control>
          </mc:Choice>
        </mc:AlternateContent>
        <mc:AlternateContent xmlns:mc="http://schemas.openxmlformats.org/markup-compatibility/2006">
          <mc:Choice Requires="x14">
            <control shapeId="159793" r:id="rId51" name="Option Button 49">
              <controlPr defaultSize="0" autoFill="0" autoLine="0" autoPict="0">
                <anchor moveWithCells="1">
                  <from>
                    <xdr:col>1</xdr:col>
                    <xdr:colOff>438150</xdr:colOff>
                    <xdr:row>54</xdr:row>
                    <xdr:rowOff>38100</xdr:rowOff>
                  </from>
                  <to>
                    <xdr:col>1</xdr:col>
                    <xdr:colOff>984250</xdr:colOff>
                    <xdr:row>54</xdr:row>
                    <xdr:rowOff>190500</xdr:rowOff>
                  </to>
                </anchor>
              </controlPr>
            </control>
          </mc:Choice>
        </mc:AlternateContent>
        <mc:AlternateContent xmlns:mc="http://schemas.openxmlformats.org/markup-compatibility/2006">
          <mc:Choice Requires="x14">
            <control shapeId="159794" r:id="rId52" name="Option Button 50">
              <controlPr defaultSize="0" autoFill="0" autoLine="0" autoPict="0">
                <anchor moveWithCells="1">
                  <from>
                    <xdr:col>1</xdr:col>
                    <xdr:colOff>438150</xdr:colOff>
                    <xdr:row>55</xdr:row>
                    <xdr:rowOff>38100</xdr:rowOff>
                  </from>
                  <to>
                    <xdr:col>1</xdr:col>
                    <xdr:colOff>984250</xdr:colOff>
                    <xdr:row>55</xdr:row>
                    <xdr:rowOff>190500</xdr:rowOff>
                  </to>
                </anchor>
              </controlPr>
            </control>
          </mc:Choice>
        </mc:AlternateContent>
        <mc:AlternateContent xmlns:mc="http://schemas.openxmlformats.org/markup-compatibility/2006">
          <mc:Choice Requires="x14">
            <control shapeId="159795" r:id="rId53" name="Option Button 51">
              <controlPr defaultSize="0" autoFill="0" autoLine="0" autoPict="0">
                <anchor moveWithCells="1">
                  <from>
                    <xdr:col>1</xdr:col>
                    <xdr:colOff>438150</xdr:colOff>
                    <xdr:row>56</xdr:row>
                    <xdr:rowOff>38100</xdr:rowOff>
                  </from>
                  <to>
                    <xdr:col>1</xdr:col>
                    <xdr:colOff>984250</xdr:colOff>
                    <xdr:row>56</xdr:row>
                    <xdr:rowOff>190500</xdr:rowOff>
                  </to>
                </anchor>
              </controlPr>
            </control>
          </mc:Choice>
        </mc:AlternateContent>
        <mc:AlternateContent xmlns:mc="http://schemas.openxmlformats.org/markup-compatibility/2006">
          <mc:Choice Requires="x14">
            <control shapeId="159796" r:id="rId54" name="Option Button 52">
              <controlPr defaultSize="0" autoFill="0" autoLine="0" autoPict="0">
                <anchor moveWithCells="1">
                  <from>
                    <xdr:col>1</xdr:col>
                    <xdr:colOff>438150</xdr:colOff>
                    <xdr:row>57</xdr:row>
                    <xdr:rowOff>38100</xdr:rowOff>
                  </from>
                  <to>
                    <xdr:col>1</xdr:col>
                    <xdr:colOff>984250</xdr:colOff>
                    <xdr:row>57</xdr:row>
                    <xdr:rowOff>190500</xdr:rowOff>
                  </to>
                </anchor>
              </controlPr>
            </control>
          </mc:Choice>
        </mc:AlternateContent>
        <mc:AlternateContent xmlns:mc="http://schemas.openxmlformats.org/markup-compatibility/2006">
          <mc:Choice Requires="x14">
            <control shapeId="159797" r:id="rId55" name="Option Button 53">
              <controlPr defaultSize="0" autoFill="0" autoLine="0" autoPict="0">
                <anchor moveWithCells="1">
                  <from>
                    <xdr:col>1</xdr:col>
                    <xdr:colOff>438150</xdr:colOff>
                    <xdr:row>58</xdr:row>
                    <xdr:rowOff>38100</xdr:rowOff>
                  </from>
                  <to>
                    <xdr:col>1</xdr:col>
                    <xdr:colOff>984250</xdr:colOff>
                    <xdr:row>58</xdr:row>
                    <xdr:rowOff>190500</xdr:rowOff>
                  </to>
                </anchor>
              </controlPr>
            </control>
          </mc:Choice>
        </mc:AlternateContent>
        <mc:AlternateContent xmlns:mc="http://schemas.openxmlformats.org/markup-compatibility/2006">
          <mc:Choice Requires="x14">
            <control shapeId="159798" r:id="rId56" name="Option Button 54">
              <controlPr defaultSize="0" autoFill="0" autoLine="0" autoPict="0">
                <anchor moveWithCells="1">
                  <from>
                    <xdr:col>1</xdr:col>
                    <xdr:colOff>438150</xdr:colOff>
                    <xdr:row>59</xdr:row>
                    <xdr:rowOff>38100</xdr:rowOff>
                  </from>
                  <to>
                    <xdr:col>1</xdr:col>
                    <xdr:colOff>984250</xdr:colOff>
                    <xdr:row>59</xdr:row>
                    <xdr:rowOff>190500</xdr:rowOff>
                  </to>
                </anchor>
              </controlPr>
            </control>
          </mc:Choice>
        </mc:AlternateContent>
        <mc:AlternateContent xmlns:mc="http://schemas.openxmlformats.org/markup-compatibility/2006">
          <mc:Choice Requires="x14">
            <control shapeId="159799" r:id="rId57" name="Option Button 55">
              <controlPr defaultSize="0" autoFill="0" autoLine="0" autoPict="0">
                <anchor moveWithCells="1">
                  <from>
                    <xdr:col>1</xdr:col>
                    <xdr:colOff>438150</xdr:colOff>
                    <xdr:row>60</xdr:row>
                    <xdr:rowOff>38100</xdr:rowOff>
                  </from>
                  <to>
                    <xdr:col>1</xdr:col>
                    <xdr:colOff>984250</xdr:colOff>
                    <xdr:row>60</xdr:row>
                    <xdr:rowOff>190500</xdr:rowOff>
                  </to>
                </anchor>
              </controlPr>
            </control>
          </mc:Choice>
        </mc:AlternateContent>
        <mc:AlternateContent xmlns:mc="http://schemas.openxmlformats.org/markup-compatibility/2006">
          <mc:Choice Requires="x14">
            <control shapeId="159800" r:id="rId58" name="Option Button 56">
              <controlPr defaultSize="0" autoFill="0" autoLine="0" autoPict="0">
                <anchor moveWithCells="1">
                  <from>
                    <xdr:col>1</xdr:col>
                    <xdr:colOff>438150</xdr:colOff>
                    <xdr:row>61</xdr:row>
                    <xdr:rowOff>38100</xdr:rowOff>
                  </from>
                  <to>
                    <xdr:col>1</xdr:col>
                    <xdr:colOff>984250</xdr:colOff>
                    <xdr:row>61</xdr:row>
                    <xdr:rowOff>190500</xdr:rowOff>
                  </to>
                </anchor>
              </controlPr>
            </control>
          </mc:Choice>
        </mc:AlternateContent>
        <mc:AlternateContent xmlns:mc="http://schemas.openxmlformats.org/markup-compatibility/2006">
          <mc:Choice Requires="x14">
            <control shapeId="159801" r:id="rId59" name="Option Button 57">
              <controlPr defaultSize="0" autoFill="0" autoLine="0" autoPict="0">
                <anchor moveWithCells="1">
                  <from>
                    <xdr:col>1</xdr:col>
                    <xdr:colOff>438150</xdr:colOff>
                    <xdr:row>62</xdr:row>
                    <xdr:rowOff>38100</xdr:rowOff>
                  </from>
                  <to>
                    <xdr:col>1</xdr:col>
                    <xdr:colOff>984250</xdr:colOff>
                    <xdr:row>62</xdr:row>
                    <xdr:rowOff>190500</xdr:rowOff>
                  </to>
                </anchor>
              </controlPr>
            </control>
          </mc:Choice>
        </mc:AlternateContent>
        <mc:AlternateContent xmlns:mc="http://schemas.openxmlformats.org/markup-compatibility/2006">
          <mc:Choice Requires="x14">
            <control shapeId="159802" r:id="rId60" name="Option Button 58">
              <controlPr defaultSize="0" autoFill="0" autoLine="0" autoPict="0">
                <anchor moveWithCells="1">
                  <from>
                    <xdr:col>1</xdr:col>
                    <xdr:colOff>438150</xdr:colOff>
                    <xdr:row>63</xdr:row>
                    <xdr:rowOff>38100</xdr:rowOff>
                  </from>
                  <to>
                    <xdr:col>1</xdr:col>
                    <xdr:colOff>984250</xdr:colOff>
                    <xdr:row>63</xdr:row>
                    <xdr:rowOff>190500</xdr:rowOff>
                  </to>
                </anchor>
              </controlPr>
            </control>
          </mc:Choice>
        </mc:AlternateContent>
        <mc:AlternateContent xmlns:mc="http://schemas.openxmlformats.org/markup-compatibility/2006">
          <mc:Choice Requires="x14">
            <control shapeId="159803" r:id="rId61" name="Option Button 59">
              <controlPr defaultSize="0" autoFill="0" autoLine="0" autoPict="0">
                <anchor moveWithCells="1">
                  <from>
                    <xdr:col>1</xdr:col>
                    <xdr:colOff>438150</xdr:colOff>
                    <xdr:row>64</xdr:row>
                    <xdr:rowOff>317500</xdr:rowOff>
                  </from>
                  <to>
                    <xdr:col>1</xdr:col>
                    <xdr:colOff>984250</xdr:colOff>
                    <xdr:row>64</xdr:row>
                    <xdr:rowOff>469900</xdr:rowOff>
                  </to>
                </anchor>
              </controlPr>
            </control>
          </mc:Choice>
        </mc:AlternateContent>
        <mc:AlternateContent xmlns:mc="http://schemas.openxmlformats.org/markup-compatibility/2006">
          <mc:Choice Requires="x14">
            <control shapeId="159804" r:id="rId62" name="Option Button 60">
              <controlPr defaultSize="0" autoFill="0" autoLine="0" autoPict="0">
                <anchor moveWithCells="1">
                  <from>
                    <xdr:col>1</xdr:col>
                    <xdr:colOff>438150</xdr:colOff>
                    <xdr:row>65</xdr:row>
                    <xdr:rowOff>38100</xdr:rowOff>
                  </from>
                  <to>
                    <xdr:col>1</xdr:col>
                    <xdr:colOff>984250</xdr:colOff>
                    <xdr:row>65</xdr:row>
                    <xdr:rowOff>190500</xdr:rowOff>
                  </to>
                </anchor>
              </controlPr>
            </control>
          </mc:Choice>
        </mc:AlternateContent>
        <mc:AlternateContent xmlns:mc="http://schemas.openxmlformats.org/markup-compatibility/2006">
          <mc:Choice Requires="x14">
            <control shapeId="159805" r:id="rId63" name="Option Button 61">
              <controlPr defaultSize="0" autoFill="0" autoLine="0" autoPict="0">
                <anchor moveWithCells="1">
                  <from>
                    <xdr:col>1</xdr:col>
                    <xdr:colOff>438150</xdr:colOff>
                    <xdr:row>66</xdr:row>
                    <xdr:rowOff>38100</xdr:rowOff>
                  </from>
                  <to>
                    <xdr:col>1</xdr:col>
                    <xdr:colOff>984250</xdr:colOff>
                    <xdr:row>66</xdr:row>
                    <xdr:rowOff>190500</xdr:rowOff>
                  </to>
                </anchor>
              </controlPr>
            </control>
          </mc:Choice>
        </mc:AlternateContent>
        <mc:AlternateContent xmlns:mc="http://schemas.openxmlformats.org/markup-compatibility/2006">
          <mc:Choice Requires="x14">
            <control shapeId="159806" r:id="rId64" name="Option Button 62">
              <controlPr defaultSize="0" autoFill="0" autoLine="0" autoPict="0">
                <anchor moveWithCells="1">
                  <from>
                    <xdr:col>1</xdr:col>
                    <xdr:colOff>438150</xdr:colOff>
                    <xdr:row>67</xdr:row>
                    <xdr:rowOff>38100</xdr:rowOff>
                  </from>
                  <to>
                    <xdr:col>1</xdr:col>
                    <xdr:colOff>984250</xdr:colOff>
                    <xdr:row>67</xdr:row>
                    <xdr:rowOff>190500</xdr:rowOff>
                  </to>
                </anchor>
              </controlPr>
            </control>
          </mc:Choice>
        </mc:AlternateContent>
        <mc:AlternateContent xmlns:mc="http://schemas.openxmlformats.org/markup-compatibility/2006">
          <mc:Choice Requires="x14">
            <control shapeId="159807" r:id="rId65" name="Option Button 63">
              <controlPr defaultSize="0" autoFill="0" autoLine="0" autoPict="0">
                <anchor moveWithCells="1">
                  <from>
                    <xdr:col>1</xdr:col>
                    <xdr:colOff>438150</xdr:colOff>
                    <xdr:row>68</xdr:row>
                    <xdr:rowOff>38100</xdr:rowOff>
                  </from>
                  <to>
                    <xdr:col>1</xdr:col>
                    <xdr:colOff>984250</xdr:colOff>
                    <xdr:row>68</xdr:row>
                    <xdr:rowOff>190500</xdr:rowOff>
                  </to>
                </anchor>
              </controlPr>
            </control>
          </mc:Choice>
        </mc:AlternateContent>
        <mc:AlternateContent xmlns:mc="http://schemas.openxmlformats.org/markup-compatibility/2006">
          <mc:Choice Requires="x14">
            <control shapeId="159808" r:id="rId66" name="Option Button 64">
              <controlPr defaultSize="0" autoFill="0" autoLine="0" autoPict="0">
                <anchor moveWithCells="1">
                  <from>
                    <xdr:col>1</xdr:col>
                    <xdr:colOff>438150</xdr:colOff>
                    <xdr:row>69</xdr:row>
                    <xdr:rowOff>38100</xdr:rowOff>
                  </from>
                  <to>
                    <xdr:col>1</xdr:col>
                    <xdr:colOff>984250</xdr:colOff>
                    <xdr:row>69</xdr:row>
                    <xdr:rowOff>190500</xdr:rowOff>
                  </to>
                </anchor>
              </controlPr>
            </control>
          </mc:Choice>
        </mc:AlternateContent>
        <mc:AlternateContent xmlns:mc="http://schemas.openxmlformats.org/markup-compatibility/2006">
          <mc:Choice Requires="x14">
            <control shapeId="159809" r:id="rId67" name="Option Button 65">
              <controlPr defaultSize="0" autoFill="0" autoLine="0" autoPict="0">
                <anchor moveWithCells="1">
                  <from>
                    <xdr:col>1</xdr:col>
                    <xdr:colOff>438150</xdr:colOff>
                    <xdr:row>70</xdr:row>
                    <xdr:rowOff>38100</xdr:rowOff>
                  </from>
                  <to>
                    <xdr:col>1</xdr:col>
                    <xdr:colOff>984250</xdr:colOff>
                    <xdr:row>70</xdr:row>
                    <xdr:rowOff>190500</xdr:rowOff>
                  </to>
                </anchor>
              </controlPr>
            </control>
          </mc:Choice>
        </mc:AlternateContent>
        <mc:AlternateContent xmlns:mc="http://schemas.openxmlformats.org/markup-compatibility/2006">
          <mc:Choice Requires="x14">
            <control shapeId="159810" r:id="rId68" name="Option Button 66">
              <controlPr defaultSize="0" autoFill="0" autoLine="0" autoPict="0">
                <anchor moveWithCells="1">
                  <from>
                    <xdr:col>1</xdr:col>
                    <xdr:colOff>438150</xdr:colOff>
                    <xdr:row>71</xdr:row>
                    <xdr:rowOff>38100</xdr:rowOff>
                  </from>
                  <to>
                    <xdr:col>1</xdr:col>
                    <xdr:colOff>984250</xdr:colOff>
                    <xdr:row>71</xdr:row>
                    <xdr:rowOff>190500</xdr:rowOff>
                  </to>
                </anchor>
              </controlPr>
            </control>
          </mc:Choice>
        </mc:AlternateContent>
        <mc:AlternateContent xmlns:mc="http://schemas.openxmlformats.org/markup-compatibility/2006">
          <mc:Choice Requires="x14">
            <control shapeId="159811" r:id="rId69" name="Option Button 67">
              <controlPr defaultSize="0" autoFill="0" autoLine="0" autoPict="0">
                <anchor moveWithCells="1">
                  <from>
                    <xdr:col>1</xdr:col>
                    <xdr:colOff>438150</xdr:colOff>
                    <xdr:row>72</xdr:row>
                    <xdr:rowOff>38100</xdr:rowOff>
                  </from>
                  <to>
                    <xdr:col>1</xdr:col>
                    <xdr:colOff>984250</xdr:colOff>
                    <xdr:row>72</xdr:row>
                    <xdr:rowOff>190500</xdr:rowOff>
                  </to>
                </anchor>
              </controlPr>
            </control>
          </mc:Choice>
        </mc:AlternateContent>
        <mc:AlternateContent xmlns:mc="http://schemas.openxmlformats.org/markup-compatibility/2006">
          <mc:Choice Requires="x14">
            <control shapeId="159812" r:id="rId70" name="Option Button 68">
              <controlPr defaultSize="0" autoFill="0" autoLine="0" autoPict="0">
                <anchor moveWithCells="1">
                  <from>
                    <xdr:col>1</xdr:col>
                    <xdr:colOff>438150</xdr:colOff>
                    <xdr:row>73</xdr:row>
                    <xdr:rowOff>38100</xdr:rowOff>
                  </from>
                  <to>
                    <xdr:col>1</xdr:col>
                    <xdr:colOff>984250</xdr:colOff>
                    <xdr:row>73</xdr:row>
                    <xdr:rowOff>190500</xdr:rowOff>
                  </to>
                </anchor>
              </controlPr>
            </control>
          </mc:Choice>
        </mc:AlternateContent>
        <mc:AlternateContent xmlns:mc="http://schemas.openxmlformats.org/markup-compatibility/2006">
          <mc:Choice Requires="x14">
            <control shapeId="159813" r:id="rId71" name="Option Button 69">
              <controlPr defaultSize="0" autoFill="0" autoLine="0" autoPict="0">
                <anchor moveWithCells="1">
                  <from>
                    <xdr:col>1</xdr:col>
                    <xdr:colOff>438150</xdr:colOff>
                    <xdr:row>74</xdr:row>
                    <xdr:rowOff>38100</xdr:rowOff>
                  </from>
                  <to>
                    <xdr:col>1</xdr:col>
                    <xdr:colOff>984250</xdr:colOff>
                    <xdr:row>74</xdr:row>
                    <xdr:rowOff>190500</xdr:rowOff>
                  </to>
                </anchor>
              </controlPr>
            </control>
          </mc:Choice>
        </mc:AlternateContent>
        <mc:AlternateContent xmlns:mc="http://schemas.openxmlformats.org/markup-compatibility/2006">
          <mc:Choice Requires="x14">
            <control shapeId="159814" r:id="rId72" name="Option Button 70">
              <controlPr defaultSize="0" autoFill="0" autoLine="0" autoPict="0">
                <anchor moveWithCells="1">
                  <from>
                    <xdr:col>1</xdr:col>
                    <xdr:colOff>438150</xdr:colOff>
                    <xdr:row>75</xdr:row>
                    <xdr:rowOff>38100</xdr:rowOff>
                  </from>
                  <to>
                    <xdr:col>1</xdr:col>
                    <xdr:colOff>984250</xdr:colOff>
                    <xdr:row>75</xdr:row>
                    <xdr:rowOff>190500</xdr:rowOff>
                  </to>
                </anchor>
              </controlPr>
            </control>
          </mc:Choice>
        </mc:AlternateContent>
        <mc:AlternateContent xmlns:mc="http://schemas.openxmlformats.org/markup-compatibility/2006">
          <mc:Choice Requires="x14">
            <control shapeId="159815" r:id="rId73" name="Option Button 71">
              <controlPr defaultSize="0" autoFill="0" autoLine="0" autoPict="0">
                <anchor moveWithCells="1">
                  <from>
                    <xdr:col>1</xdr:col>
                    <xdr:colOff>438150</xdr:colOff>
                    <xdr:row>76</xdr:row>
                    <xdr:rowOff>38100</xdr:rowOff>
                  </from>
                  <to>
                    <xdr:col>1</xdr:col>
                    <xdr:colOff>984250</xdr:colOff>
                    <xdr:row>76</xdr:row>
                    <xdr:rowOff>190500</xdr:rowOff>
                  </to>
                </anchor>
              </controlPr>
            </control>
          </mc:Choice>
        </mc:AlternateContent>
        <mc:AlternateContent xmlns:mc="http://schemas.openxmlformats.org/markup-compatibility/2006">
          <mc:Choice Requires="x14">
            <control shapeId="159816" r:id="rId74" name="Option Button 72">
              <controlPr defaultSize="0" autoFill="0" autoLine="0" autoPict="0">
                <anchor moveWithCells="1">
                  <from>
                    <xdr:col>1</xdr:col>
                    <xdr:colOff>438150</xdr:colOff>
                    <xdr:row>77</xdr:row>
                    <xdr:rowOff>38100</xdr:rowOff>
                  </from>
                  <to>
                    <xdr:col>1</xdr:col>
                    <xdr:colOff>984250</xdr:colOff>
                    <xdr:row>77</xdr:row>
                    <xdr:rowOff>190500</xdr:rowOff>
                  </to>
                </anchor>
              </controlPr>
            </control>
          </mc:Choice>
        </mc:AlternateContent>
        <mc:AlternateContent xmlns:mc="http://schemas.openxmlformats.org/markup-compatibility/2006">
          <mc:Choice Requires="x14">
            <control shapeId="159817" r:id="rId75" name="Option Button 73">
              <controlPr defaultSize="0" autoFill="0" autoLine="0" autoPict="0">
                <anchor moveWithCells="1">
                  <from>
                    <xdr:col>1</xdr:col>
                    <xdr:colOff>438150</xdr:colOff>
                    <xdr:row>78</xdr:row>
                    <xdr:rowOff>38100</xdr:rowOff>
                  </from>
                  <to>
                    <xdr:col>1</xdr:col>
                    <xdr:colOff>984250</xdr:colOff>
                    <xdr:row>78</xdr:row>
                    <xdr:rowOff>190500</xdr:rowOff>
                  </to>
                </anchor>
              </controlPr>
            </control>
          </mc:Choice>
        </mc:AlternateContent>
        <mc:AlternateContent xmlns:mc="http://schemas.openxmlformats.org/markup-compatibility/2006">
          <mc:Choice Requires="x14">
            <control shapeId="159818" r:id="rId76" name="Option Button 74">
              <controlPr defaultSize="0" autoFill="0" autoLine="0" autoPict="0">
                <anchor moveWithCells="1">
                  <from>
                    <xdr:col>1</xdr:col>
                    <xdr:colOff>438150</xdr:colOff>
                    <xdr:row>79</xdr:row>
                    <xdr:rowOff>38100</xdr:rowOff>
                  </from>
                  <to>
                    <xdr:col>1</xdr:col>
                    <xdr:colOff>984250</xdr:colOff>
                    <xdr:row>79</xdr:row>
                    <xdr:rowOff>190500</xdr:rowOff>
                  </to>
                </anchor>
              </controlPr>
            </control>
          </mc:Choice>
        </mc:AlternateContent>
        <mc:AlternateContent xmlns:mc="http://schemas.openxmlformats.org/markup-compatibility/2006">
          <mc:Choice Requires="x14">
            <control shapeId="159819" r:id="rId77" name="Option Button 75">
              <controlPr defaultSize="0" autoFill="0" autoLine="0" autoPict="0">
                <anchor moveWithCells="1">
                  <from>
                    <xdr:col>1</xdr:col>
                    <xdr:colOff>438150</xdr:colOff>
                    <xdr:row>80</xdr:row>
                    <xdr:rowOff>38100</xdr:rowOff>
                  </from>
                  <to>
                    <xdr:col>1</xdr:col>
                    <xdr:colOff>984250</xdr:colOff>
                    <xdr:row>80</xdr:row>
                    <xdr:rowOff>190500</xdr:rowOff>
                  </to>
                </anchor>
              </controlPr>
            </control>
          </mc:Choice>
        </mc:AlternateContent>
        <mc:AlternateContent xmlns:mc="http://schemas.openxmlformats.org/markup-compatibility/2006">
          <mc:Choice Requires="x14">
            <control shapeId="159820" r:id="rId78" name="Option Button 76">
              <controlPr defaultSize="0" autoFill="0" autoLine="0" autoPict="0">
                <anchor moveWithCells="1">
                  <from>
                    <xdr:col>1</xdr:col>
                    <xdr:colOff>438150</xdr:colOff>
                    <xdr:row>81</xdr:row>
                    <xdr:rowOff>38100</xdr:rowOff>
                  </from>
                  <to>
                    <xdr:col>1</xdr:col>
                    <xdr:colOff>984250</xdr:colOff>
                    <xdr:row>81</xdr:row>
                    <xdr:rowOff>190500</xdr:rowOff>
                  </to>
                </anchor>
              </controlPr>
            </control>
          </mc:Choice>
        </mc:AlternateContent>
        <mc:AlternateContent xmlns:mc="http://schemas.openxmlformats.org/markup-compatibility/2006">
          <mc:Choice Requires="x14">
            <control shapeId="159821" r:id="rId79" name="Option Button 77">
              <controlPr defaultSize="0" autoFill="0" autoLine="0" autoPict="0">
                <anchor moveWithCells="1">
                  <from>
                    <xdr:col>1</xdr:col>
                    <xdr:colOff>438150</xdr:colOff>
                    <xdr:row>82</xdr:row>
                    <xdr:rowOff>38100</xdr:rowOff>
                  </from>
                  <to>
                    <xdr:col>1</xdr:col>
                    <xdr:colOff>984250</xdr:colOff>
                    <xdr:row>82</xdr:row>
                    <xdr:rowOff>190500</xdr:rowOff>
                  </to>
                </anchor>
              </controlPr>
            </control>
          </mc:Choice>
        </mc:AlternateContent>
        <mc:AlternateContent xmlns:mc="http://schemas.openxmlformats.org/markup-compatibility/2006">
          <mc:Choice Requires="x14">
            <control shapeId="159822" r:id="rId80" name="Option Button 78">
              <controlPr defaultSize="0" autoFill="0" autoLine="0" autoPict="0">
                <anchor moveWithCells="1">
                  <from>
                    <xdr:col>1</xdr:col>
                    <xdr:colOff>438150</xdr:colOff>
                    <xdr:row>83</xdr:row>
                    <xdr:rowOff>38100</xdr:rowOff>
                  </from>
                  <to>
                    <xdr:col>1</xdr:col>
                    <xdr:colOff>984250</xdr:colOff>
                    <xdr:row>83</xdr:row>
                    <xdr:rowOff>190500</xdr:rowOff>
                  </to>
                </anchor>
              </controlPr>
            </control>
          </mc:Choice>
        </mc:AlternateContent>
        <mc:AlternateContent xmlns:mc="http://schemas.openxmlformats.org/markup-compatibility/2006">
          <mc:Choice Requires="x14">
            <control shapeId="159823" r:id="rId81" name="Option Button 79">
              <controlPr defaultSize="0" autoFill="0" autoLine="0" autoPict="0">
                <anchor moveWithCells="1">
                  <from>
                    <xdr:col>1</xdr:col>
                    <xdr:colOff>438150</xdr:colOff>
                    <xdr:row>84</xdr:row>
                    <xdr:rowOff>38100</xdr:rowOff>
                  </from>
                  <to>
                    <xdr:col>1</xdr:col>
                    <xdr:colOff>984250</xdr:colOff>
                    <xdr:row>84</xdr:row>
                    <xdr:rowOff>190500</xdr:rowOff>
                  </to>
                </anchor>
              </controlPr>
            </control>
          </mc:Choice>
        </mc:AlternateContent>
        <mc:AlternateContent xmlns:mc="http://schemas.openxmlformats.org/markup-compatibility/2006">
          <mc:Choice Requires="x14">
            <control shapeId="159824" r:id="rId82" name="Option Button 80">
              <controlPr defaultSize="0" autoFill="0" autoLine="0" autoPict="0">
                <anchor moveWithCells="1">
                  <from>
                    <xdr:col>1</xdr:col>
                    <xdr:colOff>438150</xdr:colOff>
                    <xdr:row>85</xdr:row>
                    <xdr:rowOff>38100</xdr:rowOff>
                  </from>
                  <to>
                    <xdr:col>1</xdr:col>
                    <xdr:colOff>984250</xdr:colOff>
                    <xdr:row>85</xdr:row>
                    <xdr:rowOff>190500</xdr:rowOff>
                  </to>
                </anchor>
              </controlPr>
            </control>
          </mc:Choice>
        </mc:AlternateContent>
        <mc:AlternateContent xmlns:mc="http://schemas.openxmlformats.org/markup-compatibility/2006">
          <mc:Choice Requires="x14">
            <control shapeId="159825" r:id="rId83" name="Option Button 81">
              <controlPr defaultSize="0" autoFill="0" autoLine="0" autoPict="0">
                <anchor moveWithCells="1">
                  <from>
                    <xdr:col>1</xdr:col>
                    <xdr:colOff>438150</xdr:colOff>
                    <xdr:row>86</xdr:row>
                    <xdr:rowOff>38100</xdr:rowOff>
                  </from>
                  <to>
                    <xdr:col>1</xdr:col>
                    <xdr:colOff>984250</xdr:colOff>
                    <xdr:row>86</xdr:row>
                    <xdr:rowOff>190500</xdr:rowOff>
                  </to>
                </anchor>
              </controlPr>
            </control>
          </mc:Choice>
        </mc:AlternateContent>
        <mc:AlternateContent xmlns:mc="http://schemas.openxmlformats.org/markup-compatibility/2006">
          <mc:Choice Requires="x14">
            <control shapeId="159826" r:id="rId84" name="Option Button 82">
              <controlPr defaultSize="0" autoFill="0" autoLine="0" autoPict="0">
                <anchor moveWithCells="1">
                  <from>
                    <xdr:col>1</xdr:col>
                    <xdr:colOff>438150</xdr:colOff>
                    <xdr:row>87</xdr:row>
                    <xdr:rowOff>38100</xdr:rowOff>
                  </from>
                  <to>
                    <xdr:col>1</xdr:col>
                    <xdr:colOff>984250</xdr:colOff>
                    <xdr:row>87</xdr:row>
                    <xdr:rowOff>190500</xdr:rowOff>
                  </to>
                </anchor>
              </controlPr>
            </control>
          </mc:Choice>
        </mc:AlternateContent>
        <mc:AlternateContent xmlns:mc="http://schemas.openxmlformats.org/markup-compatibility/2006">
          <mc:Choice Requires="x14">
            <control shapeId="159827" r:id="rId85" name="Option Button 83">
              <controlPr defaultSize="0" autoFill="0" autoLine="0" autoPict="0">
                <anchor moveWithCells="1">
                  <from>
                    <xdr:col>1</xdr:col>
                    <xdr:colOff>438150</xdr:colOff>
                    <xdr:row>88</xdr:row>
                    <xdr:rowOff>38100</xdr:rowOff>
                  </from>
                  <to>
                    <xdr:col>1</xdr:col>
                    <xdr:colOff>984250</xdr:colOff>
                    <xdr:row>88</xdr:row>
                    <xdr:rowOff>190500</xdr:rowOff>
                  </to>
                </anchor>
              </controlPr>
            </control>
          </mc:Choice>
        </mc:AlternateContent>
        <mc:AlternateContent xmlns:mc="http://schemas.openxmlformats.org/markup-compatibility/2006">
          <mc:Choice Requires="x14">
            <control shapeId="159828" r:id="rId86" name="Option Button 84">
              <controlPr defaultSize="0" autoFill="0" autoLine="0" autoPict="0">
                <anchor moveWithCells="1">
                  <from>
                    <xdr:col>1</xdr:col>
                    <xdr:colOff>438150</xdr:colOff>
                    <xdr:row>89</xdr:row>
                    <xdr:rowOff>38100</xdr:rowOff>
                  </from>
                  <to>
                    <xdr:col>1</xdr:col>
                    <xdr:colOff>984250</xdr:colOff>
                    <xdr:row>89</xdr:row>
                    <xdr:rowOff>190500</xdr:rowOff>
                  </to>
                </anchor>
              </controlPr>
            </control>
          </mc:Choice>
        </mc:AlternateContent>
        <mc:AlternateContent xmlns:mc="http://schemas.openxmlformats.org/markup-compatibility/2006">
          <mc:Choice Requires="x14">
            <control shapeId="159829" r:id="rId87" name="Option Button 85">
              <controlPr defaultSize="0" autoFill="0" autoLine="0" autoPict="0">
                <anchor moveWithCells="1">
                  <from>
                    <xdr:col>1</xdr:col>
                    <xdr:colOff>438150</xdr:colOff>
                    <xdr:row>90</xdr:row>
                    <xdr:rowOff>38100</xdr:rowOff>
                  </from>
                  <to>
                    <xdr:col>1</xdr:col>
                    <xdr:colOff>984250</xdr:colOff>
                    <xdr:row>90</xdr:row>
                    <xdr:rowOff>190500</xdr:rowOff>
                  </to>
                </anchor>
              </controlPr>
            </control>
          </mc:Choice>
        </mc:AlternateContent>
        <mc:AlternateContent xmlns:mc="http://schemas.openxmlformats.org/markup-compatibility/2006">
          <mc:Choice Requires="x14">
            <control shapeId="159830" r:id="rId88" name="Option Button 86">
              <controlPr defaultSize="0" autoFill="0" autoLine="0" autoPict="0">
                <anchor moveWithCells="1">
                  <from>
                    <xdr:col>1</xdr:col>
                    <xdr:colOff>438150</xdr:colOff>
                    <xdr:row>91</xdr:row>
                    <xdr:rowOff>38100</xdr:rowOff>
                  </from>
                  <to>
                    <xdr:col>1</xdr:col>
                    <xdr:colOff>984250</xdr:colOff>
                    <xdr:row>91</xdr:row>
                    <xdr:rowOff>190500</xdr:rowOff>
                  </to>
                </anchor>
              </controlPr>
            </control>
          </mc:Choice>
        </mc:AlternateContent>
        <mc:AlternateContent xmlns:mc="http://schemas.openxmlformats.org/markup-compatibility/2006">
          <mc:Choice Requires="x14">
            <control shapeId="159831" r:id="rId89" name="Option Button 87">
              <controlPr defaultSize="0" autoFill="0" autoLine="0" autoPict="0">
                <anchor moveWithCells="1">
                  <from>
                    <xdr:col>1</xdr:col>
                    <xdr:colOff>438150</xdr:colOff>
                    <xdr:row>92</xdr:row>
                    <xdr:rowOff>38100</xdr:rowOff>
                  </from>
                  <to>
                    <xdr:col>1</xdr:col>
                    <xdr:colOff>984250</xdr:colOff>
                    <xdr:row>92</xdr:row>
                    <xdr:rowOff>190500</xdr:rowOff>
                  </to>
                </anchor>
              </controlPr>
            </control>
          </mc:Choice>
        </mc:AlternateContent>
        <mc:AlternateContent xmlns:mc="http://schemas.openxmlformats.org/markup-compatibility/2006">
          <mc:Choice Requires="x14">
            <control shapeId="159832" r:id="rId90" name="Option Button 88">
              <controlPr defaultSize="0" autoFill="0" autoLine="0" autoPict="0">
                <anchor moveWithCells="1">
                  <from>
                    <xdr:col>1</xdr:col>
                    <xdr:colOff>438150</xdr:colOff>
                    <xdr:row>93</xdr:row>
                    <xdr:rowOff>38100</xdr:rowOff>
                  </from>
                  <to>
                    <xdr:col>1</xdr:col>
                    <xdr:colOff>984250</xdr:colOff>
                    <xdr:row>93</xdr:row>
                    <xdr:rowOff>190500</xdr:rowOff>
                  </to>
                </anchor>
              </controlPr>
            </control>
          </mc:Choice>
        </mc:AlternateContent>
        <mc:AlternateContent xmlns:mc="http://schemas.openxmlformats.org/markup-compatibility/2006">
          <mc:Choice Requires="x14">
            <control shapeId="159833" r:id="rId91" name="Option Button 89">
              <controlPr defaultSize="0" autoFill="0" autoLine="0" autoPict="0">
                <anchor moveWithCells="1">
                  <from>
                    <xdr:col>1</xdr:col>
                    <xdr:colOff>438150</xdr:colOff>
                    <xdr:row>94</xdr:row>
                    <xdr:rowOff>38100</xdr:rowOff>
                  </from>
                  <to>
                    <xdr:col>1</xdr:col>
                    <xdr:colOff>984250</xdr:colOff>
                    <xdr:row>94</xdr:row>
                    <xdr:rowOff>190500</xdr:rowOff>
                  </to>
                </anchor>
              </controlPr>
            </control>
          </mc:Choice>
        </mc:AlternateContent>
        <mc:AlternateContent xmlns:mc="http://schemas.openxmlformats.org/markup-compatibility/2006">
          <mc:Choice Requires="x14">
            <control shapeId="159834" r:id="rId92" name="Option Button 90">
              <controlPr defaultSize="0" autoFill="0" autoLine="0" autoPict="0">
                <anchor moveWithCells="1">
                  <from>
                    <xdr:col>1</xdr:col>
                    <xdr:colOff>438150</xdr:colOff>
                    <xdr:row>95</xdr:row>
                    <xdr:rowOff>38100</xdr:rowOff>
                  </from>
                  <to>
                    <xdr:col>1</xdr:col>
                    <xdr:colOff>984250</xdr:colOff>
                    <xdr:row>95</xdr:row>
                    <xdr:rowOff>190500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H117"/>
  <sheetViews>
    <sheetView zoomScale="85" zoomScaleNormal="85" workbookViewId="0">
      <pane ySplit="6" topLeftCell="A7" activePane="bottomLeft" state="frozen"/>
      <selection activeCell="L31" sqref="L31"/>
      <selection pane="bottomLeft"/>
    </sheetView>
  </sheetViews>
  <sheetFormatPr defaultRowHeight="15"/>
  <cols>
    <col min="1" max="1" width="3.36328125" style="502" customWidth="1"/>
    <col min="2" max="2" width="14" style="502" bestFit="1" customWidth="1"/>
    <col min="3" max="3" width="52.6328125" style="502" customWidth="1"/>
    <col min="4" max="4" width="58.7265625" style="502" customWidth="1"/>
    <col min="5" max="5" width="45.6328125" style="502" hidden="1" customWidth="1"/>
    <col min="6" max="6" width="8.7265625" style="502" hidden="1" customWidth="1"/>
    <col min="7" max="7" width="12.6328125" style="502" hidden="1" customWidth="1"/>
    <col min="8" max="8" width="12.6328125" style="503" hidden="1" customWidth="1"/>
    <col min="9" max="256" width="9" style="502"/>
    <col min="257" max="257" width="9.08984375" style="502" customWidth="1"/>
    <col min="258" max="258" width="9.453125" style="502" bestFit="1" customWidth="1"/>
    <col min="259" max="259" width="21.6328125" style="502" customWidth="1"/>
    <col min="260" max="260" width="57.36328125" style="502" customWidth="1"/>
    <col min="261" max="261" width="73.453125" style="502" customWidth="1"/>
    <col min="262" max="262" width="70.6328125" style="502" bestFit="1" customWidth="1"/>
    <col min="263" max="512" width="9" style="502"/>
    <col min="513" max="513" width="9.08984375" style="502" customWidth="1"/>
    <col min="514" max="514" width="9.453125" style="502" bestFit="1" customWidth="1"/>
    <col min="515" max="515" width="21.6328125" style="502" customWidth="1"/>
    <col min="516" max="516" width="57.36328125" style="502" customWidth="1"/>
    <col min="517" max="517" width="73.453125" style="502" customWidth="1"/>
    <col min="518" max="518" width="70.6328125" style="502" bestFit="1" customWidth="1"/>
    <col min="519" max="768" width="9" style="502"/>
    <col min="769" max="769" width="9.08984375" style="502" customWidth="1"/>
    <col min="770" max="770" width="9.453125" style="502" bestFit="1" customWidth="1"/>
    <col min="771" max="771" width="21.6328125" style="502" customWidth="1"/>
    <col min="772" max="772" width="57.36328125" style="502" customWidth="1"/>
    <col min="773" max="773" width="73.453125" style="502" customWidth="1"/>
    <col min="774" max="774" width="70.6328125" style="502" bestFit="1" customWidth="1"/>
    <col min="775" max="1024" width="9" style="502"/>
    <col min="1025" max="1025" width="9.08984375" style="502" customWidth="1"/>
    <col min="1026" max="1026" width="9.453125" style="502" bestFit="1" customWidth="1"/>
    <col min="1027" max="1027" width="21.6328125" style="502" customWidth="1"/>
    <col min="1028" max="1028" width="57.36328125" style="502" customWidth="1"/>
    <col min="1029" max="1029" width="73.453125" style="502" customWidth="1"/>
    <col min="1030" max="1030" width="70.6328125" style="502" bestFit="1" customWidth="1"/>
    <col min="1031" max="1280" width="9" style="502"/>
    <col min="1281" max="1281" width="9.08984375" style="502" customWidth="1"/>
    <col min="1282" max="1282" width="9.453125" style="502" bestFit="1" customWidth="1"/>
    <col min="1283" max="1283" width="21.6328125" style="502" customWidth="1"/>
    <col min="1284" max="1284" width="57.36328125" style="502" customWidth="1"/>
    <col min="1285" max="1285" width="73.453125" style="502" customWidth="1"/>
    <col min="1286" max="1286" width="70.6328125" style="502" bestFit="1" customWidth="1"/>
    <col min="1287" max="1536" width="9" style="502"/>
    <col min="1537" max="1537" width="9.08984375" style="502" customWidth="1"/>
    <col min="1538" max="1538" width="9.453125" style="502" bestFit="1" customWidth="1"/>
    <col min="1539" max="1539" width="21.6328125" style="502" customWidth="1"/>
    <col min="1540" max="1540" width="57.36328125" style="502" customWidth="1"/>
    <col min="1541" max="1541" width="73.453125" style="502" customWidth="1"/>
    <col min="1542" max="1542" width="70.6328125" style="502" bestFit="1" customWidth="1"/>
    <col min="1543" max="1792" width="9" style="502"/>
    <col min="1793" max="1793" width="9.08984375" style="502" customWidth="1"/>
    <col min="1794" max="1794" width="9.453125" style="502" bestFit="1" customWidth="1"/>
    <col min="1795" max="1795" width="21.6328125" style="502" customWidth="1"/>
    <col min="1796" max="1796" width="57.36328125" style="502" customWidth="1"/>
    <col min="1797" max="1797" width="73.453125" style="502" customWidth="1"/>
    <col min="1798" max="1798" width="70.6328125" style="502" bestFit="1" customWidth="1"/>
    <col min="1799" max="2048" width="9" style="502"/>
    <col min="2049" max="2049" width="9.08984375" style="502" customWidth="1"/>
    <col min="2050" max="2050" width="9.453125" style="502" bestFit="1" customWidth="1"/>
    <col min="2051" max="2051" width="21.6328125" style="502" customWidth="1"/>
    <col min="2052" max="2052" width="57.36328125" style="502" customWidth="1"/>
    <col min="2053" max="2053" width="73.453125" style="502" customWidth="1"/>
    <col min="2054" max="2054" width="70.6328125" style="502" bestFit="1" customWidth="1"/>
    <col min="2055" max="2304" width="9" style="502"/>
    <col min="2305" max="2305" width="9.08984375" style="502" customWidth="1"/>
    <col min="2306" max="2306" width="9.453125" style="502" bestFit="1" customWidth="1"/>
    <col min="2307" max="2307" width="21.6328125" style="502" customWidth="1"/>
    <col min="2308" max="2308" width="57.36328125" style="502" customWidth="1"/>
    <col min="2309" max="2309" width="73.453125" style="502" customWidth="1"/>
    <col min="2310" max="2310" width="70.6328125" style="502" bestFit="1" customWidth="1"/>
    <col min="2311" max="2560" width="9" style="502"/>
    <col min="2561" max="2561" width="9.08984375" style="502" customWidth="1"/>
    <col min="2562" max="2562" width="9.453125" style="502" bestFit="1" customWidth="1"/>
    <col min="2563" max="2563" width="21.6328125" style="502" customWidth="1"/>
    <col min="2564" max="2564" width="57.36328125" style="502" customWidth="1"/>
    <col min="2565" max="2565" width="73.453125" style="502" customWidth="1"/>
    <col min="2566" max="2566" width="70.6328125" style="502" bestFit="1" customWidth="1"/>
    <col min="2567" max="2816" width="9" style="502"/>
    <col min="2817" max="2817" width="9.08984375" style="502" customWidth="1"/>
    <col min="2818" max="2818" width="9.453125" style="502" bestFit="1" customWidth="1"/>
    <col min="2819" max="2819" width="21.6328125" style="502" customWidth="1"/>
    <col min="2820" max="2820" width="57.36328125" style="502" customWidth="1"/>
    <col min="2821" max="2821" width="73.453125" style="502" customWidth="1"/>
    <col min="2822" max="2822" width="70.6328125" style="502" bestFit="1" customWidth="1"/>
    <col min="2823" max="3072" width="9" style="502"/>
    <col min="3073" max="3073" width="9.08984375" style="502" customWidth="1"/>
    <col min="3074" max="3074" width="9.453125" style="502" bestFit="1" customWidth="1"/>
    <col min="3075" max="3075" width="21.6328125" style="502" customWidth="1"/>
    <col min="3076" max="3076" width="57.36328125" style="502" customWidth="1"/>
    <col min="3077" max="3077" width="73.453125" style="502" customWidth="1"/>
    <col min="3078" max="3078" width="70.6328125" style="502" bestFit="1" customWidth="1"/>
    <col min="3079" max="3328" width="9" style="502"/>
    <col min="3329" max="3329" width="9.08984375" style="502" customWidth="1"/>
    <col min="3330" max="3330" width="9.453125" style="502" bestFit="1" customWidth="1"/>
    <col min="3331" max="3331" width="21.6328125" style="502" customWidth="1"/>
    <col min="3332" max="3332" width="57.36328125" style="502" customWidth="1"/>
    <col min="3333" max="3333" width="73.453125" style="502" customWidth="1"/>
    <col min="3334" max="3334" width="70.6328125" style="502" bestFit="1" customWidth="1"/>
    <col min="3335" max="3584" width="9" style="502"/>
    <col min="3585" max="3585" width="9.08984375" style="502" customWidth="1"/>
    <col min="3586" max="3586" width="9.453125" style="502" bestFit="1" customWidth="1"/>
    <col min="3587" max="3587" width="21.6328125" style="502" customWidth="1"/>
    <col min="3588" max="3588" width="57.36328125" style="502" customWidth="1"/>
    <col min="3589" max="3589" width="73.453125" style="502" customWidth="1"/>
    <col min="3590" max="3590" width="70.6328125" style="502" bestFit="1" customWidth="1"/>
    <col min="3591" max="3840" width="9" style="502"/>
    <col min="3841" max="3841" width="9.08984375" style="502" customWidth="1"/>
    <col min="3842" max="3842" width="9.453125" style="502" bestFit="1" customWidth="1"/>
    <col min="3843" max="3843" width="21.6328125" style="502" customWidth="1"/>
    <col min="3844" max="3844" width="57.36328125" style="502" customWidth="1"/>
    <col min="3845" max="3845" width="73.453125" style="502" customWidth="1"/>
    <col min="3846" max="3846" width="70.6328125" style="502" bestFit="1" customWidth="1"/>
    <col min="3847" max="4096" width="9" style="502"/>
    <col min="4097" max="4097" width="9.08984375" style="502" customWidth="1"/>
    <col min="4098" max="4098" width="9.453125" style="502" bestFit="1" customWidth="1"/>
    <col min="4099" max="4099" width="21.6328125" style="502" customWidth="1"/>
    <col min="4100" max="4100" width="57.36328125" style="502" customWidth="1"/>
    <col min="4101" max="4101" width="73.453125" style="502" customWidth="1"/>
    <col min="4102" max="4102" width="70.6328125" style="502" bestFit="1" customWidth="1"/>
    <col min="4103" max="4352" width="9" style="502"/>
    <col min="4353" max="4353" width="9.08984375" style="502" customWidth="1"/>
    <col min="4354" max="4354" width="9.453125" style="502" bestFit="1" customWidth="1"/>
    <col min="4355" max="4355" width="21.6328125" style="502" customWidth="1"/>
    <col min="4356" max="4356" width="57.36328125" style="502" customWidth="1"/>
    <col min="4357" max="4357" width="73.453125" style="502" customWidth="1"/>
    <col min="4358" max="4358" width="70.6328125" style="502" bestFit="1" customWidth="1"/>
    <col min="4359" max="4608" width="9" style="502"/>
    <col min="4609" max="4609" width="9.08984375" style="502" customWidth="1"/>
    <col min="4610" max="4610" width="9.453125" style="502" bestFit="1" customWidth="1"/>
    <col min="4611" max="4611" width="21.6328125" style="502" customWidth="1"/>
    <col min="4612" max="4612" width="57.36328125" style="502" customWidth="1"/>
    <col min="4613" max="4613" width="73.453125" style="502" customWidth="1"/>
    <col min="4614" max="4614" width="70.6328125" style="502" bestFit="1" customWidth="1"/>
    <col min="4615" max="4864" width="9" style="502"/>
    <col min="4865" max="4865" width="9.08984375" style="502" customWidth="1"/>
    <col min="4866" max="4866" width="9.453125" style="502" bestFit="1" customWidth="1"/>
    <col min="4867" max="4867" width="21.6328125" style="502" customWidth="1"/>
    <col min="4868" max="4868" width="57.36328125" style="502" customWidth="1"/>
    <col min="4869" max="4869" width="73.453125" style="502" customWidth="1"/>
    <col min="4870" max="4870" width="70.6328125" style="502" bestFit="1" customWidth="1"/>
    <col min="4871" max="5120" width="9" style="502"/>
    <col min="5121" max="5121" width="9.08984375" style="502" customWidth="1"/>
    <col min="5122" max="5122" width="9.453125" style="502" bestFit="1" customWidth="1"/>
    <col min="5123" max="5123" width="21.6328125" style="502" customWidth="1"/>
    <col min="5124" max="5124" width="57.36328125" style="502" customWidth="1"/>
    <col min="5125" max="5125" width="73.453125" style="502" customWidth="1"/>
    <col min="5126" max="5126" width="70.6328125" style="502" bestFit="1" customWidth="1"/>
    <col min="5127" max="5376" width="9" style="502"/>
    <col min="5377" max="5377" width="9.08984375" style="502" customWidth="1"/>
    <col min="5378" max="5378" width="9.453125" style="502" bestFit="1" customWidth="1"/>
    <col min="5379" max="5379" width="21.6328125" style="502" customWidth="1"/>
    <col min="5380" max="5380" width="57.36328125" style="502" customWidth="1"/>
    <col min="5381" max="5381" width="73.453125" style="502" customWidth="1"/>
    <col min="5382" max="5382" width="70.6328125" style="502" bestFit="1" customWidth="1"/>
    <col min="5383" max="5632" width="9" style="502"/>
    <col min="5633" max="5633" width="9.08984375" style="502" customWidth="1"/>
    <col min="5634" max="5634" width="9.453125" style="502" bestFit="1" customWidth="1"/>
    <col min="5635" max="5635" width="21.6328125" style="502" customWidth="1"/>
    <col min="5636" max="5636" width="57.36328125" style="502" customWidth="1"/>
    <col min="5637" max="5637" width="73.453125" style="502" customWidth="1"/>
    <col min="5638" max="5638" width="70.6328125" style="502" bestFit="1" customWidth="1"/>
    <col min="5639" max="5888" width="9" style="502"/>
    <col min="5889" max="5889" width="9.08984375" style="502" customWidth="1"/>
    <col min="5890" max="5890" width="9.453125" style="502" bestFit="1" customWidth="1"/>
    <col min="5891" max="5891" width="21.6328125" style="502" customWidth="1"/>
    <col min="5892" max="5892" width="57.36328125" style="502" customWidth="1"/>
    <col min="5893" max="5893" width="73.453125" style="502" customWidth="1"/>
    <col min="5894" max="5894" width="70.6328125" style="502" bestFit="1" customWidth="1"/>
    <col min="5895" max="6144" width="9" style="502"/>
    <col min="6145" max="6145" width="9.08984375" style="502" customWidth="1"/>
    <col min="6146" max="6146" width="9.453125" style="502" bestFit="1" customWidth="1"/>
    <col min="6147" max="6147" width="21.6328125" style="502" customWidth="1"/>
    <col min="6148" max="6148" width="57.36328125" style="502" customWidth="1"/>
    <col min="6149" max="6149" width="73.453125" style="502" customWidth="1"/>
    <col min="6150" max="6150" width="70.6328125" style="502" bestFit="1" customWidth="1"/>
    <col min="6151" max="6400" width="9" style="502"/>
    <col min="6401" max="6401" width="9.08984375" style="502" customWidth="1"/>
    <col min="6402" max="6402" width="9.453125" style="502" bestFit="1" customWidth="1"/>
    <col min="6403" max="6403" width="21.6328125" style="502" customWidth="1"/>
    <col min="6404" max="6404" width="57.36328125" style="502" customWidth="1"/>
    <col min="6405" max="6405" width="73.453125" style="502" customWidth="1"/>
    <col min="6406" max="6406" width="70.6328125" style="502" bestFit="1" customWidth="1"/>
    <col min="6407" max="6656" width="9" style="502"/>
    <col min="6657" max="6657" width="9.08984375" style="502" customWidth="1"/>
    <col min="6658" max="6658" width="9.453125" style="502" bestFit="1" customWidth="1"/>
    <col min="6659" max="6659" width="21.6328125" style="502" customWidth="1"/>
    <col min="6660" max="6660" width="57.36328125" style="502" customWidth="1"/>
    <col min="6661" max="6661" width="73.453125" style="502" customWidth="1"/>
    <col min="6662" max="6662" width="70.6328125" style="502" bestFit="1" customWidth="1"/>
    <col min="6663" max="6912" width="9" style="502"/>
    <col min="6913" max="6913" width="9.08984375" style="502" customWidth="1"/>
    <col min="6914" max="6914" width="9.453125" style="502" bestFit="1" customWidth="1"/>
    <col min="6915" max="6915" width="21.6328125" style="502" customWidth="1"/>
    <col min="6916" max="6916" width="57.36328125" style="502" customWidth="1"/>
    <col min="6917" max="6917" width="73.453125" style="502" customWidth="1"/>
    <col min="6918" max="6918" width="70.6328125" style="502" bestFit="1" customWidth="1"/>
    <col min="6919" max="7168" width="9" style="502"/>
    <col min="7169" max="7169" width="9.08984375" style="502" customWidth="1"/>
    <col min="7170" max="7170" width="9.453125" style="502" bestFit="1" customWidth="1"/>
    <col min="7171" max="7171" width="21.6328125" style="502" customWidth="1"/>
    <col min="7172" max="7172" width="57.36328125" style="502" customWidth="1"/>
    <col min="7173" max="7173" width="73.453125" style="502" customWidth="1"/>
    <col min="7174" max="7174" width="70.6328125" style="502" bestFit="1" customWidth="1"/>
    <col min="7175" max="7424" width="9" style="502"/>
    <col min="7425" max="7425" width="9.08984375" style="502" customWidth="1"/>
    <col min="7426" max="7426" width="9.453125" style="502" bestFit="1" customWidth="1"/>
    <col min="7427" max="7427" width="21.6328125" style="502" customWidth="1"/>
    <col min="7428" max="7428" width="57.36328125" style="502" customWidth="1"/>
    <col min="7429" max="7429" width="73.453125" style="502" customWidth="1"/>
    <col min="7430" max="7430" width="70.6328125" style="502" bestFit="1" customWidth="1"/>
    <col min="7431" max="7680" width="9" style="502"/>
    <col min="7681" max="7681" width="9.08984375" style="502" customWidth="1"/>
    <col min="7682" max="7682" width="9.453125" style="502" bestFit="1" customWidth="1"/>
    <col min="7683" max="7683" width="21.6328125" style="502" customWidth="1"/>
    <col min="7684" max="7684" width="57.36328125" style="502" customWidth="1"/>
    <col min="7685" max="7685" width="73.453125" style="502" customWidth="1"/>
    <col min="7686" max="7686" width="70.6328125" style="502" bestFit="1" customWidth="1"/>
    <col min="7687" max="7936" width="9" style="502"/>
    <col min="7937" max="7937" width="9.08984375" style="502" customWidth="1"/>
    <col min="7938" max="7938" width="9.453125" style="502" bestFit="1" customWidth="1"/>
    <col min="7939" max="7939" width="21.6328125" style="502" customWidth="1"/>
    <col min="7940" max="7940" width="57.36328125" style="502" customWidth="1"/>
    <col min="7941" max="7941" width="73.453125" style="502" customWidth="1"/>
    <col min="7942" max="7942" width="70.6328125" style="502" bestFit="1" customWidth="1"/>
    <col min="7943" max="8192" width="9" style="502"/>
    <col min="8193" max="8193" width="9.08984375" style="502" customWidth="1"/>
    <col min="8194" max="8194" width="9.453125" style="502" bestFit="1" customWidth="1"/>
    <col min="8195" max="8195" width="21.6328125" style="502" customWidth="1"/>
    <col min="8196" max="8196" width="57.36328125" style="502" customWidth="1"/>
    <col min="8197" max="8197" width="73.453125" style="502" customWidth="1"/>
    <col min="8198" max="8198" width="70.6328125" style="502" bestFit="1" customWidth="1"/>
    <col min="8199" max="8448" width="9" style="502"/>
    <col min="8449" max="8449" width="9.08984375" style="502" customWidth="1"/>
    <col min="8450" max="8450" width="9.453125" style="502" bestFit="1" customWidth="1"/>
    <col min="8451" max="8451" width="21.6328125" style="502" customWidth="1"/>
    <col min="8452" max="8452" width="57.36328125" style="502" customWidth="1"/>
    <col min="8453" max="8453" width="73.453125" style="502" customWidth="1"/>
    <col min="8454" max="8454" width="70.6328125" style="502" bestFit="1" customWidth="1"/>
    <col min="8455" max="8704" width="9" style="502"/>
    <col min="8705" max="8705" width="9.08984375" style="502" customWidth="1"/>
    <col min="8706" max="8706" width="9.453125" style="502" bestFit="1" customWidth="1"/>
    <col min="8707" max="8707" width="21.6328125" style="502" customWidth="1"/>
    <col min="8708" max="8708" width="57.36328125" style="502" customWidth="1"/>
    <col min="8709" max="8709" width="73.453125" style="502" customWidth="1"/>
    <col min="8710" max="8710" width="70.6328125" style="502" bestFit="1" customWidth="1"/>
    <col min="8711" max="8960" width="9" style="502"/>
    <col min="8961" max="8961" width="9.08984375" style="502" customWidth="1"/>
    <col min="8962" max="8962" width="9.453125" style="502" bestFit="1" customWidth="1"/>
    <col min="8963" max="8963" width="21.6328125" style="502" customWidth="1"/>
    <col min="8964" max="8964" width="57.36328125" style="502" customWidth="1"/>
    <col min="8965" max="8965" width="73.453125" style="502" customWidth="1"/>
    <col min="8966" max="8966" width="70.6328125" style="502" bestFit="1" customWidth="1"/>
    <col min="8967" max="9216" width="9" style="502"/>
    <col min="9217" max="9217" width="9.08984375" style="502" customWidth="1"/>
    <col min="9218" max="9218" width="9.453125" style="502" bestFit="1" customWidth="1"/>
    <col min="9219" max="9219" width="21.6328125" style="502" customWidth="1"/>
    <col min="9220" max="9220" width="57.36328125" style="502" customWidth="1"/>
    <col min="9221" max="9221" width="73.453125" style="502" customWidth="1"/>
    <col min="9222" max="9222" width="70.6328125" style="502" bestFit="1" customWidth="1"/>
    <col min="9223" max="9472" width="9" style="502"/>
    <col min="9473" max="9473" width="9.08984375" style="502" customWidth="1"/>
    <col min="9474" max="9474" width="9.453125" style="502" bestFit="1" customWidth="1"/>
    <col min="9475" max="9475" width="21.6328125" style="502" customWidth="1"/>
    <col min="9476" max="9476" width="57.36328125" style="502" customWidth="1"/>
    <col min="9477" max="9477" width="73.453125" style="502" customWidth="1"/>
    <col min="9478" max="9478" width="70.6328125" style="502" bestFit="1" customWidth="1"/>
    <col min="9479" max="9728" width="9" style="502"/>
    <col min="9729" max="9729" width="9.08984375" style="502" customWidth="1"/>
    <col min="9730" max="9730" width="9.453125" style="502" bestFit="1" customWidth="1"/>
    <col min="9731" max="9731" width="21.6328125" style="502" customWidth="1"/>
    <col min="9732" max="9732" width="57.36328125" style="502" customWidth="1"/>
    <col min="9733" max="9733" width="73.453125" style="502" customWidth="1"/>
    <col min="9734" max="9734" width="70.6328125" style="502" bestFit="1" customWidth="1"/>
    <col min="9735" max="9984" width="9" style="502"/>
    <col min="9985" max="9985" width="9.08984375" style="502" customWidth="1"/>
    <col min="9986" max="9986" width="9.453125" style="502" bestFit="1" customWidth="1"/>
    <col min="9987" max="9987" width="21.6328125" style="502" customWidth="1"/>
    <col min="9988" max="9988" width="57.36328125" style="502" customWidth="1"/>
    <col min="9989" max="9989" width="73.453125" style="502" customWidth="1"/>
    <col min="9990" max="9990" width="70.6328125" style="502" bestFit="1" customWidth="1"/>
    <col min="9991" max="10240" width="9" style="502"/>
    <col min="10241" max="10241" width="9.08984375" style="502" customWidth="1"/>
    <col min="10242" max="10242" width="9.453125" style="502" bestFit="1" customWidth="1"/>
    <col min="10243" max="10243" width="21.6328125" style="502" customWidth="1"/>
    <col min="10244" max="10244" width="57.36328125" style="502" customWidth="1"/>
    <col min="10245" max="10245" width="73.453125" style="502" customWidth="1"/>
    <col min="10246" max="10246" width="70.6328125" style="502" bestFit="1" customWidth="1"/>
    <col min="10247" max="10496" width="9" style="502"/>
    <col min="10497" max="10497" width="9.08984375" style="502" customWidth="1"/>
    <col min="10498" max="10498" width="9.453125" style="502" bestFit="1" customWidth="1"/>
    <col min="10499" max="10499" width="21.6328125" style="502" customWidth="1"/>
    <col min="10500" max="10500" width="57.36328125" style="502" customWidth="1"/>
    <col min="10501" max="10501" width="73.453125" style="502" customWidth="1"/>
    <col min="10502" max="10502" width="70.6328125" style="502" bestFit="1" customWidth="1"/>
    <col min="10503" max="10752" width="9" style="502"/>
    <col min="10753" max="10753" width="9.08984375" style="502" customWidth="1"/>
    <col min="10754" max="10754" width="9.453125" style="502" bestFit="1" customWidth="1"/>
    <col min="10755" max="10755" width="21.6328125" style="502" customWidth="1"/>
    <col min="10756" max="10756" width="57.36328125" style="502" customWidth="1"/>
    <col min="10757" max="10757" width="73.453125" style="502" customWidth="1"/>
    <col min="10758" max="10758" width="70.6328125" style="502" bestFit="1" customWidth="1"/>
    <col min="10759" max="11008" width="9" style="502"/>
    <col min="11009" max="11009" width="9.08984375" style="502" customWidth="1"/>
    <col min="11010" max="11010" width="9.453125" style="502" bestFit="1" customWidth="1"/>
    <col min="11011" max="11011" width="21.6328125" style="502" customWidth="1"/>
    <col min="11012" max="11012" width="57.36328125" style="502" customWidth="1"/>
    <col min="11013" max="11013" width="73.453125" style="502" customWidth="1"/>
    <col min="11014" max="11014" width="70.6328125" style="502" bestFit="1" customWidth="1"/>
    <col min="11015" max="11264" width="9" style="502"/>
    <col min="11265" max="11265" width="9.08984375" style="502" customWidth="1"/>
    <col min="11266" max="11266" width="9.453125" style="502" bestFit="1" customWidth="1"/>
    <col min="11267" max="11267" width="21.6328125" style="502" customWidth="1"/>
    <col min="11268" max="11268" width="57.36328125" style="502" customWidth="1"/>
    <col min="11269" max="11269" width="73.453125" style="502" customWidth="1"/>
    <col min="11270" max="11270" width="70.6328125" style="502" bestFit="1" customWidth="1"/>
    <col min="11271" max="11520" width="9" style="502"/>
    <col min="11521" max="11521" width="9.08984375" style="502" customWidth="1"/>
    <col min="11522" max="11522" width="9.453125" style="502" bestFit="1" customWidth="1"/>
    <col min="11523" max="11523" width="21.6328125" style="502" customWidth="1"/>
    <col min="11524" max="11524" width="57.36328125" style="502" customWidth="1"/>
    <col min="11525" max="11525" width="73.453125" style="502" customWidth="1"/>
    <col min="11526" max="11526" width="70.6328125" style="502" bestFit="1" customWidth="1"/>
    <col min="11527" max="11776" width="9" style="502"/>
    <col min="11777" max="11777" width="9.08984375" style="502" customWidth="1"/>
    <col min="11778" max="11778" width="9.453125" style="502" bestFit="1" customWidth="1"/>
    <col min="11779" max="11779" width="21.6328125" style="502" customWidth="1"/>
    <col min="11780" max="11780" width="57.36328125" style="502" customWidth="1"/>
    <col min="11781" max="11781" width="73.453125" style="502" customWidth="1"/>
    <col min="11782" max="11782" width="70.6328125" style="502" bestFit="1" customWidth="1"/>
    <col min="11783" max="12032" width="9" style="502"/>
    <col min="12033" max="12033" width="9.08984375" style="502" customWidth="1"/>
    <col min="12034" max="12034" width="9.453125" style="502" bestFit="1" customWidth="1"/>
    <col min="12035" max="12035" width="21.6328125" style="502" customWidth="1"/>
    <col min="12036" max="12036" width="57.36328125" style="502" customWidth="1"/>
    <col min="12037" max="12037" width="73.453125" style="502" customWidth="1"/>
    <col min="12038" max="12038" width="70.6328125" style="502" bestFit="1" customWidth="1"/>
    <col min="12039" max="12288" width="9" style="502"/>
    <col min="12289" max="12289" width="9.08984375" style="502" customWidth="1"/>
    <col min="12290" max="12290" width="9.453125" style="502" bestFit="1" customWidth="1"/>
    <col min="12291" max="12291" width="21.6328125" style="502" customWidth="1"/>
    <col min="12292" max="12292" width="57.36328125" style="502" customWidth="1"/>
    <col min="12293" max="12293" width="73.453125" style="502" customWidth="1"/>
    <col min="12294" max="12294" width="70.6328125" style="502" bestFit="1" customWidth="1"/>
    <col min="12295" max="12544" width="9" style="502"/>
    <col min="12545" max="12545" width="9.08984375" style="502" customWidth="1"/>
    <col min="12546" max="12546" width="9.453125" style="502" bestFit="1" customWidth="1"/>
    <col min="12547" max="12547" width="21.6328125" style="502" customWidth="1"/>
    <col min="12548" max="12548" width="57.36328125" style="502" customWidth="1"/>
    <col min="12549" max="12549" width="73.453125" style="502" customWidth="1"/>
    <col min="12550" max="12550" width="70.6328125" style="502" bestFit="1" customWidth="1"/>
    <col min="12551" max="12800" width="9" style="502"/>
    <col min="12801" max="12801" width="9.08984375" style="502" customWidth="1"/>
    <col min="12802" max="12802" width="9.453125" style="502" bestFit="1" customWidth="1"/>
    <col min="12803" max="12803" width="21.6328125" style="502" customWidth="1"/>
    <col min="12804" max="12804" width="57.36328125" style="502" customWidth="1"/>
    <col min="12805" max="12805" width="73.453125" style="502" customWidth="1"/>
    <col min="12806" max="12806" width="70.6328125" style="502" bestFit="1" customWidth="1"/>
    <col min="12807" max="13056" width="9" style="502"/>
    <col min="13057" max="13057" width="9.08984375" style="502" customWidth="1"/>
    <col min="13058" max="13058" width="9.453125" style="502" bestFit="1" customWidth="1"/>
    <col min="13059" max="13059" width="21.6328125" style="502" customWidth="1"/>
    <col min="13060" max="13060" width="57.36328125" style="502" customWidth="1"/>
    <col min="13061" max="13061" width="73.453125" style="502" customWidth="1"/>
    <col min="13062" max="13062" width="70.6328125" style="502" bestFit="1" customWidth="1"/>
    <col min="13063" max="13312" width="9" style="502"/>
    <col min="13313" max="13313" width="9.08984375" style="502" customWidth="1"/>
    <col min="13314" max="13314" width="9.453125" style="502" bestFit="1" customWidth="1"/>
    <col min="13315" max="13315" width="21.6328125" style="502" customWidth="1"/>
    <col min="13316" max="13316" width="57.36328125" style="502" customWidth="1"/>
    <col min="13317" max="13317" width="73.453125" style="502" customWidth="1"/>
    <col min="13318" max="13318" width="70.6328125" style="502" bestFit="1" customWidth="1"/>
    <col min="13319" max="13568" width="9" style="502"/>
    <col min="13569" max="13569" width="9.08984375" style="502" customWidth="1"/>
    <col min="13570" max="13570" width="9.453125" style="502" bestFit="1" customWidth="1"/>
    <col min="13571" max="13571" width="21.6328125" style="502" customWidth="1"/>
    <col min="13572" max="13572" width="57.36328125" style="502" customWidth="1"/>
    <col min="13573" max="13573" width="73.453125" style="502" customWidth="1"/>
    <col min="13574" max="13574" width="70.6328125" style="502" bestFit="1" customWidth="1"/>
    <col min="13575" max="13824" width="9" style="502"/>
    <col min="13825" max="13825" width="9.08984375" style="502" customWidth="1"/>
    <col min="13826" max="13826" width="9.453125" style="502" bestFit="1" customWidth="1"/>
    <col min="13827" max="13827" width="21.6328125" style="502" customWidth="1"/>
    <col min="13828" max="13828" width="57.36328125" style="502" customWidth="1"/>
    <col min="13829" max="13829" width="73.453125" style="502" customWidth="1"/>
    <col min="13830" max="13830" width="70.6328125" style="502" bestFit="1" customWidth="1"/>
    <col min="13831" max="14080" width="9" style="502"/>
    <col min="14081" max="14081" width="9.08984375" style="502" customWidth="1"/>
    <col min="14082" max="14082" width="9.453125" style="502" bestFit="1" customWidth="1"/>
    <col min="14083" max="14083" width="21.6328125" style="502" customWidth="1"/>
    <col min="14084" max="14084" width="57.36328125" style="502" customWidth="1"/>
    <col min="14085" max="14085" width="73.453125" style="502" customWidth="1"/>
    <col min="14086" max="14086" width="70.6328125" style="502" bestFit="1" customWidth="1"/>
    <col min="14087" max="14336" width="9" style="502"/>
    <col min="14337" max="14337" width="9.08984375" style="502" customWidth="1"/>
    <col min="14338" max="14338" width="9.453125" style="502" bestFit="1" customWidth="1"/>
    <col min="14339" max="14339" width="21.6328125" style="502" customWidth="1"/>
    <col min="14340" max="14340" width="57.36328125" style="502" customWidth="1"/>
    <col min="14341" max="14341" width="73.453125" style="502" customWidth="1"/>
    <col min="14342" max="14342" width="70.6328125" style="502" bestFit="1" customWidth="1"/>
    <col min="14343" max="14592" width="9" style="502"/>
    <col min="14593" max="14593" width="9.08984375" style="502" customWidth="1"/>
    <col min="14594" max="14594" width="9.453125" style="502" bestFit="1" customWidth="1"/>
    <col min="14595" max="14595" width="21.6328125" style="502" customWidth="1"/>
    <col min="14596" max="14596" width="57.36328125" style="502" customWidth="1"/>
    <col min="14597" max="14597" width="73.453125" style="502" customWidth="1"/>
    <col min="14598" max="14598" width="70.6328125" style="502" bestFit="1" customWidth="1"/>
    <col min="14599" max="14848" width="9" style="502"/>
    <col min="14849" max="14849" width="9.08984375" style="502" customWidth="1"/>
    <col min="14850" max="14850" width="9.453125" style="502" bestFit="1" customWidth="1"/>
    <col min="14851" max="14851" width="21.6328125" style="502" customWidth="1"/>
    <col min="14852" max="14852" width="57.36328125" style="502" customWidth="1"/>
    <col min="14853" max="14853" width="73.453125" style="502" customWidth="1"/>
    <col min="14854" max="14854" width="70.6328125" style="502" bestFit="1" customWidth="1"/>
    <col min="14855" max="15104" width="9" style="502"/>
    <col min="15105" max="15105" width="9.08984375" style="502" customWidth="1"/>
    <col min="15106" max="15106" width="9.453125" style="502" bestFit="1" customWidth="1"/>
    <col min="15107" max="15107" width="21.6328125" style="502" customWidth="1"/>
    <col min="15108" max="15108" width="57.36328125" style="502" customWidth="1"/>
    <col min="15109" max="15109" width="73.453125" style="502" customWidth="1"/>
    <col min="15110" max="15110" width="70.6328125" style="502" bestFit="1" customWidth="1"/>
    <col min="15111" max="15360" width="9" style="502"/>
    <col min="15361" max="15361" width="9.08984375" style="502" customWidth="1"/>
    <col min="15362" max="15362" width="9.453125" style="502" bestFit="1" customWidth="1"/>
    <col min="15363" max="15363" width="21.6328125" style="502" customWidth="1"/>
    <col min="15364" max="15364" width="57.36328125" style="502" customWidth="1"/>
    <col min="15365" max="15365" width="73.453125" style="502" customWidth="1"/>
    <col min="15366" max="15366" width="70.6328125" style="502" bestFit="1" customWidth="1"/>
    <col min="15367" max="15616" width="9" style="502"/>
    <col min="15617" max="15617" width="9.08984375" style="502" customWidth="1"/>
    <col min="15618" max="15618" width="9.453125" style="502" bestFit="1" customWidth="1"/>
    <col min="15619" max="15619" width="21.6328125" style="502" customWidth="1"/>
    <col min="15620" max="15620" width="57.36328125" style="502" customWidth="1"/>
    <col min="15621" max="15621" width="73.453125" style="502" customWidth="1"/>
    <col min="15622" max="15622" width="70.6328125" style="502" bestFit="1" customWidth="1"/>
    <col min="15623" max="15872" width="9" style="502"/>
    <col min="15873" max="15873" width="9.08984375" style="502" customWidth="1"/>
    <col min="15874" max="15874" width="9.453125" style="502" bestFit="1" customWidth="1"/>
    <col min="15875" max="15875" width="21.6328125" style="502" customWidth="1"/>
    <col min="15876" max="15876" width="57.36328125" style="502" customWidth="1"/>
    <col min="15877" max="15877" width="73.453125" style="502" customWidth="1"/>
    <col min="15878" max="15878" width="70.6328125" style="502" bestFit="1" customWidth="1"/>
    <col min="15879" max="16128" width="9" style="502"/>
    <col min="16129" max="16129" width="9.08984375" style="502" customWidth="1"/>
    <col min="16130" max="16130" width="9.453125" style="502" bestFit="1" customWidth="1"/>
    <col min="16131" max="16131" width="21.6328125" style="502" customWidth="1"/>
    <col min="16132" max="16132" width="57.36328125" style="502" customWidth="1"/>
    <col min="16133" max="16133" width="73.453125" style="502" customWidth="1"/>
    <col min="16134" max="16134" width="70.6328125" style="502" bestFit="1" customWidth="1"/>
    <col min="16135" max="16384" width="9" style="502"/>
  </cols>
  <sheetData>
    <row r="1" spans="1:8">
      <c r="E1" s="583" t="s">
        <v>1073</v>
      </c>
      <c r="F1" s="583" t="s">
        <v>1073</v>
      </c>
      <c r="G1" s="583" t="s">
        <v>1073</v>
      </c>
      <c r="H1" s="584" t="s">
        <v>1073</v>
      </c>
    </row>
    <row r="2" spans="1:8" ht="26.5">
      <c r="B2" s="528" t="s">
        <v>1886</v>
      </c>
    </row>
    <row r="4" spans="1:8">
      <c r="B4" s="527" t="s">
        <v>1885</v>
      </c>
      <c r="C4" s="529" t="str">
        <f ca="1">IF(G5=0,"該当する業種を一覧の中からご選択ください。",OFFSET(C6,G5,0))</f>
        <v>飲食業 スナック　ｸﾗﾌﾞ　ｷｬﾊﾞﾚー</v>
      </c>
      <c r="D4" s="532" t="str">
        <f ca="1">IF(H5=1,"チェックシートのご入力が必要です。","")</f>
        <v>チェックシートのご入力が必要です。</v>
      </c>
      <c r="G4" s="525" t="str">
        <f ca="1">IF(G5=0,0,OFFSET(G6,G5,0))</f>
        <v>00000015</v>
      </c>
      <c r="H4" s="531">
        <f>【楽天Edy用記入シート】チェックシート!J3</f>
        <v>25</v>
      </c>
    </row>
    <row r="5" spans="1:8">
      <c r="G5" s="526">
        <v>7</v>
      </c>
      <c r="H5" s="533">
        <f ca="1">IF(G5=0,"",IF(VLOOKUP(G4,G7:H117,2,FALSE)="必要",1,0))</f>
        <v>1</v>
      </c>
    </row>
    <row r="6" spans="1:8" ht="30">
      <c r="B6" s="524" t="s">
        <v>1884</v>
      </c>
      <c r="C6" s="507" t="s">
        <v>888</v>
      </c>
      <c r="D6" s="507" t="s">
        <v>1460</v>
      </c>
      <c r="E6" s="507" t="s">
        <v>1461</v>
      </c>
      <c r="F6" s="504" t="s">
        <v>1458</v>
      </c>
      <c r="G6" s="505" t="s">
        <v>1459</v>
      </c>
      <c r="H6" s="506" t="s">
        <v>1882</v>
      </c>
    </row>
    <row r="7" spans="1:8" ht="16">
      <c r="A7" s="582"/>
      <c r="B7" s="523"/>
      <c r="C7" s="513" t="s">
        <v>1465</v>
      </c>
      <c r="D7" s="513" t="s">
        <v>1466</v>
      </c>
      <c r="E7" s="513" t="s">
        <v>1880</v>
      </c>
      <c r="F7" s="502" t="s">
        <v>1879</v>
      </c>
      <c r="G7" s="508" t="s">
        <v>1463</v>
      </c>
      <c r="H7" s="517"/>
    </row>
    <row r="8" spans="1:8" ht="16">
      <c r="A8" s="582"/>
      <c r="B8" s="523"/>
      <c r="C8" s="513" t="s">
        <v>1468</v>
      </c>
      <c r="D8" s="513" t="s">
        <v>1469</v>
      </c>
      <c r="E8" s="513" t="s">
        <v>1470</v>
      </c>
      <c r="F8" s="502" t="s">
        <v>1462</v>
      </c>
      <c r="G8" s="509" t="s">
        <v>1467</v>
      </c>
      <c r="H8" s="517"/>
    </row>
    <row r="9" spans="1:8" ht="16">
      <c r="A9" s="582"/>
      <c r="B9" s="523"/>
      <c r="C9" s="513" t="s">
        <v>1472</v>
      </c>
      <c r="D9" s="513" t="s">
        <v>1473</v>
      </c>
      <c r="E9" s="513" t="s">
        <v>1474</v>
      </c>
      <c r="F9" s="502" t="s">
        <v>1462</v>
      </c>
      <c r="G9" s="509" t="s">
        <v>1471</v>
      </c>
      <c r="H9" s="517" t="s">
        <v>1464</v>
      </c>
    </row>
    <row r="10" spans="1:8" ht="16">
      <c r="A10" s="582"/>
      <c r="B10" s="523"/>
      <c r="C10" s="513" t="s">
        <v>1476</v>
      </c>
      <c r="D10" s="513" t="s">
        <v>1477</v>
      </c>
      <c r="E10" s="513" t="s">
        <v>1470</v>
      </c>
      <c r="F10" s="502" t="s">
        <v>1462</v>
      </c>
      <c r="G10" s="509" t="s">
        <v>1475</v>
      </c>
      <c r="H10" s="517" t="s">
        <v>1464</v>
      </c>
    </row>
    <row r="11" spans="1:8" ht="16">
      <c r="A11" s="582"/>
      <c r="B11" s="523"/>
      <c r="C11" s="513" t="s">
        <v>1479</v>
      </c>
      <c r="D11" s="513" t="s">
        <v>1480</v>
      </c>
      <c r="E11" s="513" t="s">
        <v>1470</v>
      </c>
      <c r="F11" s="502" t="s">
        <v>1462</v>
      </c>
      <c r="G11" s="509" t="s">
        <v>1478</v>
      </c>
      <c r="H11" s="517" t="s">
        <v>1464</v>
      </c>
    </row>
    <row r="12" spans="1:8" ht="16">
      <c r="A12" s="582"/>
      <c r="B12" s="523"/>
      <c r="C12" s="513" t="s">
        <v>1482</v>
      </c>
      <c r="D12" s="513" t="s">
        <v>1483</v>
      </c>
      <c r="E12" s="513" t="s">
        <v>1484</v>
      </c>
      <c r="F12" s="502" t="s">
        <v>1462</v>
      </c>
      <c r="G12" s="509" t="s">
        <v>1481</v>
      </c>
      <c r="H12" s="517" t="s">
        <v>1464</v>
      </c>
    </row>
    <row r="13" spans="1:8" ht="16">
      <c r="A13" s="582"/>
      <c r="B13" s="523"/>
      <c r="C13" s="514" t="s">
        <v>3846</v>
      </c>
      <c r="D13" s="518" t="s">
        <v>1488</v>
      </c>
      <c r="E13" s="514" t="s">
        <v>1470</v>
      </c>
      <c r="F13" s="502" t="s">
        <v>1462</v>
      </c>
      <c r="G13" s="509" t="s">
        <v>1485</v>
      </c>
      <c r="H13" s="517" t="s">
        <v>1486</v>
      </c>
    </row>
    <row r="14" spans="1:8" ht="16">
      <c r="A14" s="582"/>
      <c r="B14" s="523"/>
      <c r="C14" s="514" t="s">
        <v>1490</v>
      </c>
      <c r="D14" s="514" t="s">
        <v>1491</v>
      </c>
      <c r="E14" s="514" t="s">
        <v>1492</v>
      </c>
      <c r="F14" s="502" t="s">
        <v>1462</v>
      </c>
      <c r="G14" s="509" t="s">
        <v>1489</v>
      </c>
      <c r="H14" s="517" t="s">
        <v>1890</v>
      </c>
    </row>
    <row r="15" spans="1:8" ht="16">
      <c r="A15" s="582"/>
      <c r="B15" s="523"/>
      <c r="C15" s="513" t="s">
        <v>1493</v>
      </c>
      <c r="D15" s="513" t="s">
        <v>1494</v>
      </c>
      <c r="E15" s="513" t="s">
        <v>1878</v>
      </c>
      <c r="F15" s="502" t="s">
        <v>1462</v>
      </c>
      <c r="G15" s="509" t="s">
        <v>1881</v>
      </c>
      <c r="H15" s="517" t="s">
        <v>1464</v>
      </c>
    </row>
    <row r="16" spans="1:8" ht="16">
      <c r="A16" s="582"/>
      <c r="B16" s="523"/>
      <c r="C16" s="513" t="s">
        <v>1495</v>
      </c>
      <c r="D16" s="513" t="s">
        <v>1496</v>
      </c>
      <c r="E16" s="513" t="s">
        <v>1497</v>
      </c>
      <c r="F16" s="502" t="s">
        <v>1462</v>
      </c>
      <c r="G16" s="510" t="s">
        <v>1877</v>
      </c>
      <c r="H16" s="517" t="s">
        <v>1464</v>
      </c>
    </row>
    <row r="17" spans="1:8" ht="16">
      <c r="A17" s="582"/>
      <c r="B17" s="523"/>
      <c r="C17" s="513" t="s">
        <v>1499</v>
      </c>
      <c r="D17" s="513" t="s">
        <v>1500</v>
      </c>
      <c r="E17" s="513" t="s">
        <v>1470</v>
      </c>
      <c r="F17" s="502" t="s">
        <v>1462</v>
      </c>
      <c r="G17" s="509" t="s">
        <v>1498</v>
      </c>
      <c r="H17" s="517" t="s">
        <v>1464</v>
      </c>
    </row>
    <row r="18" spans="1:8" ht="16">
      <c r="A18" s="582"/>
      <c r="B18" s="523"/>
      <c r="C18" s="513" t="s">
        <v>1502</v>
      </c>
      <c r="D18" s="513" t="s">
        <v>1503</v>
      </c>
      <c r="E18" s="513" t="s">
        <v>1504</v>
      </c>
      <c r="F18" s="502" t="s">
        <v>1462</v>
      </c>
      <c r="G18" s="509" t="s">
        <v>1501</v>
      </c>
      <c r="H18" s="517" t="s">
        <v>1464</v>
      </c>
    </row>
    <row r="19" spans="1:8" ht="16">
      <c r="A19" s="582"/>
      <c r="B19" s="523"/>
      <c r="C19" s="513" t="s">
        <v>1506</v>
      </c>
      <c r="D19" s="513" t="s">
        <v>1507</v>
      </c>
      <c r="E19" s="513" t="s">
        <v>1470</v>
      </c>
      <c r="F19" s="502" t="s">
        <v>1462</v>
      </c>
      <c r="G19" s="509" t="s">
        <v>1505</v>
      </c>
      <c r="H19" s="517" t="s">
        <v>1464</v>
      </c>
    </row>
    <row r="20" spans="1:8" ht="16">
      <c r="A20" s="582"/>
      <c r="B20" s="523"/>
      <c r="C20" s="513" t="s">
        <v>1509</v>
      </c>
      <c r="D20" s="513" t="s">
        <v>1510</v>
      </c>
      <c r="E20" s="513" t="s">
        <v>1511</v>
      </c>
      <c r="F20" s="502" t="s">
        <v>1462</v>
      </c>
      <c r="G20" s="509" t="s">
        <v>1508</v>
      </c>
      <c r="H20" s="517" t="s">
        <v>1464</v>
      </c>
    </row>
    <row r="21" spans="1:8" ht="16">
      <c r="A21" s="582"/>
      <c r="B21" s="523"/>
      <c r="C21" s="513" t="s">
        <v>1513</v>
      </c>
      <c r="D21" s="513" t="s">
        <v>1514</v>
      </c>
      <c r="E21" s="513" t="s">
        <v>1515</v>
      </c>
      <c r="F21" s="502" t="s">
        <v>1462</v>
      </c>
      <c r="G21" s="509" t="s">
        <v>1512</v>
      </c>
      <c r="H21" s="517" t="s">
        <v>1464</v>
      </c>
    </row>
    <row r="22" spans="1:8" ht="16">
      <c r="A22" s="582"/>
      <c r="B22" s="523"/>
      <c r="C22" s="513" t="s">
        <v>1517</v>
      </c>
      <c r="D22" s="513" t="s">
        <v>1518</v>
      </c>
      <c r="E22" s="513" t="s">
        <v>1519</v>
      </c>
      <c r="F22" s="502" t="s">
        <v>1462</v>
      </c>
      <c r="G22" s="509" t="s">
        <v>1516</v>
      </c>
      <c r="H22" s="517" t="s">
        <v>1464</v>
      </c>
    </row>
    <row r="23" spans="1:8" ht="16">
      <c r="A23" s="582"/>
      <c r="B23" s="523"/>
      <c r="C23" s="513" t="s">
        <v>1521</v>
      </c>
      <c r="D23" s="513" t="s">
        <v>1522</v>
      </c>
      <c r="E23" s="513" t="s">
        <v>1523</v>
      </c>
      <c r="F23" s="502" t="s">
        <v>1462</v>
      </c>
      <c r="G23" s="509" t="s">
        <v>1520</v>
      </c>
      <c r="H23" s="517" t="s">
        <v>1464</v>
      </c>
    </row>
    <row r="24" spans="1:8" ht="16">
      <c r="A24" s="582"/>
      <c r="B24" s="523"/>
      <c r="C24" s="513" t="s">
        <v>1525</v>
      </c>
      <c r="D24" s="513" t="s">
        <v>1526</v>
      </c>
      <c r="E24" s="513" t="s">
        <v>1527</v>
      </c>
      <c r="F24" s="502" t="s">
        <v>1462</v>
      </c>
      <c r="G24" s="509" t="s">
        <v>1524</v>
      </c>
      <c r="H24" s="517" t="s">
        <v>1464</v>
      </c>
    </row>
    <row r="25" spans="1:8" ht="16">
      <c r="A25" s="582"/>
      <c r="B25" s="523"/>
      <c r="C25" s="513" t="s">
        <v>1529</v>
      </c>
      <c r="D25" s="513" t="s">
        <v>1530</v>
      </c>
      <c r="E25" s="513" t="s">
        <v>1531</v>
      </c>
      <c r="F25" s="502" t="s">
        <v>1462</v>
      </c>
      <c r="G25" s="511" t="s">
        <v>1528</v>
      </c>
      <c r="H25" s="517" t="s">
        <v>1464</v>
      </c>
    </row>
    <row r="26" spans="1:8" ht="16">
      <c r="A26" s="582"/>
      <c r="B26" s="523"/>
      <c r="C26" s="513" t="s">
        <v>1533</v>
      </c>
      <c r="D26" s="513" t="s">
        <v>1534</v>
      </c>
      <c r="E26" s="513" t="s">
        <v>1535</v>
      </c>
      <c r="F26" s="502" t="s">
        <v>1462</v>
      </c>
      <c r="G26" s="509" t="s">
        <v>1532</v>
      </c>
      <c r="H26" s="517" t="s">
        <v>1464</v>
      </c>
    </row>
    <row r="27" spans="1:8" ht="16">
      <c r="A27" s="582"/>
      <c r="B27" s="523"/>
      <c r="C27" s="513" t="s">
        <v>1537</v>
      </c>
      <c r="D27" s="513" t="s">
        <v>1538</v>
      </c>
      <c r="E27" s="513" t="s">
        <v>1539</v>
      </c>
      <c r="F27" s="502" t="s">
        <v>1462</v>
      </c>
      <c r="G27" s="509" t="s">
        <v>1536</v>
      </c>
      <c r="H27" s="517" t="s">
        <v>1464</v>
      </c>
    </row>
    <row r="28" spans="1:8" ht="16">
      <c r="A28" s="582"/>
      <c r="B28" s="523"/>
      <c r="C28" s="513" t="s">
        <v>1541</v>
      </c>
      <c r="D28" s="513" t="s">
        <v>1542</v>
      </c>
      <c r="E28" s="513" t="s">
        <v>1543</v>
      </c>
      <c r="F28" s="502" t="s">
        <v>1462</v>
      </c>
      <c r="G28" s="509" t="s">
        <v>1540</v>
      </c>
      <c r="H28" s="517" t="s">
        <v>1464</v>
      </c>
    </row>
    <row r="29" spans="1:8" ht="16">
      <c r="A29" s="582"/>
      <c r="B29" s="523"/>
      <c r="C29" s="513" t="s">
        <v>1545</v>
      </c>
      <c r="D29" s="513" t="s">
        <v>1546</v>
      </c>
      <c r="E29" s="513" t="s">
        <v>1470</v>
      </c>
      <c r="F29" s="502" t="s">
        <v>1462</v>
      </c>
      <c r="G29" s="509" t="s">
        <v>1544</v>
      </c>
      <c r="H29" s="517" t="s">
        <v>1464</v>
      </c>
    </row>
    <row r="30" spans="1:8" ht="16">
      <c r="A30" s="582"/>
      <c r="B30" s="523"/>
      <c r="C30" s="513" t="s">
        <v>1548</v>
      </c>
      <c r="D30" s="513" t="s">
        <v>1549</v>
      </c>
      <c r="E30" s="513" t="s">
        <v>1550</v>
      </c>
      <c r="F30" s="502" t="s">
        <v>1462</v>
      </c>
      <c r="G30" s="509" t="s">
        <v>1547</v>
      </c>
      <c r="H30" s="517" t="s">
        <v>1464</v>
      </c>
    </row>
    <row r="31" spans="1:8" ht="16">
      <c r="A31" s="582"/>
      <c r="B31" s="523"/>
      <c r="C31" s="513" t="s">
        <v>1552</v>
      </c>
      <c r="D31" s="513" t="s">
        <v>1553</v>
      </c>
      <c r="E31" s="513" t="s">
        <v>1470</v>
      </c>
      <c r="F31" s="502" t="s">
        <v>1462</v>
      </c>
      <c r="G31" s="509" t="s">
        <v>1551</v>
      </c>
      <c r="H31" s="517" t="s">
        <v>1464</v>
      </c>
    </row>
    <row r="32" spans="1:8" ht="16">
      <c r="A32" s="582"/>
      <c r="B32" s="523"/>
      <c r="C32" s="513" t="s">
        <v>1555</v>
      </c>
      <c r="D32" s="513" t="s">
        <v>1556</v>
      </c>
      <c r="E32" s="513" t="s">
        <v>1557</v>
      </c>
      <c r="F32" s="502" t="s">
        <v>1462</v>
      </c>
      <c r="G32" s="509" t="s">
        <v>1554</v>
      </c>
      <c r="H32" s="517" t="s">
        <v>1464</v>
      </c>
    </row>
    <row r="33" spans="1:8" ht="16">
      <c r="A33" s="582"/>
      <c r="B33" s="523"/>
      <c r="C33" s="513" t="s">
        <v>1559</v>
      </c>
      <c r="D33" s="513" t="s">
        <v>1560</v>
      </c>
      <c r="E33" s="513" t="s">
        <v>1561</v>
      </c>
      <c r="F33" s="502" t="s">
        <v>1462</v>
      </c>
      <c r="G33" s="509" t="s">
        <v>1558</v>
      </c>
      <c r="H33" s="517" t="s">
        <v>1464</v>
      </c>
    </row>
    <row r="34" spans="1:8" ht="16">
      <c r="A34" s="582"/>
      <c r="B34" s="523"/>
      <c r="C34" s="513" t="s">
        <v>1563</v>
      </c>
      <c r="D34" s="513" t="s">
        <v>1564</v>
      </c>
      <c r="E34" s="513" t="s">
        <v>1565</v>
      </c>
      <c r="F34" s="502" t="s">
        <v>1462</v>
      </c>
      <c r="G34" s="509" t="s">
        <v>1562</v>
      </c>
      <c r="H34" s="517" t="s">
        <v>1464</v>
      </c>
    </row>
    <row r="35" spans="1:8" ht="16">
      <c r="A35" s="582"/>
      <c r="B35" s="523"/>
      <c r="C35" s="514" t="s">
        <v>1567</v>
      </c>
      <c r="D35" s="514" t="s">
        <v>1568</v>
      </c>
      <c r="E35" s="520"/>
      <c r="F35" s="502" t="s">
        <v>1462</v>
      </c>
      <c r="G35" s="509" t="s">
        <v>1566</v>
      </c>
      <c r="H35" s="517" t="s">
        <v>1486</v>
      </c>
    </row>
    <row r="36" spans="1:8" ht="16">
      <c r="A36" s="582"/>
      <c r="B36" s="523"/>
      <c r="C36" s="513" t="s">
        <v>1570</v>
      </c>
      <c r="D36" s="519" t="s">
        <v>1571</v>
      </c>
      <c r="E36" s="513" t="s">
        <v>1470</v>
      </c>
      <c r="F36" s="502" t="s">
        <v>1462</v>
      </c>
      <c r="G36" s="509" t="s">
        <v>1569</v>
      </c>
      <c r="H36" s="517" t="s">
        <v>1464</v>
      </c>
    </row>
    <row r="37" spans="1:8" ht="16">
      <c r="A37" s="582"/>
      <c r="B37" s="523"/>
      <c r="C37" s="513" t="s">
        <v>1573</v>
      </c>
      <c r="D37" s="513" t="s">
        <v>1574</v>
      </c>
      <c r="E37" s="513" t="s">
        <v>1575</v>
      </c>
      <c r="F37" s="502" t="s">
        <v>1462</v>
      </c>
      <c r="G37" s="509" t="s">
        <v>1572</v>
      </c>
      <c r="H37" s="517" t="s">
        <v>1464</v>
      </c>
    </row>
    <row r="38" spans="1:8" ht="16">
      <c r="A38" s="582"/>
      <c r="B38" s="523"/>
      <c r="C38" s="514" t="s">
        <v>1577</v>
      </c>
      <c r="D38" s="514" t="s">
        <v>1578</v>
      </c>
      <c r="E38" s="514" t="s">
        <v>1470</v>
      </c>
      <c r="F38" s="502" t="s">
        <v>1462</v>
      </c>
      <c r="G38" s="509" t="s">
        <v>1576</v>
      </c>
      <c r="H38" s="517" t="s">
        <v>1486</v>
      </c>
    </row>
    <row r="39" spans="1:8" ht="16">
      <c r="A39" s="582"/>
      <c r="B39" s="523"/>
      <c r="C39" s="513" t="s">
        <v>1580</v>
      </c>
      <c r="D39" s="513" t="s">
        <v>1581</v>
      </c>
      <c r="E39" s="513" t="s">
        <v>1470</v>
      </c>
      <c r="F39" s="502" t="s">
        <v>1462</v>
      </c>
      <c r="G39" s="509" t="s">
        <v>1579</v>
      </c>
      <c r="H39" s="517" t="s">
        <v>1464</v>
      </c>
    </row>
    <row r="40" spans="1:8" ht="16">
      <c r="A40" s="582"/>
      <c r="B40" s="523"/>
      <c r="C40" s="513" t="s">
        <v>1583</v>
      </c>
      <c r="D40" s="513" t="s">
        <v>1584</v>
      </c>
      <c r="E40" s="513" t="s">
        <v>1585</v>
      </c>
      <c r="F40" s="502" t="s">
        <v>1462</v>
      </c>
      <c r="G40" s="509" t="s">
        <v>1582</v>
      </c>
      <c r="H40" s="517" t="s">
        <v>1464</v>
      </c>
    </row>
    <row r="41" spans="1:8" ht="16">
      <c r="A41" s="582"/>
      <c r="B41" s="523"/>
      <c r="C41" s="513" t="s">
        <v>1587</v>
      </c>
      <c r="D41" s="513" t="s">
        <v>1588</v>
      </c>
      <c r="E41" s="513" t="s">
        <v>1589</v>
      </c>
      <c r="F41" s="502" t="s">
        <v>1462</v>
      </c>
      <c r="G41" s="509" t="s">
        <v>1586</v>
      </c>
      <c r="H41" s="517" t="s">
        <v>1464</v>
      </c>
    </row>
    <row r="42" spans="1:8" ht="16">
      <c r="A42" s="582"/>
      <c r="B42" s="523"/>
      <c r="C42" s="513" t="s">
        <v>1591</v>
      </c>
      <c r="D42" s="513" t="s">
        <v>1592</v>
      </c>
      <c r="E42" s="513" t="s">
        <v>1470</v>
      </c>
      <c r="F42" s="502" t="s">
        <v>1462</v>
      </c>
      <c r="G42" s="509" t="s">
        <v>1590</v>
      </c>
      <c r="H42" s="517" t="s">
        <v>1464</v>
      </c>
    </row>
    <row r="43" spans="1:8" ht="16">
      <c r="A43" s="582"/>
      <c r="B43" s="523"/>
      <c r="C43" s="514" t="s">
        <v>1595</v>
      </c>
      <c r="D43" s="514" t="s">
        <v>1596</v>
      </c>
      <c r="E43" s="514" t="s">
        <v>1470</v>
      </c>
      <c r="F43" s="502" t="s">
        <v>1593</v>
      </c>
      <c r="G43" s="509" t="s">
        <v>1594</v>
      </c>
      <c r="H43" s="517" t="s">
        <v>1486</v>
      </c>
    </row>
    <row r="44" spans="1:8" ht="16">
      <c r="A44" s="582"/>
      <c r="B44" s="523"/>
      <c r="C44" s="513" t="s">
        <v>1598</v>
      </c>
      <c r="D44" s="513" t="s">
        <v>1599</v>
      </c>
      <c r="E44" s="513" t="s">
        <v>1470</v>
      </c>
      <c r="F44" s="502" t="s">
        <v>1462</v>
      </c>
      <c r="G44" s="509" t="s">
        <v>1597</v>
      </c>
      <c r="H44" s="517" t="s">
        <v>1464</v>
      </c>
    </row>
    <row r="45" spans="1:8" ht="16">
      <c r="A45" s="582"/>
      <c r="B45" s="523"/>
      <c r="C45" s="513" t="s">
        <v>1601</v>
      </c>
      <c r="D45" s="513" t="s">
        <v>1602</v>
      </c>
      <c r="E45" s="513" t="s">
        <v>1470</v>
      </c>
      <c r="F45" s="502" t="s">
        <v>1462</v>
      </c>
      <c r="G45" s="509" t="s">
        <v>1600</v>
      </c>
      <c r="H45" s="517" t="s">
        <v>1464</v>
      </c>
    </row>
    <row r="46" spans="1:8" ht="16">
      <c r="A46" s="582"/>
      <c r="B46" s="523"/>
      <c r="C46" s="513" t="s">
        <v>1604</v>
      </c>
      <c r="D46" s="513" t="s">
        <v>1605</v>
      </c>
      <c r="E46" s="513" t="s">
        <v>1470</v>
      </c>
      <c r="F46" s="502" t="s">
        <v>1462</v>
      </c>
      <c r="G46" s="509" t="s">
        <v>1603</v>
      </c>
      <c r="H46" s="517" t="s">
        <v>1464</v>
      </c>
    </row>
    <row r="47" spans="1:8" ht="16">
      <c r="A47" s="582"/>
      <c r="B47" s="523"/>
      <c r="C47" s="514" t="s">
        <v>1607</v>
      </c>
      <c r="D47" s="514" t="s">
        <v>1608</v>
      </c>
      <c r="E47" s="514" t="s">
        <v>1470</v>
      </c>
      <c r="F47" s="502" t="s">
        <v>1462</v>
      </c>
      <c r="G47" s="509" t="s">
        <v>1606</v>
      </c>
      <c r="H47" s="517" t="s">
        <v>1486</v>
      </c>
    </row>
    <row r="48" spans="1:8" ht="16">
      <c r="A48" s="582"/>
      <c r="B48" s="523"/>
      <c r="C48" s="514" t="s">
        <v>1610</v>
      </c>
      <c r="D48" s="514" t="s">
        <v>1611</v>
      </c>
      <c r="E48" s="514" t="s">
        <v>1470</v>
      </c>
      <c r="F48" s="502" t="s">
        <v>1462</v>
      </c>
      <c r="G48" s="509" t="s">
        <v>1609</v>
      </c>
      <c r="H48" s="517" t="s">
        <v>1486</v>
      </c>
    </row>
    <row r="49" spans="1:8" ht="16">
      <c r="A49" s="582"/>
      <c r="B49" s="523"/>
      <c r="C49" s="513" t="s">
        <v>1613</v>
      </c>
      <c r="D49" s="513" t="s">
        <v>1614</v>
      </c>
      <c r="E49" s="513" t="s">
        <v>1470</v>
      </c>
      <c r="F49" s="502" t="s">
        <v>1462</v>
      </c>
      <c r="G49" s="509" t="s">
        <v>1612</v>
      </c>
      <c r="H49" s="517" t="s">
        <v>1464</v>
      </c>
    </row>
    <row r="50" spans="1:8" ht="16">
      <c r="A50" s="582"/>
      <c r="B50" s="523"/>
      <c r="C50" s="513" t="s">
        <v>1616</v>
      </c>
      <c r="D50" s="513" t="s">
        <v>1617</v>
      </c>
      <c r="E50" s="513" t="s">
        <v>1618</v>
      </c>
      <c r="F50" s="502" t="s">
        <v>1462</v>
      </c>
      <c r="G50" s="509" t="s">
        <v>1615</v>
      </c>
      <c r="H50" s="517" t="s">
        <v>1464</v>
      </c>
    </row>
    <row r="51" spans="1:8" ht="30">
      <c r="A51" s="582"/>
      <c r="B51" s="523"/>
      <c r="C51" s="513" t="s">
        <v>1620</v>
      </c>
      <c r="D51" s="519" t="s">
        <v>1621</v>
      </c>
      <c r="E51" s="576"/>
      <c r="F51" s="502" t="s">
        <v>1462</v>
      </c>
      <c r="G51" s="508" t="s">
        <v>1619</v>
      </c>
      <c r="H51" s="517" t="s">
        <v>1464</v>
      </c>
    </row>
    <row r="52" spans="1:8" ht="16">
      <c r="A52" s="582"/>
      <c r="B52" s="523"/>
      <c r="C52" s="513" t="s">
        <v>1623</v>
      </c>
      <c r="D52" s="513"/>
      <c r="E52" s="513"/>
      <c r="F52" s="502" t="s">
        <v>1462</v>
      </c>
      <c r="G52" s="509" t="s">
        <v>1622</v>
      </c>
      <c r="H52" s="517" t="s">
        <v>1464</v>
      </c>
    </row>
    <row r="53" spans="1:8" ht="16">
      <c r="A53" s="582"/>
      <c r="B53" s="523"/>
      <c r="C53" s="513" t="s">
        <v>1625</v>
      </c>
      <c r="D53" s="513" t="s">
        <v>1626</v>
      </c>
      <c r="E53" s="513" t="s">
        <v>1470</v>
      </c>
      <c r="F53" s="502" t="s">
        <v>1462</v>
      </c>
      <c r="G53" s="509" t="s">
        <v>1624</v>
      </c>
      <c r="H53" s="517" t="s">
        <v>1464</v>
      </c>
    </row>
    <row r="54" spans="1:8" ht="31.5" customHeight="1">
      <c r="A54" s="582"/>
      <c r="B54" s="523"/>
      <c r="C54" s="513" t="s">
        <v>1954</v>
      </c>
      <c r="D54" s="519" t="s">
        <v>1627</v>
      </c>
      <c r="E54" s="513" t="s">
        <v>1955</v>
      </c>
      <c r="F54" s="502" t="s">
        <v>1879</v>
      </c>
      <c r="G54" s="509" t="s">
        <v>1889</v>
      </c>
      <c r="H54" s="517" t="s">
        <v>1464</v>
      </c>
    </row>
    <row r="55" spans="1:8" ht="16">
      <c r="A55" s="582"/>
      <c r="B55" s="523"/>
      <c r="C55" s="513" t="s">
        <v>1629</v>
      </c>
      <c r="D55" s="513" t="s">
        <v>1630</v>
      </c>
      <c r="E55" s="513" t="s">
        <v>1631</v>
      </c>
      <c r="F55" s="502" t="s">
        <v>1462</v>
      </c>
      <c r="G55" s="509" t="s">
        <v>1628</v>
      </c>
      <c r="H55" s="517" t="s">
        <v>1464</v>
      </c>
    </row>
    <row r="56" spans="1:8" ht="16">
      <c r="A56" s="582"/>
      <c r="B56" s="523"/>
      <c r="C56" s="514" t="s">
        <v>1633</v>
      </c>
      <c r="D56" s="514" t="s">
        <v>1634</v>
      </c>
      <c r="E56" s="514" t="s">
        <v>1470</v>
      </c>
      <c r="F56" s="502" t="s">
        <v>1462</v>
      </c>
      <c r="G56" s="509" t="s">
        <v>1632</v>
      </c>
      <c r="H56" s="517" t="s">
        <v>1486</v>
      </c>
    </row>
    <row r="57" spans="1:8" ht="16">
      <c r="A57" s="582"/>
      <c r="B57" s="523"/>
      <c r="C57" s="513" t="s">
        <v>1636</v>
      </c>
      <c r="D57" s="513" t="s">
        <v>1637</v>
      </c>
      <c r="E57" s="513" t="s">
        <v>1470</v>
      </c>
      <c r="F57" s="502" t="s">
        <v>1462</v>
      </c>
      <c r="G57" s="509" t="s">
        <v>1635</v>
      </c>
      <c r="H57" s="517" t="s">
        <v>1464</v>
      </c>
    </row>
    <row r="58" spans="1:8" ht="16">
      <c r="A58" s="582"/>
      <c r="B58" s="523"/>
      <c r="C58" s="513" t="s">
        <v>1639</v>
      </c>
      <c r="D58" s="513" t="s">
        <v>1640</v>
      </c>
      <c r="E58" s="513" t="s">
        <v>1470</v>
      </c>
      <c r="F58" s="502" t="s">
        <v>1462</v>
      </c>
      <c r="G58" s="509" t="s">
        <v>1638</v>
      </c>
      <c r="H58" s="517" t="s">
        <v>1464</v>
      </c>
    </row>
    <row r="59" spans="1:8" ht="16">
      <c r="A59" s="582"/>
      <c r="B59" s="523"/>
      <c r="C59" s="513" t="s">
        <v>1642</v>
      </c>
      <c r="D59" s="513" t="s">
        <v>1643</v>
      </c>
      <c r="E59" s="513" t="s">
        <v>1644</v>
      </c>
      <c r="F59" s="502" t="s">
        <v>1462</v>
      </c>
      <c r="G59" s="509" t="s">
        <v>1641</v>
      </c>
      <c r="H59" s="517" t="s">
        <v>1464</v>
      </c>
    </row>
    <row r="60" spans="1:8" ht="16">
      <c r="A60" s="582"/>
      <c r="B60" s="523"/>
      <c r="C60" s="519" t="s">
        <v>1646</v>
      </c>
      <c r="D60" s="521" t="s">
        <v>1647</v>
      </c>
      <c r="E60" s="577" t="s">
        <v>1648</v>
      </c>
      <c r="F60" s="502" t="s">
        <v>1462</v>
      </c>
      <c r="G60" s="512" t="s">
        <v>1645</v>
      </c>
      <c r="H60" s="517" t="s">
        <v>1464</v>
      </c>
    </row>
    <row r="61" spans="1:8" ht="16">
      <c r="A61" s="582"/>
      <c r="B61" s="523"/>
      <c r="C61" s="513" t="s">
        <v>1650</v>
      </c>
      <c r="D61" s="514" t="s">
        <v>1651</v>
      </c>
      <c r="E61" s="513" t="s">
        <v>1652</v>
      </c>
      <c r="F61" s="502" t="s">
        <v>1462</v>
      </c>
      <c r="G61" s="509" t="s">
        <v>1649</v>
      </c>
      <c r="H61" s="517" t="s">
        <v>1464</v>
      </c>
    </row>
    <row r="62" spans="1:8" ht="16">
      <c r="A62" s="582"/>
      <c r="B62" s="523"/>
      <c r="C62" s="513" t="s">
        <v>1654</v>
      </c>
      <c r="D62" s="513" t="s">
        <v>1655</v>
      </c>
      <c r="E62" s="513" t="s">
        <v>1470</v>
      </c>
      <c r="F62" s="502" t="s">
        <v>1462</v>
      </c>
      <c r="G62" s="509" t="s">
        <v>1653</v>
      </c>
      <c r="H62" s="517" t="s">
        <v>1464</v>
      </c>
    </row>
    <row r="63" spans="1:8" ht="16">
      <c r="A63" s="582"/>
      <c r="B63" s="523"/>
      <c r="C63" s="513" t="s">
        <v>1657</v>
      </c>
      <c r="D63" s="513" t="s">
        <v>1658</v>
      </c>
      <c r="E63" s="513" t="s">
        <v>1470</v>
      </c>
      <c r="F63" s="502" t="s">
        <v>1462</v>
      </c>
      <c r="G63" s="510" t="s">
        <v>1656</v>
      </c>
      <c r="H63" s="517" t="s">
        <v>1464</v>
      </c>
    </row>
    <row r="64" spans="1:8" ht="16">
      <c r="A64" s="582"/>
      <c r="B64" s="523"/>
      <c r="C64" s="514" t="s">
        <v>1660</v>
      </c>
      <c r="D64" s="514" t="s">
        <v>1661</v>
      </c>
      <c r="E64" s="514" t="s">
        <v>1470</v>
      </c>
      <c r="F64" s="502" t="s">
        <v>1462</v>
      </c>
      <c r="G64" s="509" t="s">
        <v>1659</v>
      </c>
      <c r="H64" s="517" t="s">
        <v>1486</v>
      </c>
    </row>
    <row r="65" spans="1:8" ht="16">
      <c r="A65" s="582"/>
      <c r="B65" s="523"/>
      <c r="C65" s="514" t="s">
        <v>1663</v>
      </c>
      <c r="D65" s="514" t="s">
        <v>1664</v>
      </c>
      <c r="E65" s="514" t="s">
        <v>1665</v>
      </c>
      <c r="F65" s="502" t="s">
        <v>1462</v>
      </c>
      <c r="G65" s="509" t="s">
        <v>1662</v>
      </c>
      <c r="H65" s="517" t="s">
        <v>1486</v>
      </c>
    </row>
    <row r="66" spans="1:8" ht="16">
      <c r="A66" s="582"/>
      <c r="B66" s="523"/>
      <c r="C66" s="513" t="s">
        <v>1667</v>
      </c>
      <c r="D66" s="513" t="s">
        <v>1668</v>
      </c>
      <c r="E66" s="513" t="s">
        <v>1470</v>
      </c>
      <c r="F66" s="502" t="s">
        <v>1462</v>
      </c>
      <c r="G66" s="509" t="s">
        <v>1666</v>
      </c>
      <c r="H66" s="517" t="s">
        <v>1464</v>
      </c>
    </row>
    <row r="67" spans="1:8" ht="16">
      <c r="A67" s="582"/>
      <c r="B67" s="523"/>
      <c r="C67" s="513" t="s">
        <v>1670</v>
      </c>
      <c r="D67" s="513" t="s">
        <v>1671</v>
      </c>
      <c r="E67" s="513" t="s">
        <v>1672</v>
      </c>
      <c r="F67" s="502" t="s">
        <v>1462</v>
      </c>
      <c r="G67" s="509" t="s">
        <v>1669</v>
      </c>
      <c r="H67" s="517" t="s">
        <v>1464</v>
      </c>
    </row>
    <row r="68" spans="1:8" ht="16">
      <c r="A68" s="582"/>
      <c r="B68" s="523"/>
      <c r="C68" s="513" t="s">
        <v>1674</v>
      </c>
      <c r="D68" s="513" t="s">
        <v>1675</v>
      </c>
      <c r="E68" s="513" t="s">
        <v>1470</v>
      </c>
      <c r="F68" s="502" t="s">
        <v>1462</v>
      </c>
      <c r="G68" s="509" t="s">
        <v>1673</v>
      </c>
      <c r="H68" s="517" t="s">
        <v>1464</v>
      </c>
    </row>
    <row r="69" spans="1:8" ht="16">
      <c r="A69" s="582"/>
      <c r="B69" s="523"/>
      <c r="C69" s="513" t="s">
        <v>1677</v>
      </c>
      <c r="D69" s="513" t="s">
        <v>1678</v>
      </c>
      <c r="E69" s="513" t="s">
        <v>1679</v>
      </c>
      <c r="F69" s="502" t="s">
        <v>1462</v>
      </c>
      <c r="G69" s="509" t="s">
        <v>1676</v>
      </c>
      <c r="H69" s="517" t="s">
        <v>1464</v>
      </c>
    </row>
    <row r="70" spans="1:8" ht="16">
      <c r="A70" s="582"/>
      <c r="B70" s="523"/>
      <c r="C70" s="513" t="s">
        <v>1681</v>
      </c>
      <c r="D70" s="513" t="s">
        <v>1682</v>
      </c>
      <c r="E70" s="513" t="s">
        <v>1470</v>
      </c>
      <c r="F70" s="502" t="s">
        <v>1462</v>
      </c>
      <c r="G70" s="509" t="s">
        <v>1680</v>
      </c>
      <c r="H70" s="517" t="s">
        <v>1464</v>
      </c>
    </row>
    <row r="71" spans="1:8" ht="16">
      <c r="A71" s="582"/>
      <c r="B71" s="523"/>
      <c r="C71" s="513" t="s">
        <v>1684</v>
      </c>
      <c r="D71" s="513" t="s">
        <v>1685</v>
      </c>
      <c r="E71" s="513" t="s">
        <v>1470</v>
      </c>
      <c r="F71" s="502" t="s">
        <v>1462</v>
      </c>
      <c r="G71" s="509" t="s">
        <v>1683</v>
      </c>
      <c r="H71" s="517" t="s">
        <v>1464</v>
      </c>
    </row>
    <row r="72" spans="1:8" ht="16">
      <c r="A72" s="582"/>
      <c r="B72" s="523"/>
      <c r="C72" s="513" t="s">
        <v>1967</v>
      </c>
      <c r="D72" s="513" t="s">
        <v>1687</v>
      </c>
      <c r="E72" s="513" t="s">
        <v>1470</v>
      </c>
      <c r="F72" s="502" t="s">
        <v>1462</v>
      </c>
      <c r="G72" s="509" t="s">
        <v>1686</v>
      </c>
      <c r="H72" s="517" t="s">
        <v>1464</v>
      </c>
    </row>
    <row r="73" spans="1:8" ht="16">
      <c r="A73" s="582"/>
      <c r="B73" s="523"/>
      <c r="C73" s="513" t="s">
        <v>1689</v>
      </c>
      <c r="D73" s="513" t="s">
        <v>1690</v>
      </c>
      <c r="E73" s="578"/>
      <c r="F73" s="502" t="s">
        <v>1462</v>
      </c>
      <c r="G73" s="511" t="s">
        <v>1688</v>
      </c>
      <c r="H73" s="517" t="s">
        <v>1464</v>
      </c>
    </row>
    <row r="74" spans="1:8" ht="16">
      <c r="A74" s="582"/>
      <c r="B74" s="523"/>
      <c r="C74" s="513" t="s">
        <v>1692</v>
      </c>
      <c r="D74" s="513" t="s">
        <v>1693</v>
      </c>
      <c r="E74" s="513" t="s">
        <v>1470</v>
      </c>
      <c r="F74" s="502" t="s">
        <v>1462</v>
      </c>
      <c r="G74" s="509" t="s">
        <v>1691</v>
      </c>
      <c r="H74" s="517" t="s">
        <v>1464</v>
      </c>
    </row>
    <row r="75" spans="1:8" ht="16">
      <c r="A75" s="582"/>
      <c r="B75" s="523"/>
      <c r="C75" s="514" t="s">
        <v>1695</v>
      </c>
      <c r="D75" s="514" t="s">
        <v>1696</v>
      </c>
      <c r="E75" s="579"/>
      <c r="F75" s="502" t="s">
        <v>1462</v>
      </c>
      <c r="G75" s="510" t="s">
        <v>1694</v>
      </c>
      <c r="H75" s="517" t="s">
        <v>1486</v>
      </c>
    </row>
    <row r="76" spans="1:8" ht="16">
      <c r="A76" s="582"/>
      <c r="B76" s="523"/>
      <c r="C76" s="513" t="s">
        <v>1698</v>
      </c>
      <c r="D76" s="513" t="s">
        <v>1699</v>
      </c>
      <c r="E76" s="513" t="s">
        <v>1470</v>
      </c>
      <c r="F76" s="502" t="s">
        <v>1462</v>
      </c>
      <c r="G76" s="509" t="s">
        <v>1697</v>
      </c>
      <c r="H76" s="517" t="s">
        <v>1464</v>
      </c>
    </row>
    <row r="77" spans="1:8" ht="16">
      <c r="A77" s="582"/>
      <c r="B77" s="523"/>
      <c r="C77" s="513" t="s">
        <v>1701</v>
      </c>
      <c r="D77" s="513" t="s">
        <v>1702</v>
      </c>
      <c r="E77" s="513" t="s">
        <v>1470</v>
      </c>
      <c r="F77" s="502" t="s">
        <v>1462</v>
      </c>
      <c r="G77" s="509" t="s">
        <v>1700</v>
      </c>
      <c r="H77" s="517" t="s">
        <v>1464</v>
      </c>
    </row>
    <row r="78" spans="1:8" ht="16">
      <c r="A78" s="582"/>
      <c r="B78" s="523"/>
      <c r="C78" s="513" t="s">
        <v>1704</v>
      </c>
      <c r="D78" s="513"/>
      <c r="E78" s="513" t="s">
        <v>1470</v>
      </c>
      <c r="F78" s="502" t="s">
        <v>1462</v>
      </c>
      <c r="G78" s="509" t="s">
        <v>1703</v>
      </c>
      <c r="H78" s="517" t="s">
        <v>1464</v>
      </c>
    </row>
    <row r="79" spans="1:8" ht="16">
      <c r="A79" s="582"/>
      <c r="B79" s="523"/>
      <c r="C79" s="513" t="s">
        <v>1706</v>
      </c>
      <c r="D79" s="513" t="s">
        <v>1707</v>
      </c>
      <c r="E79" s="513" t="s">
        <v>1470</v>
      </c>
      <c r="F79" s="502" t="s">
        <v>1462</v>
      </c>
      <c r="G79" s="509" t="s">
        <v>1705</v>
      </c>
      <c r="H79" s="517" t="s">
        <v>1464</v>
      </c>
    </row>
    <row r="80" spans="1:8" ht="16">
      <c r="A80" s="582"/>
      <c r="B80" s="523"/>
      <c r="C80" s="513" t="s">
        <v>1709</v>
      </c>
      <c r="D80" s="513" t="s">
        <v>1710</v>
      </c>
      <c r="E80" s="513" t="s">
        <v>1470</v>
      </c>
      <c r="F80" s="502" t="s">
        <v>1462</v>
      </c>
      <c r="G80" s="509" t="s">
        <v>1708</v>
      </c>
      <c r="H80" s="517" t="s">
        <v>1464</v>
      </c>
    </row>
    <row r="81" spans="1:8" ht="16">
      <c r="A81" s="582"/>
      <c r="B81" s="523"/>
      <c r="C81" s="513" t="s">
        <v>1712</v>
      </c>
      <c r="D81" s="513" t="s">
        <v>1713</v>
      </c>
      <c r="E81" s="513" t="s">
        <v>1470</v>
      </c>
      <c r="F81" s="502" t="s">
        <v>1462</v>
      </c>
      <c r="G81" s="509" t="s">
        <v>1711</v>
      </c>
      <c r="H81" s="517" t="s">
        <v>1464</v>
      </c>
    </row>
    <row r="82" spans="1:8" ht="16">
      <c r="A82" s="582"/>
      <c r="B82" s="523"/>
      <c r="C82" s="513" t="s">
        <v>1715</v>
      </c>
      <c r="D82" s="513" t="s">
        <v>1716</v>
      </c>
      <c r="E82" s="577" t="s">
        <v>1717</v>
      </c>
      <c r="F82" s="502" t="s">
        <v>1462</v>
      </c>
      <c r="G82" s="512" t="s">
        <v>1714</v>
      </c>
      <c r="H82" s="517" t="s">
        <v>1464</v>
      </c>
    </row>
    <row r="83" spans="1:8" ht="16">
      <c r="A83" s="582"/>
      <c r="B83" s="523"/>
      <c r="C83" s="513" t="s">
        <v>1719</v>
      </c>
      <c r="D83" s="513" t="s">
        <v>1720</v>
      </c>
      <c r="E83" s="514" t="s">
        <v>1470</v>
      </c>
      <c r="F83" s="502" t="s">
        <v>1462</v>
      </c>
      <c r="G83" s="509" t="s">
        <v>1718</v>
      </c>
      <c r="H83" s="517" t="s">
        <v>1464</v>
      </c>
    </row>
    <row r="84" spans="1:8" ht="16">
      <c r="A84" s="582"/>
      <c r="B84" s="523"/>
      <c r="C84" s="514" t="s">
        <v>1722</v>
      </c>
      <c r="D84" s="514" t="s">
        <v>1723</v>
      </c>
      <c r="E84" s="514" t="s">
        <v>1470</v>
      </c>
      <c r="F84" s="502" t="s">
        <v>1462</v>
      </c>
      <c r="G84" s="509" t="s">
        <v>1721</v>
      </c>
      <c r="H84" s="517" t="s">
        <v>1464</v>
      </c>
    </row>
    <row r="85" spans="1:8" ht="16">
      <c r="A85" s="582"/>
      <c r="B85" s="523"/>
      <c r="C85" s="514" t="s">
        <v>1725</v>
      </c>
      <c r="D85" s="514" t="s">
        <v>1726</v>
      </c>
      <c r="E85" s="580"/>
      <c r="F85" s="502" t="s">
        <v>1462</v>
      </c>
      <c r="G85" s="512" t="s">
        <v>1724</v>
      </c>
      <c r="H85" s="517" t="s">
        <v>1486</v>
      </c>
    </row>
    <row r="86" spans="1:8" ht="16">
      <c r="A86" s="582"/>
      <c r="B86" s="523"/>
      <c r="C86" s="513" t="s">
        <v>1729</v>
      </c>
      <c r="D86" s="513" t="s">
        <v>1730</v>
      </c>
      <c r="E86" s="513" t="s">
        <v>1470</v>
      </c>
      <c r="F86" s="502" t="s">
        <v>1462</v>
      </c>
      <c r="G86" s="509" t="s">
        <v>1727</v>
      </c>
      <c r="H86" s="517" t="s">
        <v>1728</v>
      </c>
    </row>
    <row r="87" spans="1:8" ht="16">
      <c r="A87" s="582"/>
      <c r="B87" s="523"/>
      <c r="C87" s="513" t="s">
        <v>1732</v>
      </c>
      <c r="D87" s="513" t="s">
        <v>1733</v>
      </c>
      <c r="E87" s="513" t="s">
        <v>1470</v>
      </c>
      <c r="F87" s="502" t="s">
        <v>1462</v>
      </c>
      <c r="G87" s="509" t="s">
        <v>1731</v>
      </c>
      <c r="H87" s="517" t="s">
        <v>1464</v>
      </c>
    </row>
    <row r="88" spans="1:8" ht="30">
      <c r="A88" s="582"/>
      <c r="B88" s="523"/>
      <c r="C88" s="514" t="s">
        <v>1735</v>
      </c>
      <c r="D88" s="518" t="s">
        <v>1736</v>
      </c>
      <c r="E88" s="514" t="s">
        <v>1470</v>
      </c>
      <c r="F88" s="502" t="s">
        <v>1462</v>
      </c>
      <c r="G88" s="509" t="s">
        <v>1734</v>
      </c>
      <c r="H88" s="517" t="s">
        <v>1486</v>
      </c>
    </row>
    <row r="89" spans="1:8" ht="16">
      <c r="A89" s="582"/>
      <c r="B89" s="523"/>
      <c r="C89" s="513" t="s">
        <v>1738</v>
      </c>
      <c r="D89" s="513" t="s">
        <v>1739</v>
      </c>
      <c r="E89" s="513" t="s">
        <v>1470</v>
      </c>
      <c r="F89" s="502" t="s">
        <v>1462</v>
      </c>
      <c r="G89" s="509" t="s">
        <v>1737</v>
      </c>
      <c r="H89" s="517" t="s">
        <v>1464</v>
      </c>
    </row>
    <row r="90" spans="1:8" ht="16">
      <c r="A90" s="582"/>
      <c r="B90" s="523"/>
      <c r="C90" s="513" t="s">
        <v>1741</v>
      </c>
      <c r="D90" s="513" t="s">
        <v>1742</v>
      </c>
      <c r="E90" s="513" t="s">
        <v>1470</v>
      </c>
      <c r="F90" s="502" t="s">
        <v>1462</v>
      </c>
      <c r="G90" s="509" t="s">
        <v>1740</v>
      </c>
      <c r="H90" s="517" t="s">
        <v>1464</v>
      </c>
    </row>
    <row r="91" spans="1:8" ht="16">
      <c r="A91" s="582"/>
      <c r="B91" s="523"/>
      <c r="C91" s="513" t="s">
        <v>1744</v>
      </c>
      <c r="D91" s="513" t="s">
        <v>1745</v>
      </c>
      <c r="E91" s="513" t="s">
        <v>1470</v>
      </c>
      <c r="F91" s="502" t="s">
        <v>1593</v>
      </c>
      <c r="G91" s="509" t="s">
        <v>1743</v>
      </c>
      <c r="H91" s="517" t="s">
        <v>1464</v>
      </c>
    </row>
    <row r="92" spans="1:8" ht="16">
      <c r="A92" s="582"/>
      <c r="B92" s="523"/>
      <c r="C92" s="513" t="s">
        <v>1747</v>
      </c>
      <c r="D92" s="513" t="s">
        <v>1748</v>
      </c>
      <c r="E92" s="513" t="s">
        <v>1470</v>
      </c>
      <c r="F92" s="502" t="s">
        <v>1593</v>
      </c>
      <c r="G92" s="509" t="s">
        <v>1746</v>
      </c>
      <c r="H92" s="517" t="s">
        <v>1464</v>
      </c>
    </row>
    <row r="93" spans="1:8" ht="16">
      <c r="A93" s="582"/>
      <c r="B93" s="523"/>
      <c r="C93" s="513" t="s">
        <v>1750</v>
      </c>
      <c r="D93" s="513" t="s">
        <v>1751</v>
      </c>
      <c r="E93" s="513" t="s">
        <v>1470</v>
      </c>
      <c r="F93" s="502" t="s">
        <v>1593</v>
      </c>
      <c r="G93" s="509" t="s">
        <v>1749</v>
      </c>
      <c r="H93" s="517" t="s">
        <v>1464</v>
      </c>
    </row>
    <row r="94" spans="1:8" ht="16">
      <c r="A94" s="582"/>
      <c r="B94" s="523"/>
      <c r="C94" s="513" t="s">
        <v>1753</v>
      </c>
      <c r="D94" s="513" t="s">
        <v>1754</v>
      </c>
      <c r="E94" s="513" t="s">
        <v>1755</v>
      </c>
      <c r="F94" s="502" t="s">
        <v>1593</v>
      </c>
      <c r="G94" s="509" t="s">
        <v>1752</v>
      </c>
      <c r="H94" s="517" t="s">
        <v>1464</v>
      </c>
    </row>
    <row r="95" spans="1:8" ht="16">
      <c r="A95" s="582"/>
      <c r="B95" s="523"/>
      <c r="C95" s="513" t="s">
        <v>1757</v>
      </c>
      <c r="D95" s="513" t="s">
        <v>1758</v>
      </c>
      <c r="E95" s="513" t="s">
        <v>1470</v>
      </c>
      <c r="F95" s="502" t="s">
        <v>1593</v>
      </c>
      <c r="G95" s="509" t="s">
        <v>1756</v>
      </c>
      <c r="H95" s="517" t="s">
        <v>1464</v>
      </c>
    </row>
    <row r="96" spans="1:8" ht="16">
      <c r="A96" s="582"/>
      <c r="B96" s="523"/>
      <c r="C96" s="513" t="s">
        <v>1760</v>
      </c>
      <c r="D96" s="513" t="s">
        <v>1761</v>
      </c>
      <c r="E96" s="513" t="s">
        <v>1470</v>
      </c>
      <c r="F96" s="502" t="s">
        <v>1593</v>
      </c>
      <c r="G96" s="509" t="s">
        <v>1759</v>
      </c>
      <c r="H96" s="517" t="s">
        <v>1464</v>
      </c>
    </row>
    <row r="97" spans="1:8" ht="16">
      <c r="A97" s="582"/>
      <c r="B97" s="523"/>
      <c r="C97" s="513" t="s">
        <v>1763</v>
      </c>
      <c r="D97" s="513" t="s">
        <v>1764</v>
      </c>
      <c r="E97" s="513" t="s">
        <v>1470</v>
      </c>
      <c r="F97" s="502" t="s">
        <v>1593</v>
      </c>
      <c r="G97" s="509" t="s">
        <v>1762</v>
      </c>
      <c r="H97" s="517" t="s">
        <v>1464</v>
      </c>
    </row>
    <row r="98" spans="1:8" ht="16">
      <c r="A98" s="582"/>
      <c r="B98" s="523"/>
      <c r="C98" s="513" t="s">
        <v>1766</v>
      </c>
      <c r="D98" s="513" t="s">
        <v>1767</v>
      </c>
      <c r="E98" s="513" t="s">
        <v>1470</v>
      </c>
      <c r="F98" s="502" t="s">
        <v>1593</v>
      </c>
      <c r="G98" s="509" t="s">
        <v>1765</v>
      </c>
      <c r="H98" s="517" t="s">
        <v>1464</v>
      </c>
    </row>
    <row r="99" spans="1:8" ht="16">
      <c r="A99" s="582"/>
      <c r="B99" s="523"/>
      <c r="C99" s="513" t="s">
        <v>1769</v>
      </c>
      <c r="D99" s="513" t="s">
        <v>1770</v>
      </c>
      <c r="E99" s="513" t="s">
        <v>1470</v>
      </c>
      <c r="F99" s="502" t="s">
        <v>1593</v>
      </c>
      <c r="G99" s="509" t="s">
        <v>1768</v>
      </c>
      <c r="H99" s="517" t="s">
        <v>1464</v>
      </c>
    </row>
    <row r="100" spans="1:8" ht="16">
      <c r="A100" s="582"/>
      <c r="B100" s="523"/>
      <c r="C100" s="513" t="s">
        <v>1772</v>
      </c>
      <c r="D100" s="513" t="s">
        <v>1773</v>
      </c>
      <c r="E100" s="513" t="s">
        <v>1470</v>
      </c>
      <c r="F100" s="502" t="s">
        <v>1593</v>
      </c>
      <c r="G100" s="509" t="s">
        <v>1771</v>
      </c>
      <c r="H100" s="517" t="s">
        <v>1464</v>
      </c>
    </row>
    <row r="101" spans="1:8" ht="16">
      <c r="A101" s="582"/>
      <c r="B101" s="523"/>
      <c r="C101" s="513" t="s">
        <v>1775</v>
      </c>
      <c r="D101" s="513" t="s">
        <v>1776</v>
      </c>
      <c r="E101" s="513" t="s">
        <v>1470</v>
      </c>
      <c r="F101" s="502" t="s">
        <v>1593</v>
      </c>
      <c r="G101" s="509" t="s">
        <v>1774</v>
      </c>
      <c r="H101" s="517" t="s">
        <v>1464</v>
      </c>
    </row>
    <row r="102" spans="1:8" ht="16">
      <c r="A102" s="582"/>
      <c r="B102" s="523"/>
      <c r="C102" s="513" t="s">
        <v>1778</v>
      </c>
      <c r="D102" s="513" t="s">
        <v>1779</v>
      </c>
      <c r="E102" s="513" t="s">
        <v>1470</v>
      </c>
      <c r="F102" s="502" t="s">
        <v>1593</v>
      </c>
      <c r="G102" s="509" t="s">
        <v>1777</v>
      </c>
      <c r="H102" s="517" t="s">
        <v>1464</v>
      </c>
    </row>
    <row r="103" spans="1:8" ht="16">
      <c r="A103" s="582"/>
      <c r="B103" s="523"/>
      <c r="C103" s="513" t="s">
        <v>1781</v>
      </c>
      <c r="D103" s="513" t="s">
        <v>1782</v>
      </c>
      <c r="E103" s="513" t="s">
        <v>1470</v>
      </c>
      <c r="F103" s="502" t="s">
        <v>1593</v>
      </c>
      <c r="G103" s="509" t="s">
        <v>1780</v>
      </c>
      <c r="H103" s="517" t="s">
        <v>1464</v>
      </c>
    </row>
    <row r="104" spans="1:8" ht="16">
      <c r="A104" s="582"/>
      <c r="B104" s="523"/>
      <c r="C104" s="513" t="s">
        <v>1784</v>
      </c>
      <c r="D104" s="513" t="s">
        <v>1785</v>
      </c>
      <c r="E104" s="513" t="s">
        <v>1470</v>
      </c>
      <c r="F104" s="502" t="s">
        <v>1593</v>
      </c>
      <c r="G104" s="509" t="s">
        <v>1783</v>
      </c>
      <c r="H104" s="517" t="s">
        <v>1464</v>
      </c>
    </row>
    <row r="105" spans="1:8" ht="16">
      <c r="A105" s="582"/>
      <c r="B105" s="523"/>
      <c r="C105" s="513" t="s">
        <v>1787</v>
      </c>
      <c r="D105" s="513" t="s">
        <v>1788</v>
      </c>
      <c r="E105" s="513" t="s">
        <v>1789</v>
      </c>
      <c r="F105" s="502" t="s">
        <v>1593</v>
      </c>
      <c r="G105" s="509" t="s">
        <v>1786</v>
      </c>
      <c r="H105" s="517" t="s">
        <v>1464</v>
      </c>
    </row>
    <row r="106" spans="1:8" ht="16">
      <c r="A106" s="582"/>
      <c r="B106" s="523"/>
      <c r="C106" s="514" t="s">
        <v>1791</v>
      </c>
      <c r="D106" s="514" t="s">
        <v>1792</v>
      </c>
      <c r="E106" s="514" t="s">
        <v>1470</v>
      </c>
      <c r="F106" s="502" t="s">
        <v>1593</v>
      </c>
      <c r="G106" s="509" t="s">
        <v>1790</v>
      </c>
      <c r="H106" s="517" t="s">
        <v>1486</v>
      </c>
    </row>
    <row r="107" spans="1:8" ht="16">
      <c r="A107" s="582"/>
      <c r="B107" s="523"/>
      <c r="C107" s="513" t="s">
        <v>1794</v>
      </c>
      <c r="D107" s="513" t="s">
        <v>1795</v>
      </c>
      <c r="E107" s="513" t="s">
        <v>1796</v>
      </c>
      <c r="F107" s="502" t="s">
        <v>1593</v>
      </c>
      <c r="G107" s="509" t="s">
        <v>1793</v>
      </c>
      <c r="H107" s="517" t="s">
        <v>1464</v>
      </c>
    </row>
    <row r="108" spans="1:8" ht="16">
      <c r="A108" s="582"/>
      <c r="B108" s="523"/>
      <c r="C108" s="513" t="s">
        <v>1798</v>
      </c>
      <c r="D108" s="513" t="s">
        <v>1799</v>
      </c>
      <c r="E108" s="513" t="s">
        <v>1800</v>
      </c>
      <c r="F108" s="502" t="s">
        <v>1593</v>
      </c>
      <c r="G108" s="509" t="s">
        <v>1797</v>
      </c>
      <c r="H108" s="517" t="s">
        <v>1464</v>
      </c>
    </row>
    <row r="109" spans="1:8" ht="16">
      <c r="A109" s="582"/>
      <c r="B109" s="523"/>
      <c r="C109" s="513" t="s">
        <v>1802</v>
      </c>
      <c r="D109" s="513" t="s">
        <v>1803</v>
      </c>
      <c r="E109" s="513" t="s">
        <v>1804</v>
      </c>
      <c r="F109" s="502" t="s">
        <v>1593</v>
      </c>
      <c r="G109" s="509" t="s">
        <v>1801</v>
      </c>
      <c r="H109" s="517" t="s">
        <v>1464</v>
      </c>
    </row>
    <row r="110" spans="1:8" ht="16">
      <c r="A110" s="582"/>
      <c r="B110" s="523"/>
      <c r="C110" s="513" t="s">
        <v>1806</v>
      </c>
      <c r="D110" s="513"/>
      <c r="E110" s="513"/>
      <c r="F110" s="502" t="s">
        <v>1593</v>
      </c>
      <c r="G110" s="509" t="s">
        <v>1805</v>
      </c>
      <c r="H110" s="517" t="s">
        <v>1464</v>
      </c>
    </row>
    <row r="111" spans="1:8" ht="16">
      <c r="A111" s="582"/>
      <c r="B111" s="523"/>
      <c r="C111" s="513" t="s">
        <v>1808</v>
      </c>
      <c r="D111" s="513"/>
      <c r="E111" s="513"/>
      <c r="F111" s="502" t="s">
        <v>1593</v>
      </c>
      <c r="G111" s="509" t="s">
        <v>1807</v>
      </c>
      <c r="H111" s="517" t="s">
        <v>1464</v>
      </c>
    </row>
    <row r="112" spans="1:8" ht="16">
      <c r="A112" s="582"/>
      <c r="B112" s="523"/>
      <c r="C112" s="513" t="s">
        <v>1810</v>
      </c>
      <c r="D112" s="513"/>
      <c r="E112" s="513"/>
      <c r="F112" s="502" t="s">
        <v>1593</v>
      </c>
      <c r="G112" s="509" t="s">
        <v>1809</v>
      </c>
      <c r="H112" s="517" t="s">
        <v>1464</v>
      </c>
    </row>
    <row r="113" spans="1:8" ht="16">
      <c r="A113" s="582"/>
      <c r="B113" s="523"/>
      <c r="C113" s="513" t="s">
        <v>1812</v>
      </c>
      <c r="D113" s="513"/>
      <c r="E113" s="513"/>
      <c r="F113" s="502" t="s">
        <v>1593</v>
      </c>
      <c r="G113" s="509" t="s">
        <v>1811</v>
      </c>
      <c r="H113" s="517" t="s">
        <v>1464</v>
      </c>
    </row>
    <row r="114" spans="1:8" ht="16">
      <c r="A114" s="582"/>
      <c r="B114" s="523"/>
      <c r="C114" s="514" t="s">
        <v>1814</v>
      </c>
      <c r="D114" s="514"/>
      <c r="E114" s="514"/>
      <c r="F114" s="502" t="s">
        <v>1593</v>
      </c>
      <c r="G114" s="509" t="s">
        <v>1813</v>
      </c>
      <c r="H114" s="517" t="s">
        <v>1486</v>
      </c>
    </row>
    <row r="115" spans="1:8" ht="16">
      <c r="A115" s="582"/>
      <c r="B115" s="523"/>
      <c r="C115" s="514" t="s">
        <v>1816</v>
      </c>
      <c r="D115" s="514"/>
      <c r="E115" s="514"/>
      <c r="F115" s="502" t="s">
        <v>1593</v>
      </c>
      <c r="G115" s="509" t="s">
        <v>1815</v>
      </c>
      <c r="H115" s="517" t="s">
        <v>1486</v>
      </c>
    </row>
    <row r="116" spans="1:8" ht="16">
      <c r="A116" s="582"/>
      <c r="B116" s="523"/>
      <c r="C116" s="514" t="s">
        <v>1818</v>
      </c>
      <c r="D116" s="514"/>
      <c r="E116" s="514"/>
      <c r="F116" s="502" t="s">
        <v>1593</v>
      </c>
      <c r="G116" s="509" t="s">
        <v>1817</v>
      </c>
      <c r="H116" s="517" t="s">
        <v>1486</v>
      </c>
    </row>
    <row r="117" spans="1:8" ht="16" hidden="1">
      <c r="A117" s="582"/>
      <c r="B117" s="523"/>
      <c r="C117" s="514" t="s">
        <v>1819</v>
      </c>
      <c r="D117" s="516"/>
      <c r="E117" s="581"/>
      <c r="F117" s="502" t="s">
        <v>1593</v>
      </c>
      <c r="G117" s="515">
        <v>99999999</v>
      </c>
      <c r="H117" s="517" t="s">
        <v>1464</v>
      </c>
    </row>
  </sheetData>
  <sheetProtection password="842B" sheet="1" objects="1" scenarios="1" selectLockedCells="1" selectUnlockedCells="1"/>
  <phoneticPr fontId="3"/>
  <conditionalFormatting sqref="D4">
    <cfRule type="expression" dxfId="264" priority="1">
      <formula>AND($H$5=1,$H$4&gt;0)</formula>
    </cfRule>
  </conditionalFormatting>
  <pageMargins left="1.1023622047244095" right="0.70866141732283472" top="0.35433070866141736" bottom="0" header="0.31496062992125984" footer="0.31496062992125984"/>
  <pageSetup paperSize="9" scale="3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6497" r:id="rId4" name="Option Button 1">
              <controlPr defaultSize="0" autoFill="0" autoLine="0" autoPict="0">
                <anchor moveWithCells="1">
                  <from>
                    <xdr:col>1</xdr:col>
                    <xdr:colOff>438150</xdr:colOff>
                    <xdr:row>6</xdr:row>
                    <xdr:rowOff>12700</xdr:rowOff>
                  </from>
                  <to>
                    <xdr:col>1</xdr:col>
                    <xdr:colOff>914400</xdr:colOff>
                    <xdr:row>6</xdr:row>
                    <xdr:rowOff>203200</xdr:rowOff>
                  </to>
                </anchor>
              </controlPr>
            </control>
          </mc:Choice>
        </mc:AlternateContent>
        <mc:AlternateContent xmlns:mc="http://schemas.openxmlformats.org/markup-compatibility/2006">
          <mc:Choice Requires="x14">
            <control shapeId="106498" r:id="rId5" name="Option Button 2">
              <controlPr defaultSize="0" autoFill="0" autoLine="0" autoPict="0">
                <anchor moveWithCells="1">
                  <from>
                    <xdr:col>1</xdr:col>
                    <xdr:colOff>438150</xdr:colOff>
                    <xdr:row>7</xdr:row>
                    <xdr:rowOff>12700</xdr:rowOff>
                  </from>
                  <to>
                    <xdr:col>1</xdr:col>
                    <xdr:colOff>914400</xdr:colOff>
                    <xdr:row>7</xdr:row>
                    <xdr:rowOff>203200</xdr:rowOff>
                  </to>
                </anchor>
              </controlPr>
            </control>
          </mc:Choice>
        </mc:AlternateContent>
        <mc:AlternateContent xmlns:mc="http://schemas.openxmlformats.org/markup-compatibility/2006">
          <mc:Choice Requires="x14">
            <control shapeId="106499" r:id="rId6" name="Option Button 3">
              <controlPr defaultSize="0" autoFill="0" autoLine="0" autoPict="0">
                <anchor moveWithCells="1">
                  <from>
                    <xdr:col>1</xdr:col>
                    <xdr:colOff>438150</xdr:colOff>
                    <xdr:row>8</xdr:row>
                    <xdr:rowOff>12700</xdr:rowOff>
                  </from>
                  <to>
                    <xdr:col>1</xdr:col>
                    <xdr:colOff>914400</xdr:colOff>
                    <xdr:row>8</xdr:row>
                    <xdr:rowOff>203200</xdr:rowOff>
                  </to>
                </anchor>
              </controlPr>
            </control>
          </mc:Choice>
        </mc:AlternateContent>
        <mc:AlternateContent xmlns:mc="http://schemas.openxmlformats.org/markup-compatibility/2006">
          <mc:Choice Requires="x14">
            <control shapeId="106500" r:id="rId7" name="Option Button 4">
              <controlPr defaultSize="0" autoFill="0" autoLine="0" autoPict="0">
                <anchor moveWithCells="1">
                  <from>
                    <xdr:col>1</xdr:col>
                    <xdr:colOff>438150</xdr:colOff>
                    <xdr:row>9</xdr:row>
                    <xdr:rowOff>12700</xdr:rowOff>
                  </from>
                  <to>
                    <xdr:col>1</xdr:col>
                    <xdr:colOff>914400</xdr:colOff>
                    <xdr:row>9</xdr:row>
                    <xdr:rowOff>203200</xdr:rowOff>
                  </to>
                </anchor>
              </controlPr>
            </control>
          </mc:Choice>
        </mc:AlternateContent>
        <mc:AlternateContent xmlns:mc="http://schemas.openxmlformats.org/markup-compatibility/2006">
          <mc:Choice Requires="x14">
            <control shapeId="106501" r:id="rId8" name="Option Button 5">
              <controlPr defaultSize="0" autoFill="0" autoLine="0" autoPict="0">
                <anchor moveWithCells="1">
                  <from>
                    <xdr:col>1</xdr:col>
                    <xdr:colOff>438150</xdr:colOff>
                    <xdr:row>10</xdr:row>
                    <xdr:rowOff>12700</xdr:rowOff>
                  </from>
                  <to>
                    <xdr:col>1</xdr:col>
                    <xdr:colOff>914400</xdr:colOff>
                    <xdr:row>10</xdr:row>
                    <xdr:rowOff>203200</xdr:rowOff>
                  </to>
                </anchor>
              </controlPr>
            </control>
          </mc:Choice>
        </mc:AlternateContent>
        <mc:AlternateContent xmlns:mc="http://schemas.openxmlformats.org/markup-compatibility/2006">
          <mc:Choice Requires="x14">
            <control shapeId="106502" r:id="rId9" name="Option Button 6">
              <controlPr defaultSize="0" autoFill="0" autoLine="0" autoPict="0">
                <anchor moveWithCells="1">
                  <from>
                    <xdr:col>1</xdr:col>
                    <xdr:colOff>438150</xdr:colOff>
                    <xdr:row>11</xdr:row>
                    <xdr:rowOff>12700</xdr:rowOff>
                  </from>
                  <to>
                    <xdr:col>1</xdr:col>
                    <xdr:colOff>914400</xdr:colOff>
                    <xdr:row>11</xdr:row>
                    <xdr:rowOff>203200</xdr:rowOff>
                  </to>
                </anchor>
              </controlPr>
            </control>
          </mc:Choice>
        </mc:AlternateContent>
        <mc:AlternateContent xmlns:mc="http://schemas.openxmlformats.org/markup-compatibility/2006">
          <mc:Choice Requires="x14">
            <control shapeId="106503" r:id="rId10" name="Option Button 7">
              <controlPr defaultSize="0" autoFill="0" autoLine="0" autoPict="0">
                <anchor moveWithCells="1">
                  <from>
                    <xdr:col>1</xdr:col>
                    <xdr:colOff>438150</xdr:colOff>
                    <xdr:row>12</xdr:row>
                    <xdr:rowOff>12700</xdr:rowOff>
                  </from>
                  <to>
                    <xdr:col>1</xdr:col>
                    <xdr:colOff>914400</xdr:colOff>
                    <xdr:row>12</xdr:row>
                    <xdr:rowOff>203200</xdr:rowOff>
                  </to>
                </anchor>
              </controlPr>
            </control>
          </mc:Choice>
        </mc:AlternateContent>
        <mc:AlternateContent xmlns:mc="http://schemas.openxmlformats.org/markup-compatibility/2006">
          <mc:Choice Requires="x14">
            <control shapeId="106504" r:id="rId11" name="Option Button 8">
              <controlPr defaultSize="0" autoFill="0" autoLine="0" autoPict="0">
                <anchor moveWithCells="1">
                  <from>
                    <xdr:col>1</xdr:col>
                    <xdr:colOff>438150</xdr:colOff>
                    <xdr:row>13</xdr:row>
                    <xdr:rowOff>12700</xdr:rowOff>
                  </from>
                  <to>
                    <xdr:col>1</xdr:col>
                    <xdr:colOff>914400</xdr:colOff>
                    <xdr:row>13</xdr:row>
                    <xdr:rowOff>203200</xdr:rowOff>
                  </to>
                </anchor>
              </controlPr>
            </control>
          </mc:Choice>
        </mc:AlternateContent>
        <mc:AlternateContent xmlns:mc="http://schemas.openxmlformats.org/markup-compatibility/2006">
          <mc:Choice Requires="x14">
            <control shapeId="106505" r:id="rId12" name="Option Button 9">
              <controlPr defaultSize="0" autoFill="0" autoLine="0" autoPict="0">
                <anchor moveWithCells="1">
                  <from>
                    <xdr:col>1</xdr:col>
                    <xdr:colOff>438150</xdr:colOff>
                    <xdr:row>14</xdr:row>
                    <xdr:rowOff>12700</xdr:rowOff>
                  </from>
                  <to>
                    <xdr:col>1</xdr:col>
                    <xdr:colOff>914400</xdr:colOff>
                    <xdr:row>15</xdr:row>
                    <xdr:rowOff>0</xdr:rowOff>
                  </to>
                </anchor>
              </controlPr>
            </control>
          </mc:Choice>
        </mc:AlternateContent>
        <mc:AlternateContent xmlns:mc="http://schemas.openxmlformats.org/markup-compatibility/2006">
          <mc:Choice Requires="x14">
            <control shapeId="106506" r:id="rId13" name="Option Button 10">
              <controlPr defaultSize="0" autoFill="0" autoLine="0" autoPict="0">
                <anchor moveWithCells="1">
                  <from>
                    <xdr:col>1</xdr:col>
                    <xdr:colOff>438150</xdr:colOff>
                    <xdr:row>15</xdr:row>
                    <xdr:rowOff>12700</xdr:rowOff>
                  </from>
                  <to>
                    <xdr:col>1</xdr:col>
                    <xdr:colOff>914400</xdr:colOff>
                    <xdr:row>16</xdr:row>
                    <xdr:rowOff>0</xdr:rowOff>
                  </to>
                </anchor>
              </controlPr>
            </control>
          </mc:Choice>
        </mc:AlternateContent>
        <mc:AlternateContent xmlns:mc="http://schemas.openxmlformats.org/markup-compatibility/2006">
          <mc:Choice Requires="x14">
            <control shapeId="106507" r:id="rId14" name="Option Button 11">
              <controlPr defaultSize="0" autoFill="0" autoLine="0" autoPict="0">
                <anchor moveWithCells="1">
                  <from>
                    <xdr:col>1</xdr:col>
                    <xdr:colOff>438150</xdr:colOff>
                    <xdr:row>16</xdr:row>
                    <xdr:rowOff>12700</xdr:rowOff>
                  </from>
                  <to>
                    <xdr:col>1</xdr:col>
                    <xdr:colOff>914400</xdr:colOff>
                    <xdr:row>16</xdr:row>
                    <xdr:rowOff>203200</xdr:rowOff>
                  </to>
                </anchor>
              </controlPr>
            </control>
          </mc:Choice>
        </mc:AlternateContent>
        <mc:AlternateContent xmlns:mc="http://schemas.openxmlformats.org/markup-compatibility/2006">
          <mc:Choice Requires="x14">
            <control shapeId="106508" r:id="rId15" name="Option Button 12">
              <controlPr defaultSize="0" autoFill="0" autoLine="0" autoPict="0">
                <anchor moveWithCells="1">
                  <from>
                    <xdr:col>1</xdr:col>
                    <xdr:colOff>438150</xdr:colOff>
                    <xdr:row>17</xdr:row>
                    <xdr:rowOff>12700</xdr:rowOff>
                  </from>
                  <to>
                    <xdr:col>1</xdr:col>
                    <xdr:colOff>914400</xdr:colOff>
                    <xdr:row>17</xdr:row>
                    <xdr:rowOff>203200</xdr:rowOff>
                  </to>
                </anchor>
              </controlPr>
            </control>
          </mc:Choice>
        </mc:AlternateContent>
        <mc:AlternateContent xmlns:mc="http://schemas.openxmlformats.org/markup-compatibility/2006">
          <mc:Choice Requires="x14">
            <control shapeId="106509" r:id="rId16" name="Option Button 13">
              <controlPr defaultSize="0" autoFill="0" autoLine="0" autoPict="0">
                <anchor moveWithCells="1">
                  <from>
                    <xdr:col>1</xdr:col>
                    <xdr:colOff>438150</xdr:colOff>
                    <xdr:row>18</xdr:row>
                    <xdr:rowOff>12700</xdr:rowOff>
                  </from>
                  <to>
                    <xdr:col>1</xdr:col>
                    <xdr:colOff>914400</xdr:colOff>
                    <xdr:row>18</xdr:row>
                    <xdr:rowOff>203200</xdr:rowOff>
                  </to>
                </anchor>
              </controlPr>
            </control>
          </mc:Choice>
        </mc:AlternateContent>
        <mc:AlternateContent xmlns:mc="http://schemas.openxmlformats.org/markup-compatibility/2006">
          <mc:Choice Requires="x14">
            <control shapeId="106510" r:id="rId17" name="Option Button 14">
              <controlPr defaultSize="0" autoFill="0" autoLine="0" autoPict="0">
                <anchor moveWithCells="1">
                  <from>
                    <xdr:col>1</xdr:col>
                    <xdr:colOff>438150</xdr:colOff>
                    <xdr:row>19</xdr:row>
                    <xdr:rowOff>12700</xdr:rowOff>
                  </from>
                  <to>
                    <xdr:col>1</xdr:col>
                    <xdr:colOff>914400</xdr:colOff>
                    <xdr:row>19</xdr:row>
                    <xdr:rowOff>203200</xdr:rowOff>
                  </to>
                </anchor>
              </controlPr>
            </control>
          </mc:Choice>
        </mc:AlternateContent>
        <mc:AlternateContent xmlns:mc="http://schemas.openxmlformats.org/markup-compatibility/2006">
          <mc:Choice Requires="x14">
            <control shapeId="106511" r:id="rId18" name="Option Button 15">
              <controlPr defaultSize="0" autoFill="0" autoLine="0" autoPict="0">
                <anchor moveWithCells="1">
                  <from>
                    <xdr:col>1</xdr:col>
                    <xdr:colOff>438150</xdr:colOff>
                    <xdr:row>20</xdr:row>
                    <xdr:rowOff>12700</xdr:rowOff>
                  </from>
                  <to>
                    <xdr:col>1</xdr:col>
                    <xdr:colOff>914400</xdr:colOff>
                    <xdr:row>20</xdr:row>
                    <xdr:rowOff>203200</xdr:rowOff>
                  </to>
                </anchor>
              </controlPr>
            </control>
          </mc:Choice>
        </mc:AlternateContent>
        <mc:AlternateContent xmlns:mc="http://schemas.openxmlformats.org/markup-compatibility/2006">
          <mc:Choice Requires="x14">
            <control shapeId="106512" r:id="rId19" name="Option Button 16">
              <controlPr defaultSize="0" autoFill="0" autoLine="0" autoPict="0">
                <anchor moveWithCells="1">
                  <from>
                    <xdr:col>1</xdr:col>
                    <xdr:colOff>438150</xdr:colOff>
                    <xdr:row>21</xdr:row>
                    <xdr:rowOff>12700</xdr:rowOff>
                  </from>
                  <to>
                    <xdr:col>1</xdr:col>
                    <xdr:colOff>914400</xdr:colOff>
                    <xdr:row>21</xdr:row>
                    <xdr:rowOff>203200</xdr:rowOff>
                  </to>
                </anchor>
              </controlPr>
            </control>
          </mc:Choice>
        </mc:AlternateContent>
        <mc:AlternateContent xmlns:mc="http://schemas.openxmlformats.org/markup-compatibility/2006">
          <mc:Choice Requires="x14">
            <control shapeId="106513" r:id="rId20" name="Option Button 17">
              <controlPr defaultSize="0" autoFill="0" autoLine="0" autoPict="0">
                <anchor moveWithCells="1">
                  <from>
                    <xdr:col>1</xdr:col>
                    <xdr:colOff>438150</xdr:colOff>
                    <xdr:row>22</xdr:row>
                    <xdr:rowOff>12700</xdr:rowOff>
                  </from>
                  <to>
                    <xdr:col>1</xdr:col>
                    <xdr:colOff>914400</xdr:colOff>
                    <xdr:row>22</xdr:row>
                    <xdr:rowOff>203200</xdr:rowOff>
                  </to>
                </anchor>
              </controlPr>
            </control>
          </mc:Choice>
        </mc:AlternateContent>
        <mc:AlternateContent xmlns:mc="http://schemas.openxmlformats.org/markup-compatibility/2006">
          <mc:Choice Requires="x14">
            <control shapeId="106514" r:id="rId21" name="Option Button 18">
              <controlPr defaultSize="0" autoFill="0" autoLine="0" autoPict="0">
                <anchor moveWithCells="1">
                  <from>
                    <xdr:col>1</xdr:col>
                    <xdr:colOff>438150</xdr:colOff>
                    <xdr:row>23</xdr:row>
                    <xdr:rowOff>12700</xdr:rowOff>
                  </from>
                  <to>
                    <xdr:col>1</xdr:col>
                    <xdr:colOff>914400</xdr:colOff>
                    <xdr:row>23</xdr:row>
                    <xdr:rowOff>203200</xdr:rowOff>
                  </to>
                </anchor>
              </controlPr>
            </control>
          </mc:Choice>
        </mc:AlternateContent>
        <mc:AlternateContent xmlns:mc="http://schemas.openxmlformats.org/markup-compatibility/2006">
          <mc:Choice Requires="x14">
            <control shapeId="106515" r:id="rId22" name="Option Button 19">
              <controlPr defaultSize="0" autoFill="0" autoLine="0" autoPict="0">
                <anchor moveWithCells="1">
                  <from>
                    <xdr:col>1</xdr:col>
                    <xdr:colOff>438150</xdr:colOff>
                    <xdr:row>24</xdr:row>
                    <xdr:rowOff>12700</xdr:rowOff>
                  </from>
                  <to>
                    <xdr:col>1</xdr:col>
                    <xdr:colOff>914400</xdr:colOff>
                    <xdr:row>24</xdr:row>
                    <xdr:rowOff>203200</xdr:rowOff>
                  </to>
                </anchor>
              </controlPr>
            </control>
          </mc:Choice>
        </mc:AlternateContent>
        <mc:AlternateContent xmlns:mc="http://schemas.openxmlformats.org/markup-compatibility/2006">
          <mc:Choice Requires="x14">
            <control shapeId="106516" r:id="rId23" name="Option Button 20">
              <controlPr defaultSize="0" autoFill="0" autoLine="0" autoPict="0">
                <anchor moveWithCells="1">
                  <from>
                    <xdr:col>1</xdr:col>
                    <xdr:colOff>438150</xdr:colOff>
                    <xdr:row>25</xdr:row>
                    <xdr:rowOff>12700</xdr:rowOff>
                  </from>
                  <to>
                    <xdr:col>1</xdr:col>
                    <xdr:colOff>914400</xdr:colOff>
                    <xdr:row>25</xdr:row>
                    <xdr:rowOff>203200</xdr:rowOff>
                  </to>
                </anchor>
              </controlPr>
            </control>
          </mc:Choice>
        </mc:AlternateContent>
        <mc:AlternateContent xmlns:mc="http://schemas.openxmlformats.org/markup-compatibility/2006">
          <mc:Choice Requires="x14">
            <control shapeId="106517" r:id="rId24" name="Option Button 21">
              <controlPr defaultSize="0" autoFill="0" autoLine="0" autoPict="0">
                <anchor moveWithCells="1">
                  <from>
                    <xdr:col>1</xdr:col>
                    <xdr:colOff>438150</xdr:colOff>
                    <xdr:row>26</xdr:row>
                    <xdr:rowOff>12700</xdr:rowOff>
                  </from>
                  <to>
                    <xdr:col>1</xdr:col>
                    <xdr:colOff>914400</xdr:colOff>
                    <xdr:row>26</xdr:row>
                    <xdr:rowOff>203200</xdr:rowOff>
                  </to>
                </anchor>
              </controlPr>
            </control>
          </mc:Choice>
        </mc:AlternateContent>
        <mc:AlternateContent xmlns:mc="http://schemas.openxmlformats.org/markup-compatibility/2006">
          <mc:Choice Requires="x14">
            <control shapeId="106518" r:id="rId25" name="Option Button 22">
              <controlPr defaultSize="0" autoFill="0" autoLine="0" autoPict="0">
                <anchor moveWithCells="1">
                  <from>
                    <xdr:col>1</xdr:col>
                    <xdr:colOff>438150</xdr:colOff>
                    <xdr:row>27</xdr:row>
                    <xdr:rowOff>12700</xdr:rowOff>
                  </from>
                  <to>
                    <xdr:col>1</xdr:col>
                    <xdr:colOff>914400</xdr:colOff>
                    <xdr:row>27</xdr:row>
                    <xdr:rowOff>203200</xdr:rowOff>
                  </to>
                </anchor>
              </controlPr>
            </control>
          </mc:Choice>
        </mc:AlternateContent>
        <mc:AlternateContent xmlns:mc="http://schemas.openxmlformats.org/markup-compatibility/2006">
          <mc:Choice Requires="x14">
            <control shapeId="106519" r:id="rId26" name="Option Button 23">
              <controlPr defaultSize="0" autoFill="0" autoLine="0" autoPict="0">
                <anchor moveWithCells="1">
                  <from>
                    <xdr:col>1</xdr:col>
                    <xdr:colOff>438150</xdr:colOff>
                    <xdr:row>28</xdr:row>
                    <xdr:rowOff>12700</xdr:rowOff>
                  </from>
                  <to>
                    <xdr:col>1</xdr:col>
                    <xdr:colOff>914400</xdr:colOff>
                    <xdr:row>28</xdr:row>
                    <xdr:rowOff>203200</xdr:rowOff>
                  </to>
                </anchor>
              </controlPr>
            </control>
          </mc:Choice>
        </mc:AlternateContent>
        <mc:AlternateContent xmlns:mc="http://schemas.openxmlformats.org/markup-compatibility/2006">
          <mc:Choice Requires="x14">
            <control shapeId="106520" r:id="rId27" name="Option Button 24">
              <controlPr defaultSize="0" autoFill="0" autoLine="0" autoPict="0">
                <anchor moveWithCells="1">
                  <from>
                    <xdr:col>1</xdr:col>
                    <xdr:colOff>438150</xdr:colOff>
                    <xdr:row>29</xdr:row>
                    <xdr:rowOff>12700</xdr:rowOff>
                  </from>
                  <to>
                    <xdr:col>1</xdr:col>
                    <xdr:colOff>914400</xdr:colOff>
                    <xdr:row>29</xdr:row>
                    <xdr:rowOff>203200</xdr:rowOff>
                  </to>
                </anchor>
              </controlPr>
            </control>
          </mc:Choice>
        </mc:AlternateContent>
        <mc:AlternateContent xmlns:mc="http://schemas.openxmlformats.org/markup-compatibility/2006">
          <mc:Choice Requires="x14">
            <control shapeId="106521" r:id="rId28" name="Option Button 25">
              <controlPr defaultSize="0" autoFill="0" autoLine="0" autoPict="0">
                <anchor moveWithCells="1">
                  <from>
                    <xdr:col>1</xdr:col>
                    <xdr:colOff>438150</xdr:colOff>
                    <xdr:row>30</xdr:row>
                    <xdr:rowOff>12700</xdr:rowOff>
                  </from>
                  <to>
                    <xdr:col>1</xdr:col>
                    <xdr:colOff>914400</xdr:colOff>
                    <xdr:row>30</xdr:row>
                    <xdr:rowOff>203200</xdr:rowOff>
                  </to>
                </anchor>
              </controlPr>
            </control>
          </mc:Choice>
        </mc:AlternateContent>
        <mc:AlternateContent xmlns:mc="http://schemas.openxmlformats.org/markup-compatibility/2006">
          <mc:Choice Requires="x14">
            <control shapeId="106522" r:id="rId29" name="Option Button 26">
              <controlPr defaultSize="0" autoFill="0" autoLine="0" autoPict="0">
                <anchor moveWithCells="1">
                  <from>
                    <xdr:col>1</xdr:col>
                    <xdr:colOff>438150</xdr:colOff>
                    <xdr:row>31</xdr:row>
                    <xdr:rowOff>12700</xdr:rowOff>
                  </from>
                  <to>
                    <xdr:col>1</xdr:col>
                    <xdr:colOff>914400</xdr:colOff>
                    <xdr:row>31</xdr:row>
                    <xdr:rowOff>203200</xdr:rowOff>
                  </to>
                </anchor>
              </controlPr>
            </control>
          </mc:Choice>
        </mc:AlternateContent>
        <mc:AlternateContent xmlns:mc="http://schemas.openxmlformats.org/markup-compatibility/2006">
          <mc:Choice Requires="x14">
            <control shapeId="106523" r:id="rId30" name="Option Button 27">
              <controlPr defaultSize="0" autoFill="0" autoLine="0" autoPict="0">
                <anchor moveWithCells="1">
                  <from>
                    <xdr:col>1</xdr:col>
                    <xdr:colOff>438150</xdr:colOff>
                    <xdr:row>32</xdr:row>
                    <xdr:rowOff>12700</xdr:rowOff>
                  </from>
                  <to>
                    <xdr:col>1</xdr:col>
                    <xdr:colOff>914400</xdr:colOff>
                    <xdr:row>32</xdr:row>
                    <xdr:rowOff>203200</xdr:rowOff>
                  </to>
                </anchor>
              </controlPr>
            </control>
          </mc:Choice>
        </mc:AlternateContent>
        <mc:AlternateContent xmlns:mc="http://schemas.openxmlformats.org/markup-compatibility/2006">
          <mc:Choice Requires="x14">
            <control shapeId="106524" r:id="rId31" name="Option Button 28">
              <controlPr defaultSize="0" autoFill="0" autoLine="0" autoPict="0">
                <anchor moveWithCells="1">
                  <from>
                    <xdr:col>1</xdr:col>
                    <xdr:colOff>438150</xdr:colOff>
                    <xdr:row>33</xdr:row>
                    <xdr:rowOff>12700</xdr:rowOff>
                  </from>
                  <to>
                    <xdr:col>1</xdr:col>
                    <xdr:colOff>914400</xdr:colOff>
                    <xdr:row>33</xdr:row>
                    <xdr:rowOff>203200</xdr:rowOff>
                  </to>
                </anchor>
              </controlPr>
            </control>
          </mc:Choice>
        </mc:AlternateContent>
        <mc:AlternateContent xmlns:mc="http://schemas.openxmlformats.org/markup-compatibility/2006">
          <mc:Choice Requires="x14">
            <control shapeId="106525" r:id="rId32" name="Option Button 29">
              <controlPr defaultSize="0" autoFill="0" autoLine="0" autoPict="0">
                <anchor moveWithCells="1">
                  <from>
                    <xdr:col>1</xdr:col>
                    <xdr:colOff>438150</xdr:colOff>
                    <xdr:row>34</xdr:row>
                    <xdr:rowOff>12700</xdr:rowOff>
                  </from>
                  <to>
                    <xdr:col>1</xdr:col>
                    <xdr:colOff>914400</xdr:colOff>
                    <xdr:row>34</xdr:row>
                    <xdr:rowOff>203200</xdr:rowOff>
                  </to>
                </anchor>
              </controlPr>
            </control>
          </mc:Choice>
        </mc:AlternateContent>
        <mc:AlternateContent xmlns:mc="http://schemas.openxmlformats.org/markup-compatibility/2006">
          <mc:Choice Requires="x14">
            <control shapeId="106526" r:id="rId33" name="Option Button 30">
              <controlPr defaultSize="0" autoFill="0" autoLine="0" autoPict="0">
                <anchor moveWithCells="1">
                  <from>
                    <xdr:col>1</xdr:col>
                    <xdr:colOff>438150</xdr:colOff>
                    <xdr:row>35</xdr:row>
                    <xdr:rowOff>12700</xdr:rowOff>
                  </from>
                  <to>
                    <xdr:col>1</xdr:col>
                    <xdr:colOff>914400</xdr:colOff>
                    <xdr:row>35</xdr:row>
                    <xdr:rowOff>203200</xdr:rowOff>
                  </to>
                </anchor>
              </controlPr>
            </control>
          </mc:Choice>
        </mc:AlternateContent>
        <mc:AlternateContent xmlns:mc="http://schemas.openxmlformats.org/markup-compatibility/2006">
          <mc:Choice Requires="x14">
            <control shapeId="106527" r:id="rId34" name="Option Button 31">
              <controlPr defaultSize="0" autoFill="0" autoLine="0" autoPict="0">
                <anchor moveWithCells="1">
                  <from>
                    <xdr:col>1</xdr:col>
                    <xdr:colOff>438150</xdr:colOff>
                    <xdr:row>36</xdr:row>
                    <xdr:rowOff>12700</xdr:rowOff>
                  </from>
                  <to>
                    <xdr:col>1</xdr:col>
                    <xdr:colOff>914400</xdr:colOff>
                    <xdr:row>36</xdr:row>
                    <xdr:rowOff>203200</xdr:rowOff>
                  </to>
                </anchor>
              </controlPr>
            </control>
          </mc:Choice>
        </mc:AlternateContent>
        <mc:AlternateContent xmlns:mc="http://schemas.openxmlformats.org/markup-compatibility/2006">
          <mc:Choice Requires="x14">
            <control shapeId="106528" r:id="rId35" name="Option Button 32">
              <controlPr defaultSize="0" autoFill="0" autoLine="0" autoPict="0">
                <anchor moveWithCells="1">
                  <from>
                    <xdr:col>1</xdr:col>
                    <xdr:colOff>438150</xdr:colOff>
                    <xdr:row>37</xdr:row>
                    <xdr:rowOff>12700</xdr:rowOff>
                  </from>
                  <to>
                    <xdr:col>1</xdr:col>
                    <xdr:colOff>914400</xdr:colOff>
                    <xdr:row>37</xdr:row>
                    <xdr:rowOff>203200</xdr:rowOff>
                  </to>
                </anchor>
              </controlPr>
            </control>
          </mc:Choice>
        </mc:AlternateContent>
        <mc:AlternateContent xmlns:mc="http://schemas.openxmlformats.org/markup-compatibility/2006">
          <mc:Choice Requires="x14">
            <control shapeId="106529" r:id="rId36" name="Option Button 33">
              <controlPr defaultSize="0" autoFill="0" autoLine="0" autoPict="0">
                <anchor moveWithCells="1">
                  <from>
                    <xdr:col>1</xdr:col>
                    <xdr:colOff>438150</xdr:colOff>
                    <xdr:row>38</xdr:row>
                    <xdr:rowOff>12700</xdr:rowOff>
                  </from>
                  <to>
                    <xdr:col>1</xdr:col>
                    <xdr:colOff>914400</xdr:colOff>
                    <xdr:row>38</xdr:row>
                    <xdr:rowOff>203200</xdr:rowOff>
                  </to>
                </anchor>
              </controlPr>
            </control>
          </mc:Choice>
        </mc:AlternateContent>
        <mc:AlternateContent xmlns:mc="http://schemas.openxmlformats.org/markup-compatibility/2006">
          <mc:Choice Requires="x14">
            <control shapeId="106530" r:id="rId37" name="Option Button 34">
              <controlPr defaultSize="0" autoFill="0" autoLine="0" autoPict="0">
                <anchor moveWithCells="1">
                  <from>
                    <xdr:col>1</xdr:col>
                    <xdr:colOff>438150</xdr:colOff>
                    <xdr:row>39</xdr:row>
                    <xdr:rowOff>12700</xdr:rowOff>
                  </from>
                  <to>
                    <xdr:col>1</xdr:col>
                    <xdr:colOff>914400</xdr:colOff>
                    <xdr:row>39</xdr:row>
                    <xdr:rowOff>203200</xdr:rowOff>
                  </to>
                </anchor>
              </controlPr>
            </control>
          </mc:Choice>
        </mc:AlternateContent>
        <mc:AlternateContent xmlns:mc="http://schemas.openxmlformats.org/markup-compatibility/2006">
          <mc:Choice Requires="x14">
            <control shapeId="106531" r:id="rId38" name="Option Button 35">
              <controlPr defaultSize="0" autoFill="0" autoLine="0" autoPict="0">
                <anchor moveWithCells="1">
                  <from>
                    <xdr:col>1</xdr:col>
                    <xdr:colOff>438150</xdr:colOff>
                    <xdr:row>40</xdr:row>
                    <xdr:rowOff>12700</xdr:rowOff>
                  </from>
                  <to>
                    <xdr:col>1</xdr:col>
                    <xdr:colOff>914400</xdr:colOff>
                    <xdr:row>40</xdr:row>
                    <xdr:rowOff>203200</xdr:rowOff>
                  </to>
                </anchor>
              </controlPr>
            </control>
          </mc:Choice>
        </mc:AlternateContent>
        <mc:AlternateContent xmlns:mc="http://schemas.openxmlformats.org/markup-compatibility/2006">
          <mc:Choice Requires="x14">
            <control shapeId="106532" r:id="rId39" name="Option Button 36">
              <controlPr defaultSize="0" autoFill="0" autoLine="0" autoPict="0">
                <anchor moveWithCells="1">
                  <from>
                    <xdr:col>1</xdr:col>
                    <xdr:colOff>438150</xdr:colOff>
                    <xdr:row>41</xdr:row>
                    <xdr:rowOff>12700</xdr:rowOff>
                  </from>
                  <to>
                    <xdr:col>1</xdr:col>
                    <xdr:colOff>914400</xdr:colOff>
                    <xdr:row>41</xdr:row>
                    <xdr:rowOff>203200</xdr:rowOff>
                  </to>
                </anchor>
              </controlPr>
            </control>
          </mc:Choice>
        </mc:AlternateContent>
        <mc:AlternateContent xmlns:mc="http://schemas.openxmlformats.org/markup-compatibility/2006">
          <mc:Choice Requires="x14">
            <control shapeId="106533" r:id="rId40" name="Option Button 37">
              <controlPr defaultSize="0" autoFill="0" autoLine="0" autoPict="0">
                <anchor moveWithCells="1">
                  <from>
                    <xdr:col>1</xdr:col>
                    <xdr:colOff>438150</xdr:colOff>
                    <xdr:row>42</xdr:row>
                    <xdr:rowOff>12700</xdr:rowOff>
                  </from>
                  <to>
                    <xdr:col>1</xdr:col>
                    <xdr:colOff>914400</xdr:colOff>
                    <xdr:row>42</xdr:row>
                    <xdr:rowOff>203200</xdr:rowOff>
                  </to>
                </anchor>
              </controlPr>
            </control>
          </mc:Choice>
        </mc:AlternateContent>
        <mc:AlternateContent xmlns:mc="http://schemas.openxmlformats.org/markup-compatibility/2006">
          <mc:Choice Requires="x14">
            <control shapeId="106534" r:id="rId41" name="Option Button 38">
              <controlPr defaultSize="0" autoFill="0" autoLine="0" autoPict="0">
                <anchor moveWithCells="1">
                  <from>
                    <xdr:col>1</xdr:col>
                    <xdr:colOff>438150</xdr:colOff>
                    <xdr:row>43</xdr:row>
                    <xdr:rowOff>12700</xdr:rowOff>
                  </from>
                  <to>
                    <xdr:col>1</xdr:col>
                    <xdr:colOff>914400</xdr:colOff>
                    <xdr:row>43</xdr:row>
                    <xdr:rowOff>203200</xdr:rowOff>
                  </to>
                </anchor>
              </controlPr>
            </control>
          </mc:Choice>
        </mc:AlternateContent>
        <mc:AlternateContent xmlns:mc="http://schemas.openxmlformats.org/markup-compatibility/2006">
          <mc:Choice Requires="x14">
            <control shapeId="106535" r:id="rId42" name="Option Button 39">
              <controlPr defaultSize="0" autoFill="0" autoLine="0" autoPict="0">
                <anchor moveWithCells="1">
                  <from>
                    <xdr:col>1</xdr:col>
                    <xdr:colOff>438150</xdr:colOff>
                    <xdr:row>44</xdr:row>
                    <xdr:rowOff>12700</xdr:rowOff>
                  </from>
                  <to>
                    <xdr:col>1</xdr:col>
                    <xdr:colOff>914400</xdr:colOff>
                    <xdr:row>44</xdr:row>
                    <xdr:rowOff>203200</xdr:rowOff>
                  </to>
                </anchor>
              </controlPr>
            </control>
          </mc:Choice>
        </mc:AlternateContent>
        <mc:AlternateContent xmlns:mc="http://schemas.openxmlformats.org/markup-compatibility/2006">
          <mc:Choice Requires="x14">
            <control shapeId="106536" r:id="rId43" name="Option Button 40">
              <controlPr defaultSize="0" autoFill="0" autoLine="0" autoPict="0">
                <anchor moveWithCells="1">
                  <from>
                    <xdr:col>1</xdr:col>
                    <xdr:colOff>438150</xdr:colOff>
                    <xdr:row>45</xdr:row>
                    <xdr:rowOff>12700</xdr:rowOff>
                  </from>
                  <to>
                    <xdr:col>1</xdr:col>
                    <xdr:colOff>914400</xdr:colOff>
                    <xdr:row>45</xdr:row>
                    <xdr:rowOff>203200</xdr:rowOff>
                  </to>
                </anchor>
              </controlPr>
            </control>
          </mc:Choice>
        </mc:AlternateContent>
        <mc:AlternateContent xmlns:mc="http://schemas.openxmlformats.org/markup-compatibility/2006">
          <mc:Choice Requires="x14">
            <control shapeId="106537" r:id="rId44" name="Option Button 41">
              <controlPr defaultSize="0" autoFill="0" autoLine="0" autoPict="0">
                <anchor moveWithCells="1">
                  <from>
                    <xdr:col>1</xdr:col>
                    <xdr:colOff>438150</xdr:colOff>
                    <xdr:row>46</xdr:row>
                    <xdr:rowOff>12700</xdr:rowOff>
                  </from>
                  <to>
                    <xdr:col>1</xdr:col>
                    <xdr:colOff>914400</xdr:colOff>
                    <xdr:row>46</xdr:row>
                    <xdr:rowOff>203200</xdr:rowOff>
                  </to>
                </anchor>
              </controlPr>
            </control>
          </mc:Choice>
        </mc:AlternateContent>
        <mc:AlternateContent xmlns:mc="http://schemas.openxmlformats.org/markup-compatibility/2006">
          <mc:Choice Requires="x14">
            <control shapeId="106538" r:id="rId45" name="Option Button 42">
              <controlPr defaultSize="0" autoFill="0" autoLine="0" autoPict="0">
                <anchor moveWithCells="1">
                  <from>
                    <xdr:col>1</xdr:col>
                    <xdr:colOff>438150</xdr:colOff>
                    <xdr:row>47</xdr:row>
                    <xdr:rowOff>12700</xdr:rowOff>
                  </from>
                  <to>
                    <xdr:col>1</xdr:col>
                    <xdr:colOff>914400</xdr:colOff>
                    <xdr:row>47</xdr:row>
                    <xdr:rowOff>203200</xdr:rowOff>
                  </to>
                </anchor>
              </controlPr>
            </control>
          </mc:Choice>
        </mc:AlternateContent>
        <mc:AlternateContent xmlns:mc="http://schemas.openxmlformats.org/markup-compatibility/2006">
          <mc:Choice Requires="x14">
            <control shapeId="106539" r:id="rId46" name="Option Button 43">
              <controlPr defaultSize="0" autoFill="0" autoLine="0" autoPict="0">
                <anchor moveWithCells="1">
                  <from>
                    <xdr:col>1</xdr:col>
                    <xdr:colOff>438150</xdr:colOff>
                    <xdr:row>48</xdr:row>
                    <xdr:rowOff>12700</xdr:rowOff>
                  </from>
                  <to>
                    <xdr:col>1</xdr:col>
                    <xdr:colOff>914400</xdr:colOff>
                    <xdr:row>48</xdr:row>
                    <xdr:rowOff>203200</xdr:rowOff>
                  </to>
                </anchor>
              </controlPr>
            </control>
          </mc:Choice>
        </mc:AlternateContent>
        <mc:AlternateContent xmlns:mc="http://schemas.openxmlformats.org/markup-compatibility/2006">
          <mc:Choice Requires="x14">
            <control shapeId="106540" r:id="rId47" name="Option Button 44">
              <controlPr defaultSize="0" autoFill="0" autoLine="0" autoPict="0">
                <anchor moveWithCells="1">
                  <from>
                    <xdr:col>1</xdr:col>
                    <xdr:colOff>438150</xdr:colOff>
                    <xdr:row>49</xdr:row>
                    <xdr:rowOff>12700</xdr:rowOff>
                  </from>
                  <to>
                    <xdr:col>1</xdr:col>
                    <xdr:colOff>914400</xdr:colOff>
                    <xdr:row>49</xdr:row>
                    <xdr:rowOff>203200</xdr:rowOff>
                  </to>
                </anchor>
              </controlPr>
            </control>
          </mc:Choice>
        </mc:AlternateContent>
        <mc:AlternateContent xmlns:mc="http://schemas.openxmlformats.org/markup-compatibility/2006">
          <mc:Choice Requires="x14">
            <control shapeId="106541" r:id="rId48" name="Option Button 45">
              <controlPr defaultSize="0" autoFill="0" autoLine="0" autoPict="0">
                <anchor moveWithCells="1">
                  <from>
                    <xdr:col>1</xdr:col>
                    <xdr:colOff>438150</xdr:colOff>
                    <xdr:row>50</xdr:row>
                    <xdr:rowOff>12700</xdr:rowOff>
                  </from>
                  <to>
                    <xdr:col>1</xdr:col>
                    <xdr:colOff>914400</xdr:colOff>
                    <xdr:row>50</xdr:row>
                    <xdr:rowOff>209550</xdr:rowOff>
                  </to>
                </anchor>
              </controlPr>
            </control>
          </mc:Choice>
        </mc:AlternateContent>
        <mc:AlternateContent xmlns:mc="http://schemas.openxmlformats.org/markup-compatibility/2006">
          <mc:Choice Requires="x14">
            <control shapeId="106542" r:id="rId49" name="Option Button 46">
              <controlPr defaultSize="0" autoFill="0" autoLine="0" autoPict="0">
                <anchor moveWithCells="1">
                  <from>
                    <xdr:col>1</xdr:col>
                    <xdr:colOff>438150</xdr:colOff>
                    <xdr:row>51</xdr:row>
                    <xdr:rowOff>12700</xdr:rowOff>
                  </from>
                  <to>
                    <xdr:col>1</xdr:col>
                    <xdr:colOff>914400</xdr:colOff>
                    <xdr:row>51</xdr:row>
                    <xdr:rowOff>203200</xdr:rowOff>
                  </to>
                </anchor>
              </controlPr>
            </control>
          </mc:Choice>
        </mc:AlternateContent>
        <mc:AlternateContent xmlns:mc="http://schemas.openxmlformats.org/markup-compatibility/2006">
          <mc:Choice Requires="x14">
            <control shapeId="106543" r:id="rId50" name="Option Button 47">
              <controlPr defaultSize="0" autoFill="0" autoLine="0" autoPict="0">
                <anchor moveWithCells="1">
                  <from>
                    <xdr:col>1</xdr:col>
                    <xdr:colOff>438150</xdr:colOff>
                    <xdr:row>52</xdr:row>
                    <xdr:rowOff>12700</xdr:rowOff>
                  </from>
                  <to>
                    <xdr:col>1</xdr:col>
                    <xdr:colOff>914400</xdr:colOff>
                    <xdr:row>52</xdr:row>
                    <xdr:rowOff>203200</xdr:rowOff>
                  </to>
                </anchor>
              </controlPr>
            </control>
          </mc:Choice>
        </mc:AlternateContent>
        <mc:AlternateContent xmlns:mc="http://schemas.openxmlformats.org/markup-compatibility/2006">
          <mc:Choice Requires="x14">
            <control shapeId="106544" r:id="rId51" name="Option Button 48">
              <controlPr defaultSize="0" autoFill="0" autoLine="0" autoPict="0">
                <anchor moveWithCells="1">
                  <from>
                    <xdr:col>1</xdr:col>
                    <xdr:colOff>438150</xdr:colOff>
                    <xdr:row>53</xdr:row>
                    <xdr:rowOff>12700</xdr:rowOff>
                  </from>
                  <to>
                    <xdr:col>1</xdr:col>
                    <xdr:colOff>914400</xdr:colOff>
                    <xdr:row>53</xdr:row>
                    <xdr:rowOff>209550</xdr:rowOff>
                  </to>
                </anchor>
              </controlPr>
            </control>
          </mc:Choice>
        </mc:AlternateContent>
        <mc:AlternateContent xmlns:mc="http://schemas.openxmlformats.org/markup-compatibility/2006">
          <mc:Choice Requires="x14">
            <control shapeId="106545" r:id="rId52" name="Option Button 49">
              <controlPr defaultSize="0" autoFill="0" autoLine="0" autoPict="0">
                <anchor moveWithCells="1">
                  <from>
                    <xdr:col>1</xdr:col>
                    <xdr:colOff>438150</xdr:colOff>
                    <xdr:row>54</xdr:row>
                    <xdr:rowOff>12700</xdr:rowOff>
                  </from>
                  <to>
                    <xdr:col>1</xdr:col>
                    <xdr:colOff>914400</xdr:colOff>
                    <xdr:row>54</xdr:row>
                    <xdr:rowOff>203200</xdr:rowOff>
                  </to>
                </anchor>
              </controlPr>
            </control>
          </mc:Choice>
        </mc:AlternateContent>
        <mc:AlternateContent xmlns:mc="http://schemas.openxmlformats.org/markup-compatibility/2006">
          <mc:Choice Requires="x14">
            <control shapeId="106546" r:id="rId53" name="Option Button 50">
              <controlPr defaultSize="0" autoFill="0" autoLine="0" autoPict="0">
                <anchor moveWithCells="1">
                  <from>
                    <xdr:col>1</xdr:col>
                    <xdr:colOff>438150</xdr:colOff>
                    <xdr:row>55</xdr:row>
                    <xdr:rowOff>12700</xdr:rowOff>
                  </from>
                  <to>
                    <xdr:col>1</xdr:col>
                    <xdr:colOff>914400</xdr:colOff>
                    <xdr:row>55</xdr:row>
                    <xdr:rowOff>203200</xdr:rowOff>
                  </to>
                </anchor>
              </controlPr>
            </control>
          </mc:Choice>
        </mc:AlternateContent>
        <mc:AlternateContent xmlns:mc="http://schemas.openxmlformats.org/markup-compatibility/2006">
          <mc:Choice Requires="x14">
            <control shapeId="106547" r:id="rId54" name="Option Button 51">
              <controlPr defaultSize="0" autoFill="0" autoLine="0" autoPict="0">
                <anchor moveWithCells="1">
                  <from>
                    <xdr:col>1</xdr:col>
                    <xdr:colOff>438150</xdr:colOff>
                    <xdr:row>56</xdr:row>
                    <xdr:rowOff>12700</xdr:rowOff>
                  </from>
                  <to>
                    <xdr:col>1</xdr:col>
                    <xdr:colOff>914400</xdr:colOff>
                    <xdr:row>56</xdr:row>
                    <xdr:rowOff>203200</xdr:rowOff>
                  </to>
                </anchor>
              </controlPr>
            </control>
          </mc:Choice>
        </mc:AlternateContent>
        <mc:AlternateContent xmlns:mc="http://schemas.openxmlformats.org/markup-compatibility/2006">
          <mc:Choice Requires="x14">
            <control shapeId="106548" r:id="rId55" name="Option Button 52">
              <controlPr defaultSize="0" autoFill="0" autoLine="0" autoPict="0">
                <anchor moveWithCells="1">
                  <from>
                    <xdr:col>1</xdr:col>
                    <xdr:colOff>438150</xdr:colOff>
                    <xdr:row>57</xdr:row>
                    <xdr:rowOff>12700</xdr:rowOff>
                  </from>
                  <to>
                    <xdr:col>1</xdr:col>
                    <xdr:colOff>914400</xdr:colOff>
                    <xdr:row>57</xdr:row>
                    <xdr:rowOff>203200</xdr:rowOff>
                  </to>
                </anchor>
              </controlPr>
            </control>
          </mc:Choice>
        </mc:AlternateContent>
        <mc:AlternateContent xmlns:mc="http://schemas.openxmlformats.org/markup-compatibility/2006">
          <mc:Choice Requires="x14">
            <control shapeId="106549" r:id="rId56" name="Option Button 53">
              <controlPr defaultSize="0" autoFill="0" autoLine="0" autoPict="0">
                <anchor moveWithCells="1">
                  <from>
                    <xdr:col>1</xdr:col>
                    <xdr:colOff>438150</xdr:colOff>
                    <xdr:row>58</xdr:row>
                    <xdr:rowOff>12700</xdr:rowOff>
                  </from>
                  <to>
                    <xdr:col>1</xdr:col>
                    <xdr:colOff>914400</xdr:colOff>
                    <xdr:row>58</xdr:row>
                    <xdr:rowOff>203200</xdr:rowOff>
                  </to>
                </anchor>
              </controlPr>
            </control>
          </mc:Choice>
        </mc:AlternateContent>
        <mc:AlternateContent xmlns:mc="http://schemas.openxmlformats.org/markup-compatibility/2006">
          <mc:Choice Requires="x14">
            <control shapeId="106550" r:id="rId57" name="Option Button 54">
              <controlPr defaultSize="0" autoFill="0" autoLine="0" autoPict="0">
                <anchor moveWithCells="1">
                  <from>
                    <xdr:col>1</xdr:col>
                    <xdr:colOff>438150</xdr:colOff>
                    <xdr:row>59</xdr:row>
                    <xdr:rowOff>12700</xdr:rowOff>
                  </from>
                  <to>
                    <xdr:col>1</xdr:col>
                    <xdr:colOff>914400</xdr:colOff>
                    <xdr:row>59</xdr:row>
                    <xdr:rowOff>203200</xdr:rowOff>
                  </to>
                </anchor>
              </controlPr>
            </control>
          </mc:Choice>
        </mc:AlternateContent>
        <mc:AlternateContent xmlns:mc="http://schemas.openxmlformats.org/markup-compatibility/2006">
          <mc:Choice Requires="x14">
            <control shapeId="106551" r:id="rId58" name="Option Button 55">
              <controlPr defaultSize="0" autoFill="0" autoLine="0" autoPict="0">
                <anchor moveWithCells="1">
                  <from>
                    <xdr:col>1</xdr:col>
                    <xdr:colOff>438150</xdr:colOff>
                    <xdr:row>60</xdr:row>
                    <xdr:rowOff>12700</xdr:rowOff>
                  </from>
                  <to>
                    <xdr:col>1</xdr:col>
                    <xdr:colOff>914400</xdr:colOff>
                    <xdr:row>60</xdr:row>
                    <xdr:rowOff>203200</xdr:rowOff>
                  </to>
                </anchor>
              </controlPr>
            </control>
          </mc:Choice>
        </mc:AlternateContent>
        <mc:AlternateContent xmlns:mc="http://schemas.openxmlformats.org/markup-compatibility/2006">
          <mc:Choice Requires="x14">
            <control shapeId="106552" r:id="rId59" name="Option Button 56">
              <controlPr defaultSize="0" autoFill="0" autoLine="0" autoPict="0">
                <anchor moveWithCells="1">
                  <from>
                    <xdr:col>1</xdr:col>
                    <xdr:colOff>438150</xdr:colOff>
                    <xdr:row>61</xdr:row>
                    <xdr:rowOff>12700</xdr:rowOff>
                  </from>
                  <to>
                    <xdr:col>1</xdr:col>
                    <xdr:colOff>914400</xdr:colOff>
                    <xdr:row>61</xdr:row>
                    <xdr:rowOff>203200</xdr:rowOff>
                  </to>
                </anchor>
              </controlPr>
            </control>
          </mc:Choice>
        </mc:AlternateContent>
        <mc:AlternateContent xmlns:mc="http://schemas.openxmlformats.org/markup-compatibility/2006">
          <mc:Choice Requires="x14">
            <control shapeId="106553" r:id="rId60" name="Option Button 57">
              <controlPr defaultSize="0" autoFill="0" autoLine="0" autoPict="0">
                <anchor moveWithCells="1">
                  <from>
                    <xdr:col>1</xdr:col>
                    <xdr:colOff>438150</xdr:colOff>
                    <xdr:row>62</xdr:row>
                    <xdr:rowOff>12700</xdr:rowOff>
                  </from>
                  <to>
                    <xdr:col>1</xdr:col>
                    <xdr:colOff>914400</xdr:colOff>
                    <xdr:row>62</xdr:row>
                    <xdr:rowOff>203200</xdr:rowOff>
                  </to>
                </anchor>
              </controlPr>
            </control>
          </mc:Choice>
        </mc:AlternateContent>
        <mc:AlternateContent xmlns:mc="http://schemas.openxmlformats.org/markup-compatibility/2006">
          <mc:Choice Requires="x14">
            <control shapeId="106554" r:id="rId61" name="Option Button 58">
              <controlPr defaultSize="0" autoFill="0" autoLine="0" autoPict="0">
                <anchor moveWithCells="1">
                  <from>
                    <xdr:col>1</xdr:col>
                    <xdr:colOff>438150</xdr:colOff>
                    <xdr:row>63</xdr:row>
                    <xdr:rowOff>12700</xdr:rowOff>
                  </from>
                  <to>
                    <xdr:col>1</xdr:col>
                    <xdr:colOff>914400</xdr:colOff>
                    <xdr:row>63</xdr:row>
                    <xdr:rowOff>203200</xdr:rowOff>
                  </to>
                </anchor>
              </controlPr>
            </control>
          </mc:Choice>
        </mc:AlternateContent>
        <mc:AlternateContent xmlns:mc="http://schemas.openxmlformats.org/markup-compatibility/2006">
          <mc:Choice Requires="x14">
            <control shapeId="106555" r:id="rId62" name="Option Button 59">
              <controlPr defaultSize="0" autoFill="0" autoLine="0" autoPict="0">
                <anchor moveWithCells="1">
                  <from>
                    <xdr:col>1</xdr:col>
                    <xdr:colOff>438150</xdr:colOff>
                    <xdr:row>64</xdr:row>
                    <xdr:rowOff>12700</xdr:rowOff>
                  </from>
                  <to>
                    <xdr:col>1</xdr:col>
                    <xdr:colOff>914400</xdr:colOff>
                    <xdr:row>64</xdr:row>
                    <xdr:rowOff>203200</xdr:rowOff>
                  </to>
                </anchor>
              </controlPr>
            </control>
          </mc:Choice>
        </mc:AlternateContent>
        <mc:AlternateContent xmlns:mc="http://schemas.openxmlformats.org/markup-compatibility/2006">
          <mc:Choice Requires="x14">
            <control shapeId="106556" r:id="rId63" name="Option Button 60">
              <controlPr defaultSize="0" autoFill="0" autoLine="0" autoPict="0">
                <anchor moveWithCells="1">
                  <from>
                    <xdr:col>1</xdr:col>
                    <xdr:colOff>438150</xdr:colOff>
                    <xdr:row>65</xdr:row>
                    <xdr:rowOff>12700</xdr:rowOff>
                  </from>
                  <to>
                    <xdr:col>1</xdr:col>
                    <xdr:colOff>914400</xdr:colOff>
                    <xdr:row>65</xdr:row>
                    <xdr:rowOff>203200</xdr:rowOff>
                  </to>
                </anchor>
              </controlPr>
            </control>
          </mc:Choice>
        </mc:AlternateContent>
        <mc:AlternateContent xmlns:mc="http://schemas.openxmlformats.org/markup-compatibility/2006">
          <mc:Choice Requires="x14">
            <control shapeId="106557" r:id="rId64" name="Option Button 61">
              <controlPr defaultSize="0" autoFill="0" autoLine="0" autoPict="0">
                <anchor moveWithCells="1">
                  <from>
                    <xdr:col>1</xdr:col>
                    <xdr:colOff>438150</xdr:colOff>
                    <xdr:row>66</xdr:row>
                    <xdr:rowOff>12700</xdr:rowOff>
                  </from>
                  <to>
                    <xdr:col>1</xdr:col>
                    <xdr:colOff>914400</xdr:colOff>
                    <xdr:row>66</xdr:row>
                    <xdr:rowOff>203200</xdr:rowOff>
                  </to>
                </anchor>
              </controlPr>
            </control>
          </mc:Choice>
        </mc:AlternateContent>
        <mc:AlternateContent xmlns:mc="http://schemas.openxmlformats.org/markup-compatibility/2006">
          <mc:Choice Requires="x14">
            <control shapeId="106558" r:id="rId65" name="Option Button 62">
              <controlPr defaultSize="0" autoFill="0" autoLine="0" autoPict="0">
                <anchor moveWithCells="1">
                  <from>
                    <xdr:col>1</xdr:col>
                    <xdr:colOff>438150</xdr:colOff>
                    <xdr:row>67</xdr:row>
                    <xdr:rowOff>12700</xdr:rowOff>
                  </from>
                  <to>
                    <xdr:col>1</xdr:col>
                    <xdr:colOff>914400</xdr:colOff>
                    <xdr:row>67</xdr:row>
                    <xdr:rowOff>203200</xdr:rowOff>
                  </to>
                </anchor>
              </controlPr>
            </control>
          </mc:Choice>
        </mc:AlternateContent>
        <mc:AlternateContent xmlns:mc="http://schemas.openxmlformats.org/markup-compatibility/2006">
          <mc:Choice Requires="x14">
            <control shapeId="106559" r:id="rId66" name="Option Button 63">
              <controlPr defaultSize="0" autoFill="0" autoLine="0" autoPict="0">
                <anchor moveWithCells="1">
                  <from>
                    <xdr:col>1</xdr:col>
                    <xdr:colOff>438150</xdr:colOff>
                    <xdr:row>68</xdr:row>
                    <xdr:rowOff>12700</xdr:rowOff>
                  </from>
                  <to>
                    <xdr:col>1</xdr:col>
                    <xdr:colOff>914400</xdr:colOff>
                    <xdr:row>68</xdr:row>
                    <xdr:rowOff>203200</xdr:rowOff>
                  </to>
                </anchor>
              </controlPr>
            </control>
          </mc:Choice>
        </mc:AlternateContent>
        <mc:AlternateContent xmlns:mc="http://schemas.openxmlformats.org/markup-compatibility/2006">
          <mc:Choice Requires="x14">
            <control shapeId="106560" r:id="rId67" name="Option Button 64">
              <controlPr defaultSize="0" autoFill="0" autoLine="0" autoPict="0">
                <anchor moveWithCells="1">
                  <from>
                    <xdr:col>1</xdr:col>
                    <xdr:colOff>438150</xdr:colOff>
                    <xdr:row>69</xdr:row>
                    <xdr:rowOff>12700</xdr:rowOff>
                  </from>
                  <to>
                    <xdr:col>1</xdr:col>
                    <xdr:colOff>914400</xdr:colOff>
                    <xdr:row>69</xdr:row>
                    <xdr:rowOff>203200</xdr:rowOff>
                  </to>
                </anchor>
              </controlPr>
            </control>
          </mc:Choice>
        </mc:AlternateContent>
        <mc:AlternateContent xmlns:mc="http://schemas.openxmlformats.org/markup-compatibility/2006">
          <mc:Choice Requires="x14">
            <control shapeId="106561" r:id="rId68" name="Option Button 65">
              <controlPr defaultSize="0" autoFill="0" autoLine="0" autoPict="0">
                <anchor moveWithCells="1">
                  <from>
                    <xdr:col>1</xdr:col>
                    <xdr:colOff>438150</xdr:colOff>
                    <xdr:row>70</xdr:row>
                    <xdr:rowOff>12700</xdr:rowOff>
                  </from>
                  <to>
                    <xdr:col>1</xdr:col>
                    <xdr:colOff>914400</xdr:colOff>
                    <xdr:row>70</xdr:row>
                    <xdr:rowOff>203200</xdr:rowOff>
                  </to>
                </anchor>
              </controlPr>
            </control>
          </mc:Choice>
        </mc:AlternateContent>
        <mc:AlternateContent xmlns:mc="http://schemas.openxmlformats.org/markup-compatibility/2006">
          <mc:Choice Requires="x14">
            <control shapeId="106562" r:id="rId69" name="Option Button 66">
              <controlPr defaultSize="0" autoFill="0" autoLine="0" autoPict="0">
                <anchor moveWithCells="1">
                  <from>
                    <xdr:col>1</xdr:col>
                    <xdr:colOff>438150</xdr:colOff>
                    <xdr:row>71</xdr:row>
                    <xdr:rowOff>12700</xdr:rowOff>
                  </from>
                  <to>
                    <xdr:col>1</xdr:col>
                    <xdr:colOff>914400</xdr:colOff>
                    <xdr:row>71</xdr:row>
                    <xdr:rowOff>203200</xdr:rowOff>
                  </to>
                </anchor>
              </controlPr>
            </control>
          </mc:Choice>
        </mc:AlternateContent>
        <mc:AlternateContent xmlns:mc="http://schemas.openxmlformats.org/markup-compatibility/2006">
          <mc:Choice Requires="x14">
            <control shapeId="106563" r:id="rId70" name="Option Button 67">
              <controlPr defaultSize="0" autoFill="0" autoLine="0" autoPict="0">
                <anchor moveWithCells="1">
                  <from>
                    <xdr:col>1</xdr:col>
                    <xdr:colOff>438150</xdr:colOff>
                    <xdr:row>72</xdr:row>
                    <xdr:rowOff>12700</xdr:rowOff>
                  </from>
                  <to>
                    <xdr:col>1</xdr:col>
                    <xdr:colOff>914400</xdr:colOff>
                    <xdr:row>72</xdr:row>
                    <xdr:rowOff>203200</xdr:rowOff>
                  </to>
                </anchor>
              </controlPr>
            </control>
          </mc:Choice>
        </mc:AlternateContent>
        <mc:AlternateContent xmlns:mc="http://schemas.openxmlformats.org/markup-compatibility/2006">
          <mc:Choice Requires="x14">
            <control shapeId="106564" r:id="rId71" name="Option Button 68">
              <controlPr defaultSize="0" autoFill="0" autoLine="0" autoPict="0">
                <anchor moveWithCells="1">
                  <from>
                    <xdr:col>1</xdr:col>
                    <xdr:colOff>438150</xdr:colOff>
                    <xdr:row>73</xdr:row>
                    <xdr:rowOff>12700</xdr:rowOff>
                  </from>
                  <to>
                    <xdr:col>1</xdr:col>
                    <xdr:colOff>914400</xdr:colOff>
                    <xdr:row>73</xdr:row>
                    <xdr:rowOff>203200</xdr:rowOff>
                  </to>
                </anchor>
              </controlPr>
            </control>
          </mc:Choice>
        </mc:AlternateContent>
        <mc:AlternateContent xmlns:mc="http://schemas.openxmlformats.org/markup-compatibility/2006">
          <mc:Choice Requires="x14">
            <control shapeId="106565" r:id="rId72" name="Option Button 69">
              <controlPr defaultSize="0" autoFill="0" autoLine="0" autoPict="0">
                <anchor moveWithCells="1">
                  <from>
                    <xdr:col>1</xdr:col>
                    <xdr:colOff>438150</xdr:colOff>
                    <xdr:row>74</xdr:row>
                    <xdr:rowOff>12700</xdr:rowOff>
                  </from>
                  <to>
                    <xdr:col>1</xdr:col>
                    <xdr:colOff>914400</xdr:colOff>
                    <xdr:row>74</xdr:row>
                    <xdr:rowOff>203200</xdr:rowOff>
                  </to>
                </anchor>
              </controlPr>
            </control>
          </mc:Choice>
        </mc:AlternateContent>
        <mc:AlternateContent xmlns:mc="http://schemas.openxmlformats.org/markup-compatibility/2006">
          <mc:Choice Requires="x14">
            <control shapeId="106566" r:id="rId73" name="Option Button 70">
              <controlPr defaultSize="0" autoFill="0" autoLine="0" autoPict="0">
                <anchor moveWithCells="1">
                  <from>
                    <xdr:col>1</xdr:col>
                    <xdr:colOff>438150</xdr:colOff>
                    <xdr:row>75</xdr:row>
                    <xdr:rowOff>12700</xdr:rowOff>
                  </from>
                  <to>
                    <xdr:col>1</xdr:col>
                    <xdr:colOff>914400</xdr:colOff>
                    <xdr:row>75</xdr:row>
                    <xdr:rowOff>203200</xdr:rowOff>
                  </to>
                </anchor>
              </controlPr>
            </control>
          </mc:Choice>
        </mc:AlternateContent>
        <mc:AlternateContent xmlns:mc="http://schemas.openxmlformats.org/markup-compatibility/2006">
          <mc:Choice Requires="x14">
            <control shapeId="106567" r:id="rId74" name="Option Button 71">
              <controlPr defaultSize="0" autoFill="0" autoLine="0" autoPict="0">
                <anchor moveWithCells="1">
                  <from>
                    <xdr:col>1</xdr:col>
                    <xdr:colOff>438150</xdr:colOff>
                    <xdr:row>76</xdr:row>
                    <xdr:rowOff>12700</xdr:rowOff>
                  </from>
                  <to>
                    <xdr:col>1</xdr:col>
                    <xdr:colOff>914400</xdr:colOff>
                    <xdr:row>76</xdr:row>
                    <xdr:rowOff>203200</xdr:rowOff>
                  </to>
                </anchor>
              </controlPr>
            </control>
          </mc:Choice>
        </mc:AlternateContent>
        <mc:AlternateContent xmlns:mc="http://schemas.openxmlformats.org/markup-compatibility/2006">
          <mc:Choice Requires="x14">
            <control shapeId="106568" r:id="rId75" name="Option Button 72">
              <controlPr defaultSize="0" autoFill="0" autoLine="0" autoPict="0">
                <anchor moveWithCells="1">
                  <from>
                    <xdr:col>1</xdr:col>
                    <xdr:colOff>438150</xdr:colOff>
                    <xdr:row>77</xdr:row>
                    <xdr:rowOff>12700</xdr:rowOff>
                  </from>
                  <to>
                    <xdr:col>1</xdr:col>
                    <xdr:colOff>914400</xdr:colOff>
                    <xdr:row>77</xdr:row>
                    <xdr:rowOff>203200</xdr:rowOff>
                  </to>
                </anchor>
              </controlPr>
            </control>
          </mc:Choice>
        </mc:AlternateContent>
        <mc:AlternateContent xmlns:mc="http://schemas.openxmlformats.org/markup-compatibility/2006">
          <mc:Choice Requires="x14">
            <control shapeId="106569" r:id="rId76" name="Option Button 73">
              <controlPr defaultSize="0" autoFill="0" autoLine="0" autoPict="0">
                <anchor moveWithCells="1">
                  <from>
                    <xdr:col>1</xdr:col>
                    <xdr:colOff>438150</xdr:colOff>
                    <xdr:row>78</xdr:row>
                    <xdr:rowOff>12700</xdr:rowOff>
                  </from>
                  <to>
                    <xdr:col>1</xdr:col>
                    <xdr:colOff>914400</xdr:colOff>
                    <xdr:row>78</xdr:row>
                    <xdr:rowOff>203200</xdr:rowOff>
                  </to>
                </anchor>
              </controlPr>
            </control>
          </mc:Choice>
        </mc:AlternateContent>
        <mc:AlternateContent xmlns:mc="http://schemas.openxmlformats.org/markup-compatibility/2006">
          <mc:Choice Requires="x14">
            <control shapeId="106570" r:id="rId77" name="Option Button 74">
              <controlPr defaultSize="0" autoFill="0" autoLine="0" autoPict="0">
                <anchor moveWithCells="1">
                  <from>
                    <xdr:col>1</xdr:col>
                    <xdr:colOff>438150</xdr:colOff>
                    <xdr:row>79</xdr:row>
                    <xdr:rowOff>12700</xdr:rowOff>
                  </from>
                  <to>
                    <xdr:col>1</xdr:col>
                    <xdr:colOff>914400</xdr:colOff>
                    <xdr:row>79</xdr:row>
                    <xdr:rowOff>203200</xdr:rowOff>
                  </to>
                </anchor>
              </controlPr>
            </control>
          </mc:Choice>
        </mc:AlternateContent>
        <mc:AlternateContent xmlns:mc="http://schemas.openxmlformats.org/markup-compatibility/2006">
          <mc:Choice Requires="x14">
            <control shapeId="106571" r:id="rId78" name="Option Button 75">
              <controlPr defaultSize="0" autoFill="0" autoLine="0" autoPict="0">
                <anchor moveWithCells="1">
                  <from>
                    <xdr:col>1</xdr:col>
                    <xdr:colOff>438150</xdr:colOff>
                    <xdr:row>80</xdr:row>
                    <xdr:rowOff>12700</xdr:rowOff>
                  </from>
                  <to>
                    <xdr:col>1</xdr:col>
                    <xdr:colOff>914400</xdr:colOff>
                    <xdr:row>80</xdr:row>
                    <xdr:rowOff>203200</xdr:rowOff>
                  </to>
                </anchor>
              </controlPr>
            </control>
          </mc:Choice>
        </mc:AlternateContent>
        <mc:AlternateContent xmlns:mc="http://schemas.openxmlformats.org/markup-compatibility/2006">
          <mc:Choice Requires="x14">
            <control shapeId="106572" r:id="rId79" name="Option Button 76">
              <controlPr defaultSize="0" autoFill="0" autoLine="0" autoPict="0">
                <anchor moveWithCells="1">
                  <from>
                    <xdr:col>1</xdr:col>
                    <xdr:colOff>438150</xdr:colOff>
                    <xdr:row>81</xdr:row>
                    <xdr:rowOff>12700</xdr:rowOff>
                  </from>
                  <to>
                    <xdr:col>1</xdr:col>
                    <xdr:colOff>914400</xdr:colOff>
                    <xdr:row>81</xdr:row>
                    <xdr:rowOff>203200</xdr:rowOff>
                  </to>
                </anchor>
              </controlPr>
            </control>
          </mc:Choice>
        </mc:AlternateContent>
        <mc:AlternateContent xmlns:mc="http://schemas.openxmlformats.org/markup-compatibility/2006">
          <mc:Choice Requires="x14">
            <control shapeId="106573" r:id="rId80" name="Option Button 77">
              <controlPr defaultSize="0" autoFill="0" autoLine="0" autoPict="0">
                <anchor moveWithCells="1">
                  <from>
                    <xdr:col>1</xdr:col>
                    <xdr:colOff>438150</xdr:colOff>
                    <xdr:row>82</xdr:row>
                    <xdr:rowOff>12700</xdr:rowOff>
                  </from>
                  <to>
                    <xdr:col>1</xdr:col>
                    <xdr:colOff>914400</xdr:colOff>
                    <xdr:row>82</xdr:row>
                    <xdr:rowOff>203200</xdr:rowOff>
                  </to>
                </anchor>
              </controlPr>
            </control>
          </mc:Choice>
        </mc:AlternateContent>
        <mc:AlternateContent xmlns:mc="http://schemas.openxmlformats.org/markup-compatibility/2006">
          <mc:Choice Requires="x14">
            <control shapeId="106574" r:id="rId81" name="Option Button 78">
              <controlPr defaultSize="0" autoFill="0" autoLine="0" autoPict="0">
                <anchor moveWithCells="1">
                  <from>
                    <xdr:col>1</xdr:col>
                    <xdr:colOff>438150</xdr:colOff>
                    <xdr:row>83</xdr:row>
                    <xdr:rowOff>12700</xdr:rowOff>
                  </from>
                  <to>
                    <xdr:col>1</xdr:col>
                    <xdr:colOff>914400</xdr:colOff>
                    <xdr:row>83</xdr:row>
                    <xdr:rowOff>203200</xdr:rowOff>
                  </to>
                </anchor>
              </controlPr>
            </control>
          </mc:Choice>
        </mc:AlternateContent>
        <mc:AlternateContent xmlns:mc="http://schemas.openxmlformats.org/markup-compatibility/2006">
          <mc:Choice Requires="x14">
            <control shapeId="106575" r:id="rId82" name="Option Button 79">
              <controlPr defaultSize="0" autoFill="0" autoLine="0" autoPict="0">
                <anchor moveWithCells="1">
                  <from>
                    <xdr:col>1</xdr:col>
                    <xdr:colOff>438150</xdr:colOff>
                    <xdr:row>84</xdr:row>
                    <xdr:rowOff>12700</xdr:rowOff>
                  </from>
                  <to>
                    <xdr:col>1</xdr:col>
                    <xdr:colOff>914400</xdr:colOff>
                    <xdr:row>84</xdr:row>
                    <xdr:rowOff>203200</xdr:rowOff>
                  </to>
                </anchor>
              </controlPr>
            </control>
          </mc:Choice>
        </mc:AlternateContent>
        <mc:AlternateContent xmlns:mc="http://schemas.openxmlformats.org/markup-compatibility/2006">
          <mc:Choice Requires="x14">
            <control shapeId="106576" r:id="rId83" name="Option Button 80">
              <controlPr defaultSize="0" autoFill="0" autoLine="0" autoPict="0">
                <anchor moveWithCells="1">
                  <from>
                    <xdr:col>1</xdr:col>
                    <xdr:colOff>438150</xdr:colOff>
                    <xdr:row>85</xdr:row>
                    <xdr:rowOff>12700</xdr:rowOff>
                  </from>
                  <to>
                    <xdr:col>1</xdr:col>
                    <xdr:colOff>914400</xdr:colOff>
                    <xdr:row>85</xdr:row>
                    <xdr:rowOff>203200</xdr:rowOff>
                  </to>
                </anchor>
              </controlPr>
            </control>
          </mc:Choice>
        </mc:AlternateContent>
        <mc:AlternateContent xmlns:mc="http://schemas.openxmlformats.org/markup-compatibility/2006">
          <mc:Choice Requires="x14">
            <control shapeId="106577" r:id="rId84" name="Option Button 81">
              <controlPr defaultSize="0" autoFill="0" autoLine="0" autoPict="0">
                <anchor moveWithCells="1">
                  <from>
                    <xdr:col>1</xdr:col>
                    <xdr:colOff>438150</xdr:colOff>
                    <xdr:row>86</xdr:row>
                    <xdr:rowOff>12700</xdr:rowOff>
                  </from>
                  <to>
                    <xdr:col>1</xdr:col>
                    <xdr:colOff>914400</xdr:colOff>
                    <xdr:row>86</xdr:row>
                    <xdr:rowOff>203200</xdr:rowOff>
                  </to>
                </anchor>
              </controlPr>
            </control>
          </mc:Choice>
        </mc:AlternateContent>
        <mc:AlternateContent xmlns:mc="http://schemas.openxmlformats.org/markup-compatibility/2006">
          <mc:Choice Requires="x14">
            <control shapeId="106578" r:id="rId85" name="Option Button 82">
              <controlPr defaultSize="0" autoFill="0" autoLine="0" autoPict="0">
                <anchor moveWithCells="1">
                  <from>
                    <xdr:col>1</xdr:col>
                    <xdr:colOff>438150</xdr:colOff>
                    <xdr:row>87</xdr:row>
                    <xdr:rowOff>12700</xdr:rowOff>
                  </from>
                  <to>
                    <xdr:col>1</xdr:col>
                    <xdr:colOff>914400</xdr:colOff>
                    <xdr:row>87</xdr:row>
                    <xdr:rowOff>209550</xdr:rowOff>
                  </to>
                </anchor>
              </controlPr>
            </control>
          </mc:Choice>
        </mc:AlternateContent>
        <mc:AlternateContent xmlns:mc="http://schemas.openxmlformats.org/markup-compatibility/2006">
          <mc:Choice Requires="x14">
            <control shapeId="106579" r:id="rId86" name="Option Button 83">
              <controlPr defaultSize="0" autoFill="0" autoLine="0" autoPict="0">
                <anchor moveWithCells="1">
                  <from>
                    <xdr:col>1</xdr:col>
                    <xdr:colOff>438150</xdr:colOff>
                    <xdr:row>88</xdr:row>
                    <xdr:rowOff>12700</xdr:rowOff>
                  </from>
                  <to>
                    <xdr:col>1</xdr:col>
                    <xdr:colOff>914400</xdr:colOff>
                    <xdr:row>88</xdr:row>
                    <xdr:rowOff>203200</xdr:rowOff>
                  </to>
                </anchor>
              </controlPr>
            </control>
          </mc:Choice>
        </mc:AlternateContent>
        <mc:AlternateContent xmlns:mc="http://schemas.openxmlformats.org/markup-compatibility/2006">
          <mc:Choice Requires="x14">
            <control shapeId="106580" r:id="rId87" name="Option Button 84">
              <controlPr defaultSize="0" autoFill="0" autoLine="0" autoPict="0">
                <anchor moveWithCells="1">
                  <from>
                    <xdr:col>1</xdr:col>
                    <xdr:colOff>438150</xdr:colOff>
                    <xdr:row>89</xdr:row>
                    <xdr:rowOff>12700</xdr:rowOff>
                  </from>
                  <to>
                    <xdr:col>1</xdr:col>
                    <xdr:colOff>914400</xdr:colOff>
                    <xdr:row>89</xdr:row>
                    <xdr:rowOff>203200</xdr:rowOff>
                  </to>
                </anchor>
              </controlPr>
            </control>
          </mc:Choice>
        </mc:AlternateContent>
        <mc:AlternateContent xmlns:mc="http://schemas.openxmlformats.org/markup-compatibility/2006">
          <mc:Choice Requires="x14">
            <control shapeId="106581" r:id="rId88" name="Option Button 85">
              <controlPr defaultSize="0" autoFill="0" autoLine="0" autoPict="0">
                <anchor moveWithCells="1">
                  <from>
                    <xdr:col>1</xdr:col>
                    <xdr:colOff>438150</xdr:colOff>
                    <xdr:row>90</xdr:row>
                    <xdr:rowOff>12700</xdr:rowOff>
                  </from>
                  <to>
                    <xdr:col>1</xdr:col>
                    <xdr:colOff>914400</xdr:colOff>
                    <xdr:row>90</xdr:row>
                    <xdr:rowOff>203200</xdr:rowOff>
                  </to>
                </anchor>
              </controlPr>
            </control>
          </mc:Choice>
        </mc:AlternateContent>
        <mc:AlternateContent xmlns:mc="http://schemas.openxmlformats.org/markup-compatibility/2006">
          <mc:Choice Requires="x14">
            <control shapeId="106582" r:id="rId89" name="Option Button 86">
              <controlPr defaultSize="0" autoFill="0" autoLine="0" autoPict="0">
                <anchor moveWithCells="1">
                  <from>
                    <xdr:col>1</xdr:col>
                    <xdr:colOff>438150</xdr:colOff>
                    <xdr:row>91</xdr:row>
                    <xdr:rowOff>12700</xdr:rowOff>
                  </from>
                  <to>
                    <xdr:col>1</xdr:col>
                    <xdr:colOff>914400</xdr:colOff>
                    <xdr:row>91</xdr:row>
                    <xdr:rowOff>203200</xdr:rowOff>
                  </to>
                </anchor>
              </controlPr>
            </control>
          </mc:Choice>
        </mc:AlternateContent>
        <mc:AlternateContent xmlns:mc="http://schemas.openxmlformats.org/markup-compatibility/2006">
          <mc:Choice Requires="x14">
            <control shapeId="106583" r:id="rId90" name="Option Button 87">
              <controlPr defaultSize="0" autoFill="0" autoLine="0" autoPict="0">
                <anchor moveWithCells="1">
                  <from>
                    <xdr:col>1</xdr:col>
                    <xdr:colOff>438150</xdr:colOff>
                    <xdr:row>92</xdr:row>
                    <xdr:rowOff>12700</xdr:rowOff>
                  </from>
                  <to>
                    <xdr:col>1</xdr:col>
                    <xdr:colOff>914400</xdr:colOff>
                    <xdr:row>92</xdr:row>
                    <xdr:rowOff>203200</xdr:rowOff>
                  </to>
                </anchor>
              </controlPr>
            </control>
          </mc:Choice>
        </mc:AlternateContent>
        <mc:AlternateContent xmlns:mc="http://schemas.openxmlformats.org/markup-compatibility/2006">
          <mc:Choice Requires="x14">
            <control shapeId="106584" r:id="rId91" name="Option Button 88">
              <controlPr defaultSize="0" autoFill="0" autoLine="0" autoPict="0">
                <anchor moveWithCells="1">
                  <from>
                    <xdr:col>1</xdr:col>
                    <xdr:colOff>438150</xdr:colOff>
                    <xdr:row>93</xdr:row>
                    <xdr:rowOff>12700</xdr:rowOff>
                  </from>
                  <to>
                    <xdr:col>1</xdr:col>
                    <xdr:colOff>914400</xdr:colOff>
                    <xdr:row>93</xdr:row>
                    <xdr:rowOff>203200</xdr:rowOff>
                  </to>
                </anchor>
              </controlPr>
            </control>
          </mc:Choice>
        </mc:AlternateContent>
        <mc:AlternateContent xmlns:mc="http://schemas.openxmlformats.org/markup-compatibility/2006">
          <mc:Choice Requires="x14">
            <control shapeId="106585" r:id="rId92" name="Option Button 89">
              <controlPr defaultSize="0" autoFill="0" autoLine="0" autoPict="0">
                <anchor moveWithCells="1">
                  <from>
                    <xdr:col>1</xdr:col>
                    <xdr:colOff>438150</xdr:colOff>
                    <xdr:row>94</xdr:row>
                    <xdr:rowOff>12700</xdr:rowOff>
                  </from>
                  <to>
                    <xdr:col>1</xdr:col>
                    <xdr:colOff>914400</xdr:colOff>
                    <xdr:row>94</xdr:row>
                    <xdr:rowOff>203200</xdr:rowOff>
                  </to>
                </anchor>
              </controlPr>
            </control>
          </mc:Choice>
        </mc:AlternateContent>
        <mc:AlternateContent xmlns:mc="http://schemas.openxmlformats.org/markup-compatibility/2006">
          <mc:Choice Requires="x14">
            <control shapeId="106586" r:id="rId93" name="Option Button 90">
              <controlPr defaultSize="0" autoFill="0" autoLine="0" autoPict="0">
                <anchor moveWithCells="1">
                  <from>
                    <xdr:col>1</xdr:col>
                    <xdr:colOff>438150</xdr:colOff>
                    <xdr:row>95</xdr:row>
                    <xdr:rowOff>12700</xdr:rowOff>
                  </from>
                  <to>
                    <xdr:col>1</xdr:col>
                    <xdr:colOff>914400</xdr:colOff>
                    <xdr:row>95</xdr:row>
                    <xdr:rowOff>203200</xdr:rowOff>
                  </to>
                </anchor>
              </controlPr>
            </control>
          </mc:Choice>
        </mc:AlternateContent>
        <mc:AlternateContent xmlns:mc="http://schemas.openxmlformats.org/markup-compatibility/2006">
          <mc:Choice Requires="x14">
            <control shapeId="106587" r:id="rId94" name="Option Button 91">
              <controlPr defaultSize="0" autoFill="0" autoLine="0" autoPict="0">
                <anchor moveWithCells="1">
                  <from>
                    <xdr:col>1</xdr:col>
                    <xdr:colOff>438150</xdr:colOff>
                    <xdr:row>96</xdr:row>
                    <xdr:rowOff>12700</xdr:rowOff>
                  </from>
                  <to>
                    <xdr:col>1</xdr:col>
                    <xdr:colOff>914400</xdr:colOff>
                    <xdr:row>96</xdr:row>
                    <xdr:rowOff>203200</xdr:rowOff>
                  </to>
                </anchor>
              </controlPr>
            </control>
          </mc:Choice>
        </mc:AlternateContent>
        <mc:AlternateContent xmlns:mc="http://schemas.openxmlformats.org/markup-compatibility/2006">
          <mc:Choice Requires="x14">
            <control shapeId="106588" r:id="rId95" name="Option Button 92">
              <controlPr defaultSize="0" autoFill="0" autoLine="0" autoPict="0">
                <anchor moveWithCells="1">
                  <from>
                    <xdr:col>1</xdr:col>
                    <xdr:colOff>438150</xdr:colOff>
                    <xdr:row>97</xdr:row>
                    <xdr:rowOff>12700</xdr:rowOff>
                  </from>
                  <to>
                    <xdr:col>1</xdr:col>
                    <xdr:colOff>914400</xdr:colOff>
                    <xdr:row>97</xdr:row>
                    <xdr:rowOff>203200</xdr:rowOff>
                  </to>
                </anchor>
              </controlPr>
            </control>
          </mc:Choice>
        </mc:AlternateContent>
        <mc:AlternateContent xmlns:mc="http://schemas.openxmlformats.org/markup-compatibility/2006">
          <mc:Choice Requires="x14">
            <control shapeId="106589" r:id="rId96" name="Option Button 93">
              <controlPr defaultSize="0" autoFill="0" autoLine="0" autoPict="0">
                <anchor moveWithCells="1">
                  <from>
                    <xdr:col>1</xdr:col>
                    <xdr:colOff>438150</xdr:colOff>
                    <xdr:row>98</xdr:row>
                    <xdr:rowOff>12700</xdr:rowOff>
                  </from>
                  <to>
                    <xdr:col>1</xdr:col>
                    <xdr:colOff>914400</xdr:colOff>
                    <xdr:row>98</xdr:row>
                    <xdr:rowOff>203200</xdr:rowOff>
                  </to>
                </anchor>
              </controlPr>
            </control>
          </mc:Choice>
        </mc:AlternateContent>
        <mc:AlternateContent xmlns:mc="http://schemas.openxmlformats.org/markup-compatibility/2006">
          <mc:Choice Requires="x14">
            <control shapeId="106590" r:id="rId97" name="Option Button 94">
              <controlPr defaultSize="0" autoFill="0" autoLine="0" autoPict="0">
                <anchor moveWithCells="1">
                  <from>
                    <xdr:col>1</xdr:col>
                    <xdr:colOff>438150</xdr:colOff>
                    <xdr:row>99</xdr:row>
                    <xdr:rowOff>12700</xdr:rowOff>
                  </from>
                  <to>
                    <xdr:col>1</xdr:col>
                    <xdr:colOff>914400</xdr:colOff>
                    <xdr:row>99</xdr:row>
                    <xdr:rowOff>203200</xdr:rowOff>
                  </to>
                </anchor>
              </controlPr>
            </control>
          </mc:Choice>
        </mc:AlternateContent>
        <mc:AlternateContent xmlns:mc="http://schemas.openxmlformats.org/markup-compatibility/2006">
          <mc:Choice Requires="x14">
            <control shapeId="106591" r:id="rId98" name="Option Button 95">
              <controlPr defaultSize="0" autoFill="0" autoLine="0" autoPict="0">
                <anchor moveWithCells="1">
                  <from>
                    <xdr:col>1</xdr:col>
                    <xdr:colOff>438150</xdr:colOff>
                    <xdr:row>100</xdr:row>
                    <xdr:rowOff>12700</xdr:rowOff>
                  </from>
                  <to>
                    <xdr:col>1</xdr:col>
                    <xdr:colOff>914400</xdr:colOff>
                    <xdr:row>100</xdr:row>
                    <xdr:rowOff>203200</xdr:rowOff>
                  </to>
                </anchor>
              </controlPr>
            </control>
          </mc:Choice>
        </mc:AlternateContent>
        <mc:AlternateContent xmlns:mc="http://schemas.openxmlformats.org/markup-compatibility/2006">
          <mc:Choice Requires="x14">
            <control shapeId="106592" r:id="rId99" name="Option Button 96">
              <controlPr defaultSize="0" autoFill="0" autoLine="0" autoPict="0">
                <anchor moveWithCells="1">
                  <from>
                    <xdr:col>1</xdr:col>
                    <xdr:colOff>438150</xdr:colOff>
                    <xdr:row>101</xdr:row>
                    <xdr:rowOff>12700</xdr:rowOff>
                  </from>
                  <to>
                    <xdr:col>1</xdr:col>
                    <xdr:colOff>914400</xdr:colOff>
                    <xdr:row>101</xdr:row>
                    <xdr:rowOff>203200</xdr:rowOff>
                  </to>
                </anchor>
              </controlPr>
            </control>
          </mc:Choice>
        </mc:AlternateContent>
        <mc:AlternateContent xmlns:mc="http://schemas.openxmlformats.org/markup-compatibility/2006">
          <mc:Choice Requires="x14">
            <control shapeId="106593" r:id="rId100" name="Option Button 97">
              <controlPr defaultSize="0" autoFill="0" autoLine="0" autoPict="0">
                <anchor moveWithCells="1">
                  <from>
                    <xdr:col>1</xdr:col>
                    <xdr:colOff>438150</xdr:colOff>
                    <xdr:row>102</xdr:row>
                    <xdr:rowOff>12700</xdr:rowOff>
                  </from>
                  <to>
                    <xdr:col>1</xdr:col>
                    <xdr:colOff>914400</xdr:colOff>
                    <xdr:row>102</xdr:row>
                    <xdr:rowOff>203200</xdr:rowOff>
                  </to>
                </anchor>
              </controlPr>
            </control>
          </mc:Choice>
        </mc:AlternateContent>
        <mc:AlternateContent xmlns:mc="http://schemas.openxmlformats.org/markup-compatibility/2006">
          <mc:Choice Requires="x14">
            <control shapeId="106594" r:id="rId101" name="Option Button 98">
              <controlPr defaultSize="0" autoFill="0" autoLine="0" autoPict="0">
                <anchor moveWithCells="1">
                  <from>
                    <xdr:col>1</xdr:col>
                    <xdr:colOff>438150</xdr:colOff>
                    <xdr:row>103</xdr:row>
                    <xdr:rowOff>12700</xdr:rowOff>
                  </from>
                  <to>
                    <xdr:col>1</xdr:col>
                    <xdr:colOff>914400</xdr:colOff>
                    <xdr:row>103</xdr:row>
                    <xdr:rowOff>203200</xdr:rowOff>
                  </to>
                </anchor>
              </controlPr>
            </control>
          </mc:Choice>
        </mc:AlternateContent>
        <mc:AlternateContent xmlns:mc="http://schemas.openxmlformats.org/markup-compatibility/2006">
          <mc:Choice Requires="x14">
            <control shapeId="106595" r:id="rId102" name="Option Button 99">
              <controlPr defaultSize="0" autoFill="0" autoLine="0" autoPict="0">
                <anchor moveWithCells="1">
                  <from>
                    <xdr:col>1</xdr:col>
                    <xdr:colOff>438150</xdr:colOff>
                    <xdr:row>104</xdr:row>
                    <xdr:rowOff>12700</xdr:rowOff>
                  </from>
                  <to>
                    <xdr:col>1</xdr:col>
                    <xdr:colOff>914400</xdr:colOff>
                    <xdr:row>104</xdr:row>
                    <xdr:rowOff>203200</xdr:rowOff>
                  </to>
                </anchor>
              </controlPr>
            </control>
          </mc:Choice>
        </mc:AlternateContent>
        <mc:AlternateContent xmlns:mc="http://schemas.openxmlformats.org/markup-compatibility/2006">
          <mc:Choice Requires="x14">
            <control shapeId="106596" r:id="rId103" name="Option Button 100">
              <controlPr defaultSize="0" autoFill="0" autoLine="0" autoPict="0">
                <anchor moveWithCells="1">
                  <from>
                    <xdr:col>1</xdr:col>
                    <xdr:colOff>438150</xdr:colOff>
                    <xdr:row>105</xdr:row>
                    <xdr:rowOff>12700</xdr:rowOff>
                  </from>
                  <to>
                    <xdr:col>1</xdr:col>
                    <xdr:colOff>914400</xdr:colOff>
                    <xdr:row>105</xdr:row>
                    <xdr:rowOff>203200</xdr:rowOff>
                  </to>
                </anchor>
              </controlPr>
            </control>
          </mc:Choice>
        </mc:AlternateContent>
        <mc:AlternateContent xmlns:mc="http://schemas.openxmlformats.org/markup-compatibility/2006">
          <mc:Choice Requires="x14">
            <control shapeId="106597" r:id="rId104" name="Option Button 101">
              <controlPr defaultSize="0" autoFill="0" autoLine="0" autoPict="0">
                <anchor moveWithCells="1">
                  <from>
                    <xdr:col>1</xdr:col>
                    <xdr:colOff>438150</xdr:colOff>
                    <xdr:row>106</xdr:row>
                    <xdr:rowOff>12700</xdr:rowOff>
                  </from>
                  <to>
                    <xdr:col>1</xdr:col>
                    <xdr:colOff>914400</xdr:colOff>
                    <xdr:row>106</xdr:row>
                    <xdr:rowOff>203200</xdr:rowOff>
                  </to>
                </anchor>
              </controlPr>
            </control>
          </mc:Choice>
        </mc:AlternateContent>
        <mc:AlternateContent xmlns:mc="http://schemas.openxmlformats.org/markup-compatibility/2006">
          <mc:Choice Requires="x14">
            <control shapeId="106598" r:id="rId105" name="Option Button 102">
              <controlPr defaultSize="0" autoFill="0" autoLine="0" autoPict="0">
                <anchor moveWithCells="1">
                  <from>
                    <xdr:col>1</xdr:col>
                    <xdr:colOff>438150</xdr:colOff>
                    <xdr:row>107</xdr:row>
                    <xdr:rowOff>12700</xdr:rowOff>
                  </from>
                  <to>
                    <xdr:col>1</xdr:col>
                    <xdr:colOff>914400</xdr:colOff>
                    <xdr:row>107</xdr:row>
                    <xdr:rowOff>203200</xdr:rowOff>
                  </to>
                </anchor>
              </controlPr>
            </control>
          </mc:Choice>
        </mc:AlternateContent>
        <mc:AlternateContent xmlns:mc="http://schemas.openxmlformats.org/markup-compatibility/2006">
          <mc:Choice Requires="x14">
            <control shapeId="106599" r:id="rId106" name="Option Button 103">
              <controlPr defaultSize="0" autoFill="0" autoLine="0" autoPict="0">
                <anchor moveWithCells="1">
                  <from>
                    <xdr:col>1</xdr:col>
                    <xdr:colOff>438150</xdr:colOff>
                    <xdr:row>108</xdr:row>
                    <xdr:rowOff>12700</xdr:rowOff>
                  </from>
                  <to>
                    <xdr:col>1</xdr:col>
                    <xdr:colOff>914400</xdr:colOff>
                    <xdr:row>108</xdr:row>
                    <xdr:rowOff>203200</xdr:rowOff>
                  </to>
                </anchor>
              </controlPr>
            </control>
          </mc:Choice>
        </mc:AlternateContent>
        <mc:AlternateContent xmlns:mc="http://schemas.openxmlformats.org/markup-compatibility/2006">
          <mc:Choice Requires="x14">
            <control shapeId="106600" r:id="rId107" name="Option Button 104">
              <controlPr defaultSize="0" autoFill="0" autoLine="0" autoPict="0">
                <anchor moveWithCells="1">
                  <from>
                    <xdr:col>1</xdr:col>
                    <xdr:colOff>438150</xdr:colOff>
                    <xdr:row>109</xdr:row>
                    <xdr:rowOff>12700</xdr:rowOff>
                  </from>
                  <to>
                    <xdr:col>1</xdr:col>
                    <xdr:colOff>914400</xdr:colOff>
                    <xdr:row>109</xdr:row>
                    <xdr:rowOff>203200</xdr:rowOff>
                  </to>
                </anchor>
              </controlPr>
            </control>
          </mc:Choice>
        </mc:AlternateContent>
        <mc:AlternateContent xmlns:mc="http://schemas.openxmlformats.org/markup-compatibility/2006">
          <mc:Choice Requires="x14">
            <control shapeId="106601" r:id="rId108" name="Option Button 105">
              <controlPr defaultSize="0" autoFill="0" autoLine="0" autoPict="0">
                <anchor moveWithCells="1">
                  <from>
                    <xdr:col>1</xdr:col>
                    <xdr:colOff>438150</xdr:colOff>
                    <xdr:row>110</xdr:row>
                    <xdr:rowOff>12700</xdr:rowOff>
                  </from>
                  <to>
                    <xdr:col>1</xdr:col>
                    <xdr:colOff>914400</xdr:colOff>
                    <xdr:row>110</xdr:row>
                    <xdr:rowOff>203200</xdr:rowOff>
                  </to>
                </anchor>
              </controlPr>
            </control>
          </mc:Choice>
        </mc:AlternateContent>
        <mc:AlternateContent xmlns:mc="http://schemas.openxmlformats.org/markup-compatibility/2006">
          <mc:Choice Requires="x14">
            <control shapeId="106602" r:id="rId109" name="Option Button 106">
              <controlPr defaultSize="0" autoFill="0" autoLine="0" autoPict="0">
                <anchor moveWithCells="1">
                  <from>
                    <xdr:col>1</xdr:col>
                    <xdr:colOff>438150</xdr:colOff>
                    <xdr:row>111</xdr:row>
                    <xdr:rowOff>12700</xdr:rowOff>
                  </from>
                  <to>
                    <xdr:col>1</xdr:col>
                    <xdr:colOff>914400</xdr:colOff>
                    <xdr:row>111</xdr:row>
                    <xdr:rowOff>203200</xdr:rowOff>
                  </to>
                </anchor>
              </controlPr>
            </control>
          </mc:Choice>
        </mc:AlternateContent>
        <mc:AlternateContent xmlns:mc="http://schemas.openxmlformats.org/markup-compatibility/2006">
          <mc:Choice Requires="x14">
            <control shapeId="106603" r:id="rId110" name="Option Button 107">
              <controlPr defaultSize="0" autoFill="0" autoLine="0" autoPict="0">
                <anchor moveWithCells="1">
                  <from>
                    <xdr:col>1</xdr:col>
                    <xdr:colOff>438150</xdr:colOff>
                    <xdr:row>112</xdr:row>
                    <xdr:rowOff>12700</xdr:rowOff>
                  </from>
                  <to>
                    <xdr:col>1</xdr:col>
                    <xdr:colOff>914400</xdr:colOff>
                    <xdr:row>112</xdr:row>
                    <xdr:rowOff>203200</xdr:rowOff>
                  </to>
                </anchor>
              </controlPr>
            </control>
          </mc:Choice>
        </mc:AlternateContent>
        <mc:AlternateContent xmlns:mc="http://schemas.openxmlformats.org/markup-compatibility/2006">
          <mc:Choice Requires="x14">
            <control shapeId="106604" r:id="rId111" name="Option Button 108">
              <controlPr defaultSize="0" autoFill="0" autoLine="0" autoPict="0">
                <anchor moveWithCells="1">
                  <from>
                    <xdr:col>1</xdr:col>
                    <xdr:colOff>438150</xdr:colOff>
                    <xdr:row>113</xdr:row>
                    <xdr:rowOff>12700</xdr:rowOff>
                  </from>
                  <to>
                    <xdr:col>1</xdr:col>
                    <xdr:colOff>914400</xdr:colOff>
                    <xdr:row>113</xdr:row>
                    <xdr:rowOff>203200</xdr:rowOff>
                  </to>
                </anchor>
              </controlPr>
            </control>
          </mc:Choice>
        </mc:AlternateContent>
        <mc:AlternateContent xmlns:mc="http://schemas.openxmlformats.org/markup-compatibility/2006">
          <mc:Choice Requires="x14">
            <control shapeId="106605" r:id="rId112" name="Option Button 109">
              <controlPr defaultSize="0" autoFill="0" autoLine="0" autoPict="0">
                <anchor moveWithCells="1">
                  <from>
                    <xdr:col>1</xdr:col>
                    <xdr:colOff>438150</xdr:colOff>
                    <xdr:row>114</xdr:row>
                    <xdr:rowOff>12700</xdr:rowOff>
                  </from>
                  <to>
                    <xdr:col>1</xdr:col>
                    <xdr:colOff>914400</xdr:colOff>
                    <xdr:row>114</xdr:row>
                    <xdr:rowOff>203200</xdr:rowOff>
                  </to>
                </anchor>
              </controlPr>
            </control>
          </mc:Choice>
        </mc:AlternateContent>
        <mc:AlternateContent xmlns:mc="http://schemas.openxmlformats.org/markup-compatibility/2006">
          <mc:Choice Requires="x14">
            <control shapeId="106606" r:id="rId113" name="Option Button 110">
              <controlPr defaultSize="0" autoFill="0" autoLine="0" autoPict="0">
                <anchor moveWithCells="1">
                  <from>
                    <xdr:col>1</xdr:col>
                    <xdr:colOff>438150</xdr:colOff>
                    <xdr:row>115</xdr:row>
                    <xdr:rowOff>12700</xdr:rowOff>
                  </from>
                  <to>
                    <xdr:col>1</xdr:col>
                    <xdr:colOff>914400</xdr:colOff>
                    <xdr:row>115</xdr:row>
                    <xdr:rowOff>203200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M50"/>
  <sheetViews>
    <sheetView showGridLines="0" zoomScaleNormal="100" workbookViewId="0">
      <selection sqref="A1:F1"/>
    </sheetView>
  </sheetViews>
  <sheetFormatPr defaultRowHeight="13"/>
  <cols>
    <col min="1" max="3" width="15.08984375" style="561" customWidth="1"/>
    <col min="4" max="4" width="35.26953125" style="561" customWidth="1"/>
    <col min="5" max="6" width="19.6328125" style="549" customWidth="1"/>
    <col min="7" max="7" width="9" style="549"/>
    <col min="8" max="8" width="9" style="551" customWidth="1"/>
    <col min="9" max="9" width="9" style="551"/>
    <col min="10" max="10" width="0" style="551" hidden="1" customWidth="1"/>
    <col min="11" max="13" width="9" style="551"/>
    <col min="14" max="256" width="9" style="549"/>
    <col min="257" max="259" width="15.08984375" style="549" customWidth="1"/>
    <col min="260" max="260" width="35.26953125" style="549" customWidth="1"/>
    <col min="261" max="262" width="19.6328125" style="549" customWidth="1"/>
    <col min="263" max="263" width="9" style="549"/>
    <col min="264" max="264" width="29.08984375" style="549" bestFit="1" customWidth="1"/>
    <col min="265" max="512" width="9" style="549"/>
    <col min="513" max="515" width="15.08984375" style="549" customWidth="1"/>
    <col min="516" max="516" width="35.26953125" style="549" customWidth="1"/>
    <col min="517" max="518" width="19.6328125" style="549" customWidth="1"/>
    <col min="519" max="519" width="9" style="549"/>
    <col min="520" max="520" width="29.08984375" style="549" bestFit="1" customWidth="1"/>
    <col min="521" max="768" width="9" style="549"/>
    <col min="769" max="771" width="15.08984375" style="549" customWidth="1"/>
    <col min="772" max="772" width="35.26953125" style="549" customWidth="1"/>
    <col min="773" max="774" width="19.6328125" style="549" customWidth="1"/>
    <col min="775" max="775" width="9" style="549"/>
    <col min="776" max="776" width="29.08984375" style="549" bestFit="1" customWidth="1"/>
    <col min="777" max="1024" width="9" style="549"/>
    <col min="1025" max="1027" width="15.08984375" style="549" customWidth="1"/>
    <col min="1028" max="1028" width="35.26953125" style="549" customWidth="1"/>
    <col min="1029" max="1030" width="19.6328125" style="549" customWidth="1"/>
    <col min="1031" max="1031" width="9" style="549"/>
    <col min="1032" max="1032" width="29.08984375" style="549" bestFit="1" customWidth="1"/>
    <col min="1033" max="1280" width="9" style="549"/>
    <col min="1281" max="1283" width="15.08984375" style="549" customWidth="1"/>
    <col min="1284" max="1284" width="35.26953125" style="549" customWidth="1"/>
    <col min="1285" max="1286" width="19.6328125" style="549" customWidth="1"/>
    <col min="1287" max="1287" width="9" style="549"/>
    <col min="1288" max="1288" width="29.08984375" style="549" bestFit="1" customWidth="1"/>
    <col min="1289" max="1536" width="9" style="549"/>
    <col min="1537" max="1539" width="15.08984375" style="549" customWidth="1"/>
    <col min="1540" max="1540" width="35.26953125" style="549" customWidth="1"/>
    <col min="1541" max="1542" width="19.6328125" style="549" customWidth="1"/>
    <col min="1543" max="1543" width="9" style="549"/>
    <col min="1544" max="1544" width="29.08984375" style="549" bestFit="1" customWidth="1"/>
    <col min="1545" max="1792" width="9" style="549"/>
    <col min="1793" max="1795" width="15.08984375" style="549" customWidth="1"/>
    <col min="1796" max="1796" width="35.26953125" style="549" customWidth="1"/>
    <col min="1797" max="1798" width="19.6328125" style="549" customWidth="1"/>
    <col min="1799" max="1799" width="9" style="549"/>
    <col min="1800" max="1800" width="29.08984375" style="549" bestFit="1" customWidth="1"/>
    <col min="1801" max="2048" width="9" style="549"/>
    <col min="2049" max="2051" width="15.08984375" style="549" customWidth="1"/>
    <col min="2052" max="2052" width="35.26953125" style="549" customWidth="1"/>
    <col min="2053" max="2054" width="19.6328125" style="549" customWidth="1"/>
    <col min="2055" max="2055" width="9" style="549"/>
    <col min="2056" max="2056" width="29.08984375" style="549" bestFit="1" customWidth="1"/>
    <col min="2057" max="2304" width="9" style="549"/>
    <col min="2305" max="2307" width="15.08984375" style="549" customWidth="1"/>
    <col min="2308" max="2308" width="35.26953125" style="549" customWidth="1"/>
    <col min="2309" max="2310" width="19.6328125" style="549" customWidth="1"/>
    <col min="2311" max="2311" width="9" style="549"/>
    <col min="2312" max="2312" width="29.08984375" style="549" bestFit="1" customWidth="1"/>
    <col min="2313" max="2560" width="9" style="549"/>
    <col min="2561" max="2563" width="15.08984375" style="549" customWidth="1"/>
    <col min="2564" max="2564" width="35.26953125" style="549" customWidth="1"/>
    <col min="2565" max="2566" width="19.6328125" style="549" customWidth="1"/>
    <col min="2567" max="2567" width="9" style="549"/>
    <col min="2568" max="2568" width="29.08984375" style="549" bestFit="1" customWidth="1"/>
    <col min="2569" max="2816" width="9" style="549"/>
    <col min="2817" max="2819" width="15.08984375" style="549" customWidth="1"/>
    <col min="2820" max="2820" width="35.26953125" style="549" customWidth="1"/>
    <col min="2821" max="2822" width="19.6328125" style="549" customWidth="1"/>
    <col min="2823" max="2823" width="9" style="549"/>
    <col min="2824" max="2824" width="29.08984375" style="549" bestFit="1" customWidth="1"/>
    <col min="2825" max="3072" width="9" style="549"/>
    <col min="3073" max="3075" width="15.08984375" style="549" customWidth="1"/>
    <col min="3076" max="3076" width="35.26953125" style="549" customWidth="1"/>
    <col min="3077" max="3078" width="19.6328125" style="549" customWidth="1"/>
    <col min="3079" max="3079" width="9" style="549"/>
    <col min="3080" max="3080" width="29.08984375" style="549" bestFit="1" customWidth="1"/>
    <col min="3081" max="3328" width="9" style="549"/>
    <col min="3329" max="3331" width="15.08984375" style="549" customWidth="1"/>
    <col min="3332" max="3332" width="35.26953125" style="549" customWidth="1"/>
    <col min="3333" max="3334" width="19.6328125" style="549" customWidth="1"/>
    <col min="3335" max="3335" width="9" style="549"/>
    <col min="3336" max="3336" width="29.08984375" style="549" bestFit="1" customWidth="1"/>
    <col min="3337" max="3584" width="9" style="549"/>
    <col min="3585" max="3587" width="15.08984375" style="549" customWidth="1"/>
    <col min="3588" max="3588" width="35.26953125" style="549" customWidth="1"/>
    <col min="3589" max="3590" width="19.6328125" style="549" customWidth="1"/>
    <col min="3591" max="3591" width="9" style="549"/>
    <col min="3592" max="3592" width="29.08984375" style="549" bestFit="1" customWidth="1"/>
    <col min="3593" max="3840" width="9" style="549"/>
    <col min="3841" max="3843" width="15.08984375" style="549" customWidth="1"/>
    <col min="3844" max="3844" width="35.26953125" style="549" customWidth="1"/>
    <col min="3845" max="3846" width="19.6328125" style="549" customWidth="1"/>
    <col min="3847" max="3847" width="9" style="549"/>
    <col min="3848" max="3848" width="29.08984375" style="549" bestFit="1" customWidth="1"/>
    <col min="3849" max="4096" width="9" style="549"/>
    <col min="4097" max="4099" width="15.08984375" style="549" customWidth="1"/>
    <col min="4100" max="4100" width="35.26953125" style="549" customWidth="1"/>
    <col min="4101" max="4102" width="19.6328125" style="549" customWidth="1"/>
    <col min="4103" max="4103" width="9" style="549"/>
    <col min="4104" max="4104" width="29.08984375" style="549" bestFit="1" customWidth="1"/>
    <col min="4105" max="4352" width="9" style="549"/>
    <col min="4353" max="4355" width="15.08984375" style="549" customWidth="1"/>
    <col min="4356" max="4356" width="35.26953125" style="549" customWidth="1"/>
    <col min="4357" max="4358" width="19.6328125" style="549" customWidth="1"/>
    <col min="4359" max="4359" width="9" style="549"/>
    <col min="4360" max="4360" width="29.08984375" style="549" bestFit="1" customWidth="1"/>
    <col min="4361" max="4608" width="9" style="549"/>
    <col min="4609" max="4611" width="15.08984375" style="549" customWidth="1"/>
    <col min="4612" max="4612" width="35.26953125" style="549" customWidth="1"/>
    <col min="4613" max="4614" width="19.6328125" style="549" customWidth="1"/>
    <col min="4615" max="4615" width="9" style="549"/>
    <col min="4616" max="4616" width="29.08984375" style="549" bestFit="1" customWidth="1"/>
    <col min="4617" max="4864" width="9" style="549"/>
    <col min="4865" max="4867" width="15.08984375" style="549" customWidth="1"/>
    <col min="4868" max="4868" width="35.26953125" style="549" customWidth="1"/>
    <col min="4869" max="4870" width="19.6328125" style="549" customWidth="1"/>
    <col min="4871" max="4871" width="9" style="549"/>
    <col min="4872" max="4872" width="29.08984375" style="549" bestFit="1" customWidth="1"/>
    <col min="4873" max="5120" width="9" style="549"/>
    <col min="5121" max="5123" width="15.08984375" style="549" customWidth="1"/>
    <col min="5124" max="5124" width="35.26953125" style="549" customWidth="1"/>
    <col min="5125" max="5126" width="19.6328125" style="549" customWidth="1"/>
    <col min="5127" max="5127" width="9" style="549"/>
    <col min="5128" max="5128" width="29.08984375" style="549" bestFit="1" customWidth="1"/>
    <col min="5129" max="5376" width="9" style="549"/>
    <col min="5377" max="5379" width="15.08984375" style="549" customWidth="1"/>
    <col min="5380" max="5380" width="35.26953125" style="549" customWidth="1"/>
    <col min="5381" max="5382" width="19.6328125" style="549" customWidth="1"/>
    <col min="5383" max="5383" width="9" style="549"/>
    <col min="5384" max="5384" width="29.08984375" style="549" bestFit="1" customWidth="1"/>
    <col min="5385" max="5632" width="9" style="549"/>
    <col min="5633" max="5635" width="15.08984375" style="549" customWidth="1"/>
    <col min="5636" max="5636" width="35.26953125" style="549" customWidth="1"/>
    <col min="5637" max="5638" width="19.6328125" style="549" customWidth="1"/>
    <col min="5639" max="5639" width="9" style="549"/>
    <col min="5640" max="5640" width="29.08984375" style="549" bestFit="1" customWidth="1"/>
    <col min="5641" max="5888" width="9" style="549"/>
    <col min="5889" max="5891" width="15.08984375" style="549" customWidth="1"/>
    <col min="5892" max="5892" width="35.26953125" style="549" customWidth="1"/>
    <col min="5893" max="5894" width="19.6328125" style="549" customWidth="1"/>
    <col min="5895" max="5895" width="9" style="549"/>
    <col min="5896" max="5896" width="29.08984375" style="549" bestFit="1" customWidth="1"/>
    <col min="5897" max="6144" width="9" style="549"/>
    <col min="6145" max="6147" width="15.08984375" style="549" customWidth="1"/>
    <col min="6148" max="6148" width="35.26953125" style="549" customWidth="1"/>
    <col min="6149" max="6150" width="19.6328125" style="549" customWidth="1"/>
    <col min="6151" max="6151" width="9" style="549"/>
    <col min="6152" max="6152" width="29.08984375" style="549" bestFit="1" customWidth="1"/>
    <col min="6153" max="6400" width="9" style="549"/>
    <col min="6401" max="6403" width="15.08984375" style="549" customWidth="1"/>
    <col min="6404" max="6404" width="35.26953125" style="549" customWidth="1"/>
    <col min="6405" max="6406" width="19.6328125" style="549" customWidth="1"/>
    <col min="6407" max="6407" width="9" style="549"/>
    <col min="6408" max="6408" width="29.08984375" style="549" bestFit="1" customWidth="1"/>
    <col min="6409" max="6656" width="9" style="549"/>
    <col min="6657" max="6659" width="15.08984375" style="549" customWidth="1"/>
    <col min="6660" max="6660" width="35.26953125" style="549" customWidth="1"/>
    <col min="6661" max="6662" width="19.6328125" style="549" customWidth="1"/>
    <col min="6663" max="6663" width="9" style="549"/>
    <col min="6664" max="6664" width="29.08984375" style="549" bestFit="1" customWidth="1"/>
    <col min="6665" max="6912" width="9" style="549"/>
    <col min="6913" max="6915" width="15.08984375" style="549" customWidth="1"/>
    <col min="6916" max="6916" width="35.26953125" style="549" customWidth="1"/>
    <col min="6917" max="6918" width="19.6328125" style="549" customWidth="1"/>
    <col min="6919" max="6919" width="9" style="549"/>
    <col min="6920" max="6920" width="29.08984375" style="549" bestFit="1" customWidth="1"/>
    <col min="6921" max="7168" width="9" style="549"/>
    <col min="7169" max="7171" width="15.08984375" style="549" customWidth="1"/>
    <col min="7172" max="7172" width="35.26953125" style="549" customWidth="1"/>
    <col min="7173" max="7174" width="19.6328125" style="549" customWidth="1"/>
    <col min="7175" max="7175" width="9" style="549"/>
    <col min="7176" max="7176" width="29.08984375" style="549" bestFit="1" customWidth="1"/>
    <col min="7177" max="7424" width="9" style="549"/>
    <col min="7425" max="7427" width="15.08984375" style="549" customWidth="1"/>
    <col min="7428" max="7428" width="35.26953125" style="549" customWidth="1"/>
    <col min="7429" max="7430" width="19.6328125" style="549" customWidth="1"/>
    <col min="7431" max="7431" width="9" style="549"/>
    <col min="7432" max="7432" width="29.08984375" style="549" bestFit="1" customWidth="1"/>
    <col min="7433" max="7680" width="9" style="549"/>
    <col min="7681" max="7683" width="15.08984375" style="549" customWidth="1"/>
    <col min="7684" max="7684" width="35.26953125" style="549" customWidth="1"/>
    <col min="7685" max="7686" width="19.6328125" style="549" customWidth="1"/>
    <col min="7687" max="7687" width="9" style="549"/>
    <col min="7688" max="7688" width="29.08984375" style="549" bestFit="1" customWidth="1"/>
    <col min="7689" max="7936" width="9" style="549"/>
    <col min="7937" max="7939" width="15.08984375" style="549" customWidth="1"/>
    <col min="7940" max="7940" width="35.26953125" style="549" customWidth="1"/>
    <col min="7941" max="7942" width="19.6328125" style="549" customWidth="1"/>
    <col min="7943" max="7943" width="9" style="549"/>
    <col min="7944" max="7944" width="29.08984375" style="549" bestFit="1" customWidth="1"/>
    <col min="7945" max="8192" width="9" style="549"/>
    <col min="8193" max="8195" width="15.08984375" style="549" customWidth="1"/>
    <col min="8196" max="8196" width="35.26953125" style="549" customWidth="1"/>
    <col min="8197" max="8198" width="19.6328125" style="549" customWidth="1"/>
    <col min="8199" max="8199" width="9" style="549"/>
    <col min="8200" max="8200" width="29.08984375" style="549" bestFit="1" customWidth="1"/>
    <col min="8201" max="8448" width="9" style="549"/>
    <col min="8449" max="8451" width="15.08984375" style="549" customWidth="1"/>
    <col min="8452" max="8452" width="35.26953125" style="549" customWidth="1"/>
    <col min="8453" max="8454" width="19.6328125" style="549" customWidth="1"/>
    <col min="8455" max="8455" width="9" style="549"/>
    <col min="8456" max="8456" width="29.08984375" style="549" bestFit="1" customWidth="1"/>
    <col min="8457" max="8704" width="9" style="549"/>
    <col min="8705" max="8707" width="15.08984375" style="549" customWidth="1"/>
    <col min="8708" max="8708" width="35.26953125" style="549" customWidth="1"/>
    <col min="8709" max="8710" width="19.6328125" style="549" customWidth="1"/>
    <col min="8711" max="8711" width="9" style="549"/>
    <col min="8712" max="8712" width="29.08984375" style="549" bestFit="1" customWidth="1"/>
    <col min="8713" max="8960" width="9" style="549"/>
    <col min="8961" max="8963" width="15.08984375" style="549" customWidth="1"/>
    <col min="8964" max="8964" width="35.26953125" style="549" customWidth="1"/>
    <col min="8965" max="8966" width="19.6328125" style="549" customWidth="1"/>
    <col min="8967" max="8967" width="9" style="549"/>
    <col min="8968" max="8968" width="29.08984375" style="549" bestFit="1" customWidth="1"/>
    <col min="8969" max="9216" width="9" style="549"/>
    <col min="9217" max="9219" width="15.08984375" style="549" customWidth="1"/>
    <col min="9220" max="9220" width="35.26953125" style="549" customWidth="1"/>
    <col min="9221" max="9222" width="19.6328125" style="549" customWidth="1"/>
    <col min="9223" max="9223" width="9" style="549"/>
    <col min="9224" max="9224" width="29.08984375" style="549" bestFit="1" customWidth="1"/>
    <col min="9225" max="9472" width="9" style="549"/>
    <col min="9473" max="9475" width="15.08984375" style="549" customWidth="1"/>
    <col min="9476" max="9476" width="35.26953125" style="549" customWidth="1"/>
    <col min="9477" max="9478" width="19.6328125" style="549" customWidth="1"/>
    <col min="9479" max="9479" width="9" style="549"/>
    <col min="9480" max="9480" width="29.08984375" style="549" bestFit="1" customWidth="1"/>
    <col min="9481" max="9728" width="9" style="549"/>
    <col min="9729" max="9731" width="15.08984375" style="549" customWidth="1"/>
    <col min="9732" max="9732" width="35.26953125" style="549" customWidth="1"/>
    <col min="9733" max="9734" width="19.6328125" style="549" customWidth="1"/>
    <col min="9735" max="9735" width="9" style="549"/>
    <col min="9736" max="9736" width="29.08984375" style="549" bestFit="1" customWidth="1"/>
    <col min="9737" max="9984" width="9" style="549"/>
    <col min="9985" max="9987" width="15.08984375" style="549" customWidth="1"/>
    <col min="9988" max="9988" width="35.26953125" style="549" customWidth="1"/>
    <col min="9989" max="9990" width="19.6328125" style="549" customWidth="1"/>
    <col min="9991" max="9991" width="9" style="549"/>
    <col min="9992" max="9992" width="29.08984375" style="549" bestFit="1" customWidth="1"/>
    <col min="9993" max="10240" width="9" style="549"/>
    <col min="10241" max="10243" width="15.08984375" style="549" customWidth="1"/>
    <col min="10244" max="10244" width="35.26953125" style="549" customWidth="1"/>
    <col min="10245" max="10246" width="19.6328125" style="549" customWidth="1"/>
    <col min="10247" max="10247" width="9" style="549"/>
    <col min="10248" max="10248" width="29.08984375" style="549" bestFit="1" customWidth="1"/>
    <col min="10249" max="10496" width="9" style="549"/>
    <col min="10497" max="10499" width="15.08984375" style="549" customWidth="1"/>
    <col min="10500" max="10500" width="35.26953125" style="549" customWidth="1"/>
    <col min="10501" max="10502" width="19.6328125" style="549" customWidth="1"/>
    <col min="10503" max="10503" width="9" style="549"/>
    <col min="10504" max="10504" width="29.08984375" style="549" bestFit="1" customWidth="1"/>
    <col min="10505" max="10752" width="9" style="549"/>
    <col min="10753" max="10755" width="15.08984375" style="549" customWidth="1"/>
    <col min="10756" max="10756" width="35.26953125" style="549" customWidth="1"/>
    <col min="10757" max="10758" width="19.6328125" style="549" customWidth="1"/>
    <col min="10759" max="10759" width="9" style="549"/>
    <col min="10760" max="10760" width="29.08984375" style="549" bestFit="1" customWidth="1"/>
    <col min="10761" max="11008" width="9" style="549"/>
    <col min="11009" max="11011" width="15.08984375" style="549" customWidth="1"/>
    <col min="11012" max="11012" width="35.26953125" style="549" customWidth="1"/>
    <col min="11013" max="11014" width="19.6328125" style="549" customWidth="1"/>
    <col min="11015" max="11015" width="9" style="549"/>
    <col min="11016" max="11016" width="29.08984375" style="549" bestFit="1" customWidth="1"/>
    <col min="11017" max="11264" width="9" style="549"/>
    <col min="11265" max="11267" width="15.08984375" style="549" customWidth="1"/>
    <col min="11268" max="11268" width="35.26953125" style="549" customWidth="1"/>
    <col min="11269" max="11270" width="19.6328125" style="549" customWidth="1"/>
    <col min="11271" max="11271" width="9" style="549"/>
    <col min="11272" max="11272" width="29.08984375" style="549" bestFit="1" customWidth="1"/>
    <col min="11273" max="11520" width="9" style="549"/>
    <col min="11521" max="11523" width="15.08984375" style="549" customWidth="1"/>
    <col min="11524" max="11524" width="35.26953125" style="549" customWidth="1"/>
    <col min="11525" max="11526" width="19.6328125" style="549" customWidth="1"/>
    <col min="11527" max="11527" width="9" style="549"/>
    <col min="11528" max="11528" width="29.08984375" style="549" bestFit="1" customWidth="1"/>
    <col min="11529" max="11776" width="9" style="549"/>
    <col min="11777" max="11779" width="15.08984375" style="549" customWidth="1"/>
    <col min="11780" max="11780" width="35.26953125" style="549" customWidth="1"/>
    <col min="11781" max="11782" width="19.6328125" style="549" customWidth="1"/>
    <col min="11783" max="11783" width="9" style="549"/>
    <col min="11784" max="11784" width="29.08984375" style="549" bestFit="1" customWidth="1"/>
    <col min="11785" max="12032" width="9" style="549"/>
    <col min="12033" max="12035" width="15.08984375" style="549" customWidth="1"/>
    <col min="12036" max="12036" width="35.26953125" style="549" customWidth="1"/>
    <col min="12037" max="12038" width="19.6328125" style="549" customWidth="1"/>
    <col min="12039" max="12039" width="9" style="549"/>
    <col min="12040" max="12040" width="29.08984375" style="549" bestFit="1" customWidth="1"/>
    <col min="12041" max="12288" width="9" style="549"/>
    <col min="12289" max="12291" width="15.08984375" style="549" customWidth="1"/>
    <col min="12292" max="12292" width="35.26953125" style="549" customWidth="1"/>
    <col min="12293" max="12294" width="19.6328125" style="549" customWidth="1"/>
    <col min="12295" max="12295" width="9" style="549"/>
    <col min="12296" max="12296" width="29.08984375" style="549" bestFit="1" customWidth="1"/>
    <col min="12297" max="12544" width="9" style="549"/>
    <col min="12545" max="12547" width="15.08984375" style="549" customWidth="1"/>
    <col min="12548" max="12548" width="35.26953125" style="549" customWidth="1"/>
    <col min="12549" max="12550" width="19.6328125" style="549" customWidth="1"/>
    <col min="12551" max="12551" width="9" style="549"/>
    <col min="12552" max="12552" width="29.08984375" style="549" bestFit="1" customWidth="1"/>
    <col min="12553" max="12800" width="9" style="549"/>
    <col min="12801" max="12803" width="15.08984375" style="549" customWidth="1"/>
    <col min="12804" max="12804" width="35.26953125" style="549" customWidth="1"/>
    <col min="12805" max="12806" width="19.6328125" style="549" customWidth="1"/>
    <col min="12807" max="12807" width="9" style="549"/>
    <col min="12808" max="12808" width="29.08984375" style="549" bestFit="1" customWidth="1"/>
    <col min="12809" max="13056" width="9" style="549"/>
    <col min="13057" max="13059" width="15.08984375" style="549" customWidth="1"/>
    <col min="13060" max="13060" width="35.26953125" style="549" customWidth="1"/>
    <col min="13061" max="13062" width="19.6328125" style="549" customWidth="1"/>
    <col min="13063" max="13063" width="9" style="549"/>
    <col min="13064" max="13064" width="29.08984375" style="549" bestFit="1" customWidth="1"/>
    <col min="13065" max="13312" width="9" style="549"/>
    <col min="13313" max="13315" width="15.08984375" style="549" customWidth="1"/>
    <col min="13316" max="13316" width="35.26953125" style="549" customWidth="1"/>
    <col min="13317" max="13318" width="19.6328125" style="549" customWidth="1"/>
    <col min="13319" max="13319" width="9" style="549"/>
    <col min="13320" max="13320" width="29.08984375" style="549" bestFit="1" customWidth="1"/>
    <col min="13321" max="13568" width="9" style="549"/>
    <col min="13569" max="13571" width="15.08984375" style="549" customWidth="1"/>
    <col min="13572" max="13572" width="35.26953125" style="549" customWidth="1"/>
    <col min="13573" max="13574" width="19.6328125" style="549" customWidth="1"/>
    <col min="13575" max="13575" width="9" style="549"/>
    <col min="13576" max="13576" width="29.08984375" style="549" bestFit="1" customWidth="1"/>
    <col min="13577" max="13824" width="9" style="549"/>
    <col min="13825" max="13827" width="15.08984375" style="549" customWidth="1"/>
    <col min="13828" max="13828" width="35.26953125" style="549" customWidth="1"/>
    <col min="13829" max="13830" width="19.6328125" style="549" customWidth="1"/>
    <col min="13831" max="13831" width="9" style="549"/>
    <col min="13832" max="13832" width="29.08984375" style="549" bestFit="1" customWidth="1"/>
    <col min="13833" max="14080" width="9" style="549"/>
    <col min="14081" max="14083" width="15.08984375" style="549" customWidth="1"/>
    <col min="14084" max="14084" width="35.26953125" style="549" customWidth="1"/>
    <col min="14085" max="14086" width="19.6328125" style="549" customWidth="1"/>
    <col min="14087" max="14087" width="9" style="549"/>
    <col min="14088" max="14088" width="29.08984375" style="549" bestFit="1" customWidth="1"/>
    <col min="14089" max="14336" width="9" style="549"/>
    <col min="14337" max="14339" width="15.08984375" style="549" customWidth="1"/>
    <col min="14340" max="14340" width="35.26953125" style="549" customWidth="1"/>
    <col min="14341" max="14342" width="19.6328125" style="549" customWidth="1"/>
    <col min="14343" max="14343" width="9" style="549"/>
    <col min="14344" max="14344" width="29.08984375" style="549" bestFit="1" customWidth="1"/>
    <col min="14345" max="14592" width="9" style="549"/>
    <col min="14593" max="14595" width="15.08984375" style="549" customWidth="1"/>
    <col min="14596" max="14596" width="35.26953125" style="549" customWidth="1"/>
    <col min="14597" max="14598" width="19.6328125" style="549" customWidth="1"/>
    <col min="14599" max="14599" width="9" style="549"/>
    <col min="14600" max="14600" width="29.08984375" style="549" bestFit="1" customWidth="1"/>
    <col min="14601" max="14848" width="9" style="549"/>
    <col min="14849" max="14851" width="15.08984375" style="549" customWidth="1"/>
    <col min="14852" max="14852" width="35.26953125" style="549" customWidth="1"/>
    <col min="14853" max="14854" width="19.6328125" style="549" customWidth="1"/>
    <col min="14855" max="14855" width="9" style="549"/>
    <col min="14856" max="14856" width="29.08984375" style="549" bestFit="1" customWidth="1"/>
    <col min="14857" max="15104" width="9" style="549"/>
    <col min="15105" max="15107" width="15.08984375" style="549" customWidth="1"/>
    <col min="15108" max="15108" width="35.26953125" style="549" customWidth="1"/>
    <col min="15109" max="15110" width="19.6328125" style="549" customWidth="1"/>
    <col min="15111" max="15111" width="9" style="549"/>
    <col min="15112" max="15112" width="29.08984375" style="549" bestFit="1" customWidth="1"/>
    <col min="15113" max="15360" width="9" style="549"/>
    <col min="15361" max="15363" width="15.08984375" style="549" customWidth="1"/>
    <col min="15364" max="15364" width="35.26953125" style="549" customWidth="1"/>
    <col min="15365" max="15366" width="19.6328125" style="549" customWidth="1"/>
    <col min="15367" max="15367" width="9" style="549"/>
    <col min="15368" max="15368" width="29.08984375" style="549" bestFit="1" customWidth="1"/>
    <col min="15369" max="15616" width="9" style="549"/>
    <col min="15617" max="15619" width="15.08984375" style="549" customWidth="1"/>
    <col min="15620" max="15620" width="35.26953125" style="549" customWidth="1"/>
    <col min="15621" max="15622" width="19.6328125" style="549" customWidth="1"/>
    <col min="15623" max="15623" width="9" style="549"/>
    <col min="15624" max="15624" width="29.08984375" style="549" bestFit="1" customWidth="1"/>
    <col min="15625" max="15872" width="9" style="549"/>
    <col min="15873" max="15875" width="15.08984375" style="549" customWidth="1"/>
    <col min="15876" max="15876" width="35.26953125" style="549" customWidth="1"/>
    <col min="15877" max="15878" width="19.6328125" style="549" customWidth="1"/>
    <col min="15879" max="15879" width="9" style="549"/>
    <col min="15880" max="15880" width="29.08984375" style="549" bestFit="1" customWidth="1"/>
    <col min="15881" max="16128" width="9" style="549"/>
    <col min="16129" max="16131" width="15.08984375" style="549" customWidth="1"/>
    <col min="16132" max="16132" width="35.26953125" style="549" customWidth="1"/>
    <col min="16133" max="16134" width="19.6328125" style="549" customWidth="1"/>
    <col min="16135" max="16135" width="9" style="549"/>
    <col min="16136" max="16136" width="29.08984375" style="549" bestFit="1" customWidth="1"/>
    <col min="16137" max="16384" width="9" style="549"/>
  </cols>
  <sheetData>
    <row r="1" spans="1:13" ht="19.5" customHeight="1">
      <c r="A1" s="2831" t="s">
        <v>1820</v>
      </c>
      <c r="B1" s="2831"/>
      <c r="C1" s="2831"/>
      <c r="D1" s="2831"/>
      <c r="E1" s="2831"/>
      <c r="F1" s="2831"/>
      <c r="H1" s="550"/>
      <c r="J1" s="585" t="s">
        <v>1073</v>
      </c>
    </row>
    <row r="2" spans="1:13" ht="19.5" customHeight="1">
      <c r="A2" s="553"/>
      <c r="B2" s="553"/>
      <c r="C2" s="553"/>
      <c r="D2" s="553"/>
      <c r="E2" s="553"/>
      <c r="F2" s="553"/>
      <c r="H2" s="550"/>
      <c r="J2" s="552" t="str">
        <f>【楽天Edy用記入シート】業種シート!H5</f>
        <v/>
      </c>
    </row>
    <row r="3" spans="1:13" ht="15" customHeight="1">
      <c r="A3" s="554" t="s">
        <v>335</v>
      </c>
      <c r="B3" s="2832" t="s">
        <v>3844</v>
      </c>
      <c r="C3" s="2833"/>
      <c r="D3" s="555"/>
      <c r="E3" s="556"/>
      <c r="F3" s="556"/>
      <c r="H3" s="557"/>
      <c r="J3" s="552">
        <f>SUMPRODUCT((J7:J44)*1)</f>
        <v>0</v>
      </c>
    </row>
    <row r="4" spans="1:13" ht="15" customHeight="1">
      <c r="A4" s="558" t="s">
        <v>1821</v>
      </c>
      <c r="B4" s="2834" t="s">
        <v>3845</v>
      </c>
      <c r="C4" s="2835"/>
      <c r="D4" s="555"/>
      <c r="E4" s="556"/>
      <c r="F4" s="556"/>
      <c r="H4" s="557"/>
      <c r="J4" s="552"/>
    </row>
    <row r="5" spans="1:13" ht="15" customHeight="1">
      <c r="A5" s="558" t="s">
        <v>1822</v>
      </c>
      <c r="B5" s="2836" t="s">
        <v>3847</v>
      </c>
      <c r="C5" s="2837"/>
      <c r="D5" s="555"/>
      <c r="E5" s="556"/>
      <c r="F5" s="556"/>
      <c r="H5" s="557"/>
      <c r="J5" s="552"/>
    </row>
    <row r="6" spans="1:13" ht="15" customHeight="1">
      <c r="A6" s="558" t="s">
        <v>1823</v>
      </c>
      <c r="B6" s="2838">
        <v>44075</v>
      </c>
      <c r="C6" s="2839"/>
      <c r="D6" s="555"/>
      <c r="E6" s="556"/>
      <c r="F6" s="556"/>
      <c r="H6" s="557"/>
      <c r="J6" s="552"/>
    </row>
    <row r="7" spans="1:13" ht="15" customHeight="1">
      <c r="A7" s="559" t="s">
        <v>1893</v>
      </c>
      <c r="B7" s="2829" t="s">
        <v>3849</v>
      </c>
      <c r="C7" s="2830"/>
      <c r="D7" s="555"/>
      <c r="E7" s="556"/>
      <c r="F7" s="556"/>
      <c r="H7" s="557"/>
      <c r="J7" s="560" t="b">
        <f>IF(B7="",TRUE,FALSE)</f>
        <v>0</v>
      </c>
    </row>
    <row r="8" spans="1:13" ht="7.5" customHeight="1">
      <c r="A8" s="553"/>
      <c r="B8" s="553"/>
      <c r="C8" s="553"/>
      <c r="D8" s="553"/>
      <c r="E8" s="553"/>
      <c r="F8" s="553"/>
      <c r="H8" s="550"/>
      <c r="J8" s="560"/>
    </row>
    <row r="9" spans="1:13" ht="14.25" customHeight="1">
      <c r="H9" s="557"/>
      <c r="J9" s="560"/>
    </row>
    <row r="10" spans="1:13" s="563" customFormat="1" ht="13.5" customHeight="1">
      <c r="A10" s="562" t="s">
        <v>1824</v>
      </c>
      <c r="B10" s="562"/>
      <c r="C10" s="562"/>
      <c r="D10" s="562"/>
      <c r="H10" s="557"/>
      <c r="I10" s="551"/>
      <c r="J10" s="560"/>
      <c r="K10" s="564"/>
      <c r="L10" s="564"/>
      <c r="M10" s="564"/>
    </row>
    <row r="11" spans="1:13" s="563" customFormat="1" ht="13.5" customHeight="1">
      <c r="A11" s="562" t="s">
        <v>1825</v>
      </c>
      <c r="B11" s="562"/>
      <c r="C11" s="562"/>
      <c r="D11" s="562"/>
      <c r="H11" s="557"/>
      <c r="I11" s="551"/>
      <c r="J11" s="560"/>
      <c r="K11" s="564"/>
      <c r="L11" s="564"/>
      <c r="M11" s="564"/>
    </row>
    <row r="12" spans="1:13" s="563" customFormat="1" ht="13.5" customHeight="1">
      <c r="A12" s="562" t="s">
        <v>1826</v>
      </c>
      <c r="B12" s="562"/>
      <c r="C12" s="562"/>
      <c r="D12" s="562"/>
      <c r="H12" s="557"/>
      <c r="I12" s="551"/>
      <c r="J12" s="560"/>
      <c r="K12" s="564"/>
      <c r="L12" s="564"/>
      <c r="M12" s="564"/>
    </row>
    <row r="13" spans="1:13" s="563" customFormat="1" ht="10.5" customHeight="1">
      <c r="A13" s="2840" t="s">
        <v>1827</v>
      </c>
      <c r="B13" s="2841"/>
      <c r="C13" s="2842" t="s">
        <v>1828</v>
      </c>
      <c r="D13" s="2843"/>
      <c r="E13" s="565" t="s">
        <v>1829</v>
      </c>
      <c r="F13" s="565" t="s">
        <v>319</v>
      </c>
      <c r="H13" s="557"/>
      <c r="I13" s="551"/>
      <c r="J13" s="560"/>
      <c r="K13" s="564"/>
      <c r="L13" s="564"/>
      <c r="M13" s="564"/>
    </row>
    <row r="14" spans="1:13" ht="24" customHeight="1">
      <c r="A14" s="2844" t="s">
        <v>1830</v>
      </c>
      <c r="B14" s="2845"/>
      <c r="C14" s="2844" t="s">
        <v>1831</v>
      </c>
      <c r="D14" s="2845"/>
      <c r="E14" s="530" t="s">
        <v>3848</v>
      </c>
      <c r="F14" s="575"/>
      <c r="H14" s="557"/>
      <c r="J14" s="560" t="b">
        <f>IF(E14="選択してください",TRUE,FALSE)</f>
        <v>0</v>
      </c>
    </row>
    <row r="15" spans="1:13" ht="23.25" customHeight="1">
      <c r="A15" s="2844" t="s">
        <v>1832</v>
      </c>
      <c r="B15" s="2845"/>
      <c r="C15" s="2844" t="s">
        <v>1833</v>
      </c>
      <c r="D15" s="2845"/>
      <c r="E15" s="530" t="s">
        <v>3851</v>
      </c>
      <c r="F15" s="575"/>
      <c r="H15" s="557"/>
      <c r="J15" s="560" t="b">
        <f>IF(E15="選択してください",TRUE,FALSE)</f>
        <v>0</v>
      </c>
    </row>
    <row r="16" spans="1:13" ht="23.25" customHeight="1">
      <c r="A16" s="566"/>
      <c r="B16" s="567"/>
      <c r="C16" s="567"/>
      <c r="D16" s="567"/>
      <c r="E16" s="568"/>
      <c r="F16" s="569"/>
      <c r="H16" s="557"/>
      <c r="J16" s="560"/>
    </row>
    <row r="17" spans="1:13" ht="12" customHeight="1">
      <c r="A17" s="562" t="s">
        <v>1834</v>
      </c>
      <c r="B17" s="562"/>
      <c r="C17" s="562"/>
      <c r="D17" s="562"/>
      <c r="E17" s="563"/>
      <c r="F17" s="563"/>
      <c r="H17" s="557"/>
      <c r="J17" s="560"/>
    </row>
    <row r="18" spans="1:13" s="563" customFormat="1" ht="12" customHeight="1">
      <c r="A18" s="2840" t="s">
        <v>1827</v>
      </c>
      <c r="B18" s="2841"/>
      <c r="C18" s="2842" t="s">
        <v>1828</v>
      </c>
      <c r="D18" s="2843"/>
      <c r="E18" s="565" t="s">
        <v>1829</v>
      </c>
      <c r="F18" s="565" t="s">
        <v>319</v>
      </c>
      <c r="H18" s="557"/>
      <c r="I18" s="551"/>
      <c r="J18" s="560"/>
      <c r="K18" s="564"/>
      <c r="L18" s="564"/>
      <c r="M18" s="564"/>
    </row>
    <row r="19" spans="1:13" ht="14.15" customHeight="1">
      <c r="A19" s="2844" t="s">
        <v>1835</v>
      </c>
      <c r="B19" s="2845"/>
      <c r="C19" s="570" t="s">
        <v>1836</v>
      </c>
      <c r="D19" s="571"/>
      <c r="E19" s="530" t="s">
        <v>3848</v>
      </c>
      <c r="F19" s="575"/>
      <c r="J19" s="560" t="b">
        <f t="shared" ref="J19:J31" si="0">IF(E19="選択してください",TRUE,FALSE)</f>
        <v>0</v>
      </c>
    </row>
    <row r="20" spans="1:13" ht="24.75" customHeight="1">
      <c r="A20" s="2844" t="s">
        <v>1837</v>
      </c>
      <c r="B20" s="2845"/>
      <c r="C20" s="2844" t="s">
        <v>1838</v>
      </c>
      <c r="D20" s="2845"/>
      <c r="E20" s="530" t="s">
        <v>3848</v>
      </c>
      <c r="F20" s="575"/>
      <c r="J20" s="560" t="b">
        <f t="shared" si="0"/>
        <v>0</v>
      </c>
    </row>
    <row r="21" spans="1:13" ht="24.25" customHeight="1">
      <c r="A21" s="2844" t="s">
        <v>1839</v>
      </c>
      <c r="B21" s="2845"/>
      <c r="C21" s="2844" t="s">
        <v>1840</v>
      </c>
      <c r="D21" s="2845"/>
      <c r="E21" s="530" t="s">
        <v>3848</v>
      </c>
      <c r="F21" s="575"/>
      <c r="J21" s="560" t="b">
        <f t="shared" si="0"/>
        <v>0</v>
      </c>
    </row>
    <row r="22" spans="1:13" ht="14.15" customHeight="1">
      <c r="A22" s="2844" t="s">
        <v>1841</v>
      </c>
      <c r="B22" s="2845"/>
      <c r="C22" s="570" t="s">
        <v>1842</v>
      </c>
      <c r="D22" s="571"/>
      <c r="E22" s="530" t="s">
        <v>3848</v>
      </c>
      <c r="F22" s="575"/>
      <c r="J22" s="560" t="b">
        <f t="shared" si="0"/>
        <v>0</v>
      </c>
    </row>
    <row r="23" spans="1:13" ht="14.15" customHeight="1">
      <c r="A23" s="2844" t="s">
        <v>1843</v>
      </c>
      <c r="B23" s="2845"/>
      <c r="C23" s="570" t="s">
        <v>1844</v>
      </c>
      <c r="D23" s="571"/>
      <c r="E23" s="530" t="s">
        <v>3848</v>
      </c>
      <c r="F23" s="575"/>
      <c r="J23" s="560" t="b">
        <f t="shared" si="0"/>
        <v>0</v>
      </c>
    </row>
    <row r="24" spans="1:13" ht="14.15" customHeight="1">
      <c r="A24" s="2844" t="s">
        <v>1845</v>
      </c>
      <c r="B24" s="2845"/>
      <c r="C24" s="570" t="s">
        <v>1846</v>
      </c>
      <c r="D24" s="571"/>
      <c r="E24" s="530" t="s">
        <v>3848</v>
      </c>
      <c r="F24" s="575"/>
      <c r="J24" s="560" t="b">
        <f t="shared" si="0"/>
        <v>0</v>
      </c>
    </row>
    <row r="25" spans="1:13" ht="14.15" customHeight="1">
      <c r="A25" s="2844" t="s">
        <v>1847</v>
      </c>
      <c r="B25" s="2845"/>
      <c r="C25" s="570" t="s">
        <v>1848</v>
      </c>
      <c r="D25" s="571"/>
      <c r="E25" s="530" t="s">
        <v>3848</v>
      </c>
      <c r="F25" s="575"/>
      <c r="J25" s="560" t="b">
        <f t="shared" si="0"/>
        <v>0</v>
      </c>
    </row>
    <row r="26" spans="1:13" ht="24.25" customHeight="1">
      <c r="A26" s="2844" t="s">
        <v>1849</v>
      </c>
      <c r="B26" s="2845"/>
      <c r="C26" s="2844" t="s">
        <v>1850</v>
      </c>
      <c r="D26" s="2846"/>
      <c r="E26" s="530" t="s">
        <v>3848</v>
      </c>
      <c r="F26" s="575"/>
      <c r="J26" s="560" t="b">
        <f t="shared" si="0"/>
        <v>0</v>
      </c>
    </row>
    <row r="27" spans="1:13" ht="24.25" customHeight="1">
      <c r="A27" s="2844" t="s">
        <v>1851</v>
      </c>
      <c r="B27" s="2845"/>
      <c r="C27" s="2844" t="s">
        <v>1852</v>
      </c>
      <c r="D27" s="2845"/>
      <c r="E27" s="530" t="s">
        <v>3848</v>
      </c>
      <c r="F27" s="575"/>
      <c r="J27" s="560" t="b">
        <f t="shared" si="0"/>
        <v>0</v>
      </c>
    </row>
    <row r="28" spans="1:13" ht="33" customHeight="1">
      <c r="A28" s="2844" t="s">
        <v>1853</v>
      </c>
      <c r="B28" s="2845"/>
      <c r="C28" s="2844" t="s">
        <v>1854</v>
      </c>
      <c r="D28" s="2845"/>
      <c r="E28" s="530" t="s">
        <v>3848</v>
      </c>
      <c r="F28" s="575"/>
      <c r="J28" s="560" t="b">
        <f t="shared" si="0"/>
        <v>0</v>
      </c>
    </row>
    <row r="29" spans="1:13" ht="28.5" customHeight="1">
      <c r="A29" s="2844" t="s">
        <v>1855</v>
      </c>
      <c r="B29" s="2845"/>
      <c r="C29" s="2844" t="s">
        <v>1856</v>
      </c>
      <c r="D29" s="2845"/>
      <c r="E29" s="530" t="s">
        <v>3848</v>
      </c>
      <c r="F29" s="575"/>
      <c r="J29" s="560" t="b">
        <f t="shared" si="0"/>
        <v>0</v>
      </c>
    </row>
    <row r="30" spans="1:13" ht="14.15" customHeight="1">
      <c r="A30" s="2844" t="s">
        <v>1857</v>
      </c>
      <c r="B30" s="2845"/>
      <c r="C30" s="570" t="s">
        <v>1858</v>
      </c>
      <c r="D30" s="571"/>
      <c r="E30" s="530" t="s">
        <v>3848</v>
      </c>
      <c r="F30" s="575"/>
      <c r="J30" s="560" t="b">
        <f t="shared" si="0"/>
        <v>0</v>
      </c>
    </row>
    <row r="31" spans="1:13" ht="31.5" customHeight="1">
      <c r="A31" s="2844" t="s">
        <v>1859</v>
      </c>
      <c r="B31" s="2845"/>
      <c r="C31" s="2844" t="s">
        <v>1860</v>
      </c>
      <c r="D31" s="2845"/>
      <c r="E31" s="530" t="s">
        <v>3848</v>
      </c>
      <c r="F31" s="575"/>
      <c r="J31" s="560" t="b">
        <f t="shared" si="0"/>
        <v>0</v>
      </c>
    </row>
    <row r="32" spans="1:13" ht="14.25" customHeight="1">
      <c r="A32" s="567"/>
      <c r="B32" s="567"/>
      <c r="C32" s="567"/>
      <c r="D32" s="567"/>
      <c r="E32" s="568"/>
      <c r="F32" s="569"/>
      <c r="J32" s="560"/>
    </row>
    <row r="33" spans="1:13" ht="16.75" customHeight="1">
      <c r="A33" s="563" t="s">
        <v>1861</v>
      </c>
      <c r="B33" s="562"/>
      <c r="C33" s="562"/>
      <c r="D33" s="562"/>
      <c r="E33" s="563"/>
      <c r="F33" s="563"/>
      <c r="J33" s="560"/>
    </row>
    <row r="34" spans="1:13" ht="12" customHeight="1">
      <c r="A34" s="563" t="s">
        <v>1862</v>
      </c>
      <c r="B34" s="562"/>
      <c r="C34" s="562"/>
      <c r="D34" s="562"/>
      <c r="E34" s="563"/>
      <c r="F34" s="563"/>
      <c r="I34" s="564"/>
      <c r="J34" s="560"/>
    </row>
    <row r="35" spans="1:13" s="563" customFormat="1" ht="14.25" customHeight="1">
      <c r="A35" s="2840" t="s">
        <v>1827</v>
      </c>
      <c r="B35" s="2841"/>
      <c r="C35" s="2842" t="s">
        <v>1828</v>
      </c>
      <c r="D35" s="2843"/>
      <c r="E35" s="565" t="s">
        <v>1829</v>
      </c>
      <c r="F35" s="565" t="s">
        <v>319</v>
      </c>
      <c r="H35" s="551"/>
      <c r="I35" s="564"/>
      <c r="J35" s="560"/>
      <c r="K35" s="564"/>
      <c r="L35" s="564"/>
      <c r="M35" s="564"/>
    </row>
    <row r="36" spans="1:13" s="563" customFormat="1" ht="24" customHeight="1">
      <c r="A36" s="2844" t="s">
        <v>1863</v>
      </c>
      <c r="B36" s="2845"/>
      <c r="C36" s="2844" t="s">
        <v>1864</v>
      </c>
      <c r="D36" s="2845"/>
      <c r="E36" s="530" t="s">
        <v>3848</v>
      </c>
      <c r="F36" s="575"/>
      <c r="H36" s="551"/>
      <c r="I36" s="564"/>
      <c r="J36" s="560" t="b">
        <f t="shared" ref="J36:J44" si="1">IF(E36="選択してください",TRUE,FALSE)</f>
        <v>0</v>
      </c>
      <c r="K36" s="564"/>
      <c r="L36" s="564"/>
      <c r="M36" s="564"/>
    </row>
    <row r="37" spans="1:13" s="563" customFormat="1" ht="24.25" customHeight="1">
      <c r="A37" s="2844" t="s">
        <v>1865</v>
      </c>
      <c r="B37" s="2845"/>
      <c r="C37" s="2844" t="s">
        <v>1866</v>
      </c>
      <c r="D37" s="2845"/>
      <c r="E37" s="530" t="s">
        <v>3848</v>
      </c>
      <c r="F37" s="575"/>
      <c r="H37" s="551"/>
      <c r="I37" s="551"/>
      <c r="J37" s="560" t="b">
        <f t="shared" si="1"/>
        <v>0</v>
      </c>
      <c r="K37" s="564"/>
      <c r="L37" s="564"/>
      <c r="M37" s="564"/>
    </row>
    <row r="38" spans="1:13" ht="16.75" customHeight="1">
      <c r="A38" s="2847" t="s">
        <v>1867</v>
      </c>
      <c r="B38" s="2848"/>
      <c r="C38" s="570" t="s">
        <v>1868</v>
      </c>
      <c r="D38" s="571"/>
      <c r="E38" s="530" t="s">
        <v>3848</v>
      </c>
      <c r="F38" s="575"/>
      <c r="J38" s="560" t="b">
        <f t="shared" si="1"/>
        <v>0</v>
      </c>
    </row>
    <row r="39" spans="1:13" ht="16.5" customHeight="1">
      <c r="A39" s="2849"/>
      <c r="B39" s="2850"/>
      <c r="C39" s="570" t="s">
        <v>1869</v>
      </c>
      <c r="D39" s="571"/>
      <c r="E39" s="530" t="s">
        <v>3848</v>
      </c>
      <c r="F39" s="575"/>
      <c r="H39" s="557"/>
      <c r="J39" s="560" t="b">
        <f t="shared" si="1"/>
        <v>0</v>
      </c>
    </row>
    <row r="40" spans="1:13" ht="16.75" customHeight="1">
      <c r="A40" s="2849"/>
      <c r="B40" s="2850"/>
      <c r="C40" s="570" t="s">
        <v>1870</v>
      </c>
      <c r="D40" s="571"/>
      <c r="E40" s="530" t="s">
        <v>3848</v>
      </c>
      <c r="F40" s="575"/>
      <c r="H40" s="557"/>
      <c r="J40" s="560" t="b">
        <f t="shared" si="1"/>
        <v>0</v>
      </c>
    </row>
    <row r="41" spans="1:13" ht="16.75" customHeight="1">
      <c r="A41" s="2849"/>
      <c r="B41" s="2850"/>
      <c r="C41" s="570" t="s">
        <v>1871</v>
      </c>
      <c r="D41" s="571"/>
      <c r="E41" s="530" t="s">
        <v>3848</v>
      </c>
      <c r="F41" s="575"/>
      <c r="J41" s="560" t="b">
        <f t="shared" si="1"/>
        <v>0</v>
      </c>
    </row>
    <row r="42" spans="1:13" ht="16.75" customHeight="1">
      <c r="A42" s="2849"/>
      <c r="B42" s="2850"/>
      <c r="C42" s="570" t="s">
        <v>1872</v>
      </c>
      <c r="D42" s="571"/>
      <c r="E42" s="530" t="s">
        <v>3848</v>
      </c>
      <c r="F42" s="575"/>
      <c r="J42" s="560" t="b">
        <f t="shared" si="1"/>
        <v>0</v>
      </c>
    </row>
    <row r="43" spans="1:13" ht="16.5" customHeight="1">
      <c r="A43" s="2849"/>
      <c r="B43" s="2850"/>
      <c r="C43" s="570" t="s">
        <v>1873</v>
      </c>
      <c r="D43" s="571"/>
      <c r="E43" s="530" t="s">
        <v>3848</v>
      </c>
      <c r="F43" s="575"/>
      <c r="J43" s="560" t="b">
        <f t="shared" si="1"/>
        <v>0</v>
      </c>
    </row>
    <row r="44" spans="1:13" ht="16.75" customHeight="1">
      <c r="A44" s="2851"/>
      <c r="B44" s="2852"/>
      <c r="C44" s="570" t="s">
        <v>1874</v>
      </c>
      <c r="D44" s="571"/>
      <c r="E44" s="530" t="s">
        <v>3848</v>
      </c>
      <c r="F44" s="575"/>
      <c r="J44" s="560" t="b">
        <f t="shared" si="1"/>
        <v>0</v>
      </c>
    </row>
    <row r="45" spans="1:13" ht="16.75" customHeight="1">
      <c r="A45" s="567"/>
      <c r="B45" s="567"/>
      <c r="C45" s="572"/>
      <c r="D45" s="572"/>
      <c r="E45" s="568"/>
      <c r="F45" s="569"/>
      <c r="J45" s="552"/>
    </row>
    <row r="46" spans="1:13" ht="16.75" customHeight="1" thickBot="1">
      <c r="A46" s="573" t="s">
        <v>1875</v>
      </c>
      <c r="J46" s="552"/>
    </row>
    <row r="47" spans="1:13" ht="20.5" customHeight="1">
      <c r="A47" s="2853"/>
      <c r="B47" s="2854"/>
      <c r="C47" s="2854"/>
      <c r="D47" s="2854"/>
      <c r="E47" s="2854"/>
      <c r="F47" s="2855"/>
      <c r="J47" s="552"/>
    </row>
    <row r="48" spans="1:13" ht="20.5" customHeight="1" thickBot="1">
      <c r="A48" s="2856"/>
      <c r="B48" s="2857"/>
      <c r="C48" s="2857"/>
      <c r="D48" s="2857"/>
      <c r="E48" s="2857"/>
      <c r="F48" s="2858"/>
      <c r="J48" s="552"/>
    </row>
    <row r="49" spans="6:10" ht="21" customHeight="1">
      <c r="J49" s="552"/>
    </row>
    <row r="50" spans="6:10">
      <c r="F50" s="574" t="s">
        <v>1876</v>
      </c>
      <c r="J50" s="552"/>
    </row>
  </sheetData>
  <sheetProtection algorithmName="SHA-512" hashValue="Otmc0HVCL7WoZULVkSfeAj98RUR8daHal02QpkZ2AVhGiHBQaa3Wr2Y/Art6UIpOn/7y8YnQ69qrZN2XNCPOSw==" saltValue="4L3PKgE6b5p78RTycnUnSQ==" spinCount="100000" sheet="1" objects="1" scenarios="1" selectLockedCells="1" selectUnlockedCells="1"/>
  <mergeCells count="42">
    <mergeCell ref="A37:B37"/>
    <mergeCell ref="C37:D37"/>
    <mergeCell ref="A38:B44"/>
    <mergeCell ref="A47:F48"/>
    <mergeCell ref="A30:B30"/>
    <mergeCell ref="A31:B31"/>
    <mergeCell ref="C31:D31"/>
    <mergeCell ref="A35:B35"/>
    <mergeCell ref="C35:D35"/>
    <mergeCell ref="A36:B36"/>
    <mergeCell ref="C36:D36"/>
    <mergeCell ref="A27:B27"/>
    <mergeCell ref="C27:D27"/>
    <mergeCell ref="A28:B28"/>
    <mergeCell ref="C28:D28"/>
    <mergeCell ref="A29:B29"/>
    <mergeCell ref="C29:D29"/>
    <mergeCell ref="C26:D26"/>
    <mergeCell ref="A18:B18"/>
    <mergeCell ref="C18:D18"/>
    <mergeCell ref="A19:B19"/>
    <mergeCell ref="A20:B20"/>
    <mergeCell ref="C20:D20"/>
    <mergeCell ref="A21:B21"/>
    <mergeCell ref="C21:D21"/>
    <mergeCell ref="A22:B22"/>
    <mergeCell ref="A23:B23"/>
    <mergeCell ref="A24:B24"/>
    <mergeCell ref="A25:B25"/>
    <mergeCell ref="A26:B26"/>
    <mergeCell ref="A13:B13"/>
    <mergeCell ref="C13:D13"/>
    <mergeCell ref="A14:B14"/>
    <mergeCell ref="C14:D14"/>
    <mergeCell ref="A15:B15"/>
    <mergeCell ref="C15:D15"/>
    <mergeCell ref="B7:C7"/>
    <mergeCell ref="A1:F1"/>
    <mergeCell ref="B3:C3"/>
    <mergeCell ref="B4:C4"/>
    <mergeCell ref="B5:C5"/>
    <mergeCell ref="B6:C6"/>
  </mergeCells>
  <phoneticPr fontId="3"/>
  <conditionalFormatting sqref="E14:E15 E19:E31 E36:E44">
    <cfRule type="expression" dxfId="263" priority="2">
      <formula>AND($J$2=1,E14="選択してください")</formula>
    </cfRule>
  </conditionalFormatting>
  <conditionalFormatting sqref="B7:C7">
    <cfRule type="expression" dxfId="262" priority="1">
      <formula>AND($J$2=1,$B$7="")</formula>
    </cfRule>
  </conditionalFormatting>
  <dataValidations count="2">
    <dataValidation type="list" allowBlank="1" showInputMessage="1" showErrorMessage="1" sqref="E14:E15 E19:E31 E36:E44">
      <formula1>"選択してください,はい,いいえ"</formula1>
    </dataValidation>
    <dataValidation type="list" allowBlank="1" showInputMessage="1" showErrorMessage="1" sqref="WVJ983044:WVK983044 IX4:IY4 ST4:SU4 ACP4:ACQ4 AML4:AMM4 AWH4:AWI4 BGD4:BGE4 BPZ4:BQA4 BZV4:BZW4 CJR4:CJS4 CTN4:CTO4 DDJ4:DDK4 DNF4:DNG4 DXB4:DXC4 EGX4:EGY4 EQT4:EQU4 FAP4:FAQ4 FKL4:FKM4 FUH4:FUI4 GED4:GEE4 GNZ4:GOA4 GXV4:GXW4 HHR4:HHS4 HRN4:HRO4 IBJ4:IBK4 ILF4:ILG4 IVB4:IVC4 JEX4:JEY4 JOT4:JOU4 JYP4:JYQ4 KIL4:KIM4 KSH4:KSI4 LCD4:LCE4 LLZ4:LMA4 LVV4:LVW4 MFR4:MFS4 MPN4:MPO4 MZJ4:MZK4 NJF4:NJG4 NTB4:NTC4 OCX4:OCY4 OMT4:OMU4 OWP4:OWQ4 PGL4:PGM4 PQH4:PQI4 QAD4:QAE4 QJZ4:QKA4 QTV4:QTW4 RDR4:RDS4 RNN4:RNO4 RXJ4:RXK4 SHF4:SHG4 SRB4:SRC4 TAX4:TAY4 TKT4:TKU4 TUP4:TUQ4 UEL4:UEM4 UOH4:UOI4 UYD4:UYE4 VHZ4:VIA4 VRV4:VRW4 WBR4:WBS4 WLN4:WLO4 WVJ4:WVK4 B65540:C65540 IX65540:IY65540 ST65540:SU65540 ACP65540:ACQ65540 AML65540:AMM65540 AWH65540:AWI65540 BGD65540:BGE65540 BPZ65540:BQA65540 BZV65540:BZW65540 CJR65540:CJS65540 CTN65540:CTO65540 DDJ65540:DDK65540 DNF65540:DNG65540 DXB65540:DXC65540 EGX65540:EGY65540 EQT65540:EQU65540 FAP65540:FAQ65540 FKL65540:FKM65540 FUH65540:FUI65540 GED65540:GEE65540 GNZ65540:GOA65540 GXV65540:GXW65540 HHR65540:HHS65540 HRN65540:HRO65540 IBJ65540:IBK65540 ILF65540:ILG65540 IVB65540:IVC65540 JEX65540:JEY65540 JOT65540:JOU65540 JYP65540:JYQ65540 KIL65540:KIM65540 KSH65540:KSI65540 LCD65540:LCE65540 LLZ65540:LMA65540 LVV65540:LVW65540 MFR65540:MFS65540 MPN65540:MPO65540 MZJ65540:MZK65540 NJF65540:NJG65540 NTB65540:NTC65540 OCX65540:OCY65540 OMT65540:OMU65540 OWP65540:OWQ65540 PGL65540:PGM65540 PQH65540:PQI65540 QAD65540:QAE65540 QJZ65540:QKA65540 QTV65540:QTW65540 RDR65540:RDS65540 RNN65540:RNO65540 RXJ65540:RXK65540 SHF65540:SHG65540 SRB65540:SRC65540 TAX65540:TAY65540 TKT65540:TKU65540 TUP65540:TUQ65540 UEL65540:UEM65540 UOH65540:UOI65540 UYD65540:UYE65540 VHZ65540:VIA65540 VRV65540:VRW65540 WBR65540:WBS65540 WLN65540:WLO65540 WVJ65540:WVK65540 B131076:C131076 IX131076:IY131076 ST131076:SU131076 ACP131076:ACQ131076 AML131076:AMM131076 AWH131076:AWI131076 BGD131076:BGE131076 BPZ131076:BQA131076 BZV131076:BZW131076 CJR131076:CJS131076 CTN131076:CTO131076 DDJ131076:DDK131076 DNF131076:DNG131076 DXB131076:DXC131076 EGX131076:EGY131076 EQT131076:EQU131076 FAP131076:FAQ131076 FKL131076:FKM131076 FUH131076:FUI131076 GED131076:GEE131076 GNZ131076:GOA131076 GXV131076:GXW131076 HHR131076:HHS131076 HRN131076:HRO131076 IBJ131076:IBK131076 ILF131076:ILG131076 IVB131076:IVC131076 JEX131076:JEY131076 JOT131076:JOU131076 JYP131076:JYQ131076 KIL131076:KIM131076 KSH131076:KSI131076 LCD131076:LCE131076 LLZ131076:LMA131076 LVV131076:LVW131076 MFR131076:MFS131076 MPN131076:MPO131076 MZJ131076:MZK131076 NJF131076:NJG131076 NTB131076:NTC131076 OCX131076:OCY131076 OMT131076:OMU131076 OWP131076:OWQ131076 PGL131076:PGM131076 PQH131076:PQI131076 QAD131076:QAE131076 QJZ131076:QKA131076 QTV131076:QTW131076 RDR131076:RDS131076 RNN131076:RNO131076 RXJ131076:RXK131076 SHF131076:SHG131076 SRB131076:SRC131076 TAX131076:TAY131076 TKT131076:TKU131076 TUP131076:TUQ131076 UEL131076:UEM131076 UOH131076:UOI131076 UYD131076:UYE131076 VHZ131076:VIA131076 VRV131076:VRW131076 WBR131076:WBS131076 WLN131076:WLO131076 WVJ131076:WVK131076 B196612:C196612 IX196612:IY196612 ST196612:SU196612 ACP196612:ACQ196612 AML196612:AMM196612 AWH196612:AWI196612 BGD196612:BGE196612 BPZ196612:BQA196612 BZV196612:BZW196612 CJR196612:CJS196612 CTN196612:CTO196612 DDJ196612:DDK196612 DNF196612:DNG196612 DXB196612:DXC196612 EGX196612:EGY196612 EQT196612:EQU196612 FAP196612:FAQ196612 FKL196612:FKM196612 FUH196612:FUI196612 GED196612:GEE196612 GNZ196612:GOA196612 GXV196612:GXW196612 HHR196612:HHS196612 HRN196612:HRO196612 IBJ196612:IBK196612 ILF196612:ILG196612 IVB196612:IVC196612 JEX196612:JEY196612 JOT196612:JOU196612 JYP196612:JYQ196612 KIL196612:KIM196612 KSH196612:KSI196612 LCD196612:LCE196612 LLZ196612:LMA196612 LVV196612:LVW196612 MFR196612:MFS196612 MPN196612:MPO196612 MZJ196612:MZK196612 NJF196612:NJG196612 NTB196612:NTC196612 OCX196612:OCY196612 OMT196612:OMU196612 OWP196612:OWQ196612 PGL196612:PGM196612 PQH196612:PQI196612 QAD196612:QAE196612 QJZ196612:QKA196612 QTV196612:QTW196612 RDR196612:RDS196612 RNN196612:RNO196612 RXJ196612:RXK196612 SHF196612:SHG196612 SRB196612:SRC196612 TAX196612:TAY196612 TKT196612:TKU196612 TUP196612:TUQ196612 UEL196612:UEM196612 UOH196612:UOI196612 UYD196612:UYE196612 VHZ196612:VIA196612 VRV196612:VRW196612 WBR196612:WBS196612 WLN196612:WLO196612 WVJ196612:WVK196612 B262148:C262148 IX262148:IY262148 ST262148:SU262148 ACP262148:ACQ262148 AML262148:AMM262148 AWH262148:AWI262148 BGD262148:BGE262148 BPZ262148:BQA262148 BZV262148:BZW262148 CJR262148:CJS262148 CTN262148:CTO262148 DDJ262148:DDK262148 DNF262148:DNG262148 DXB262148:DXC262148 EGX262148:EGY262148 EQT262148:EQU262148 FAP262148:FAQ262148 FKL262148:FKM262148 FUH262148:FUI262148 GED262148:GEE262148 GNZ262148:GOA262148 GXV262148:GXW262148 HHR262148:HHS262148 HRN262148:HRO262148 IBJ262148:IBK262148 ILF262148:ILG262148 IVB262148:IVC262148 JEX262148:JEY262148 JOT262148:JOU262148 JYP262148:JYQ262148 KIL262148:KIM262148 KSH262148:KSI262148 LCD262148:LCE262148 LLZ262148:LMA262148 LVV262148:LVW262148 MFR262148:MFS262148 MPN262148:MPO262148 MZJ262148:MZK262148 NJF262148:NJG262148 NTB262148:NTC262148 OCX262148:OCY262148 OMT262148:OMU262148 OWP262148:OWQ262148 PGL262148:PGM262148 PQH262148:PQI262148 QAD262148:QAE262148 QJZ262148:QKA262148 QTV262148:QTW262148 RDR262148:RDS262148 RNN262148:RNO262148 RXJ262148:RXK262148 SHF262148:SHG262148 SRB262148:SRC262148 TAX262148:TAY262148 TKT262148:TKU262148 TUP262148:TUQ262148 UEL262148:UEM262148 UOH262148:UOI262148 UYD262148:UYE262148 VHZ262148:VIA262148 VRV262148:VRW262148 WBR262148:WBS262148 WLN262148:WLO262148 WVJ262148:WVK262148 B327684:C327684 IX327684:IY327684 ST327684:SU327684 ACP327684:ACQ327684 AML327684:AMM327684 AWH327684:AWI327684 BGD327684:BGE327684 BPZ327684:BQA327684 BZV327684:BZW327684 CJR327684:CJS327684 CTN327684:CTO327684 DDJ327684:DDK327684 DNF327684:DNG327684 DXB327684:DXC327684 EGX327684:EGY327684 EQT327684:EQU327684 FAP327684:FAQ327684 FKL327684:FKM327684 FUH327684:FUI327684 GED327684:GEE327684 GNZ327684:GOA327684 GXV327684:GXW327684 HHR327684:HHS327684 HRN327684:HRO327684 IBJ327684:IBK327684 ILF327684:ILG327684 IVB327684:IVC327684 JEX327684:JEY327684 JOT327684:JOU327684 JYP327684:JYQ327684 KIL327684:KIM327684 KSH327684:KSI327684 LCD327684:LCE327684 LLZ327684:LMA327684 LVV327684:LVW327684 MFR327684:MFS327684 MPN327684:MPO327684 MZJ327684:MZK327684 NJF327684:NJG327684 NTB327684:NTC327684 OCX327684:OCY327684 OMT327684:OMU327684 OWP327684:OWQ327684 PGL327684:PGM327684 PQH327684:PQI327684 QAD327684:QAE327684 QJZ327684:QKA327684 QTV327684:QTW327684 RDR327684:RDS327684 RNN327684:RNO327684 RXJ327684:RXK327684 SHF327684:SHG327684 SRB327684:SRC327684 TAX327684:TAY327684 TKT327684:TKU327684 TUP327684:TUQ327684 UEL327684:UEM327684 UOH327684:UOI327684 UYD327684:UYE327684 VHZ327684:VIA327684 VRV327684:VRW327684 WBR327684:WBS327684 WLN327684:WLO327684 WVJ327684:WVK327684 B393220:C393220 IX393220:IY393220 ST393220:SU393220 ACP393220:ACQ393220 AML393220:AMM393220 AWH393220:AWI393220 BGD393220:BGE393220 BPZ393220:BQA393220 BZV393220:BZW393220 CJR393220:CJS393220 CTN393220:CTO393220 DDJ393220:DDK393220 DNF393220:DNG393220 DXB393220:DXC393220 EGX393220:EGY393220 EQT393220:EQU393220 FAP393220:FAQ393220 FKL393220:FKM393220 FUH393220:FUI393220 GED393220:GEE393220 GNZ393220:GOA393220 GXV393220:GXW393220 HHR393220:HHS393220 HRN393220:HRO393220 IBJ393220:IBK393220 ILF393220:ILG393220 IVB393220:IVC393220 JEX393220:JEY393220 JOT393220:JOU393220 JYP393220:JYQ393220 KIL393220:KIM393220 KSH393220:KSI393220 LCD393220:LCE393220 LLZ393220:LMA393220 LVV393220:LVW393220 MFR393220:MFS393220 MPN393220:MPO393220 MZJ393220:MZK393220 NJF393220:NJG393220 NTB393220:NTC393220 OCX393220:OCY393220 OMT393220:OMU393220 OWP393220:OWQ393220 PGL393220:PGM393220 PQH393220:PQI393220 QAD393220:QAE393220 QJZ393220:QKA393220 QTV393220:QTW393220 RDR393220:RDS393220 RNN393220:RNO393220 RXJ393220:RXK393220 SHF393220:SHG393220 SRB393220:SRC393220 TAX393220:TAY393220 TKT393220:TKU393220 TUP393220:TUQ393220 UEL393220:UEM393220 UOH393220:UOI393220 UYD393220:UYE393220 VHZ393220:VIA393220 VRV393220:VRW393220 WBR393220:WBS393220 WLN393220:WLO393220 WVJ393220:WVK393220 B458756:C458756 IX458756:IY458756 ST458756:SU458756 ACP458756:ACQ458756 AML458756:AMM458756 AWH458756:AWI458756 BGD458756:BGE458756 BPZ458756:BQA458756 BZV458756:BZW458756 CJR458756:CJS458756 CTN458756:CTO458756 DDJ458756:DDK458756 DNF458756:DNG458756 DXB458756:DXC458756 EGX458756:EGY458756 EQT458756:EQU458756 FAP458756:FAQ458756 FKL458756:FKM458756 FUH458756:FUI458756 GED458756:GEE458756 GNZ458756:GOA458756 GXV458756:GXW458756 HHR458756:HHS458756 HRN458756:HRO458756 IBJ458756:IBK458756 ILF458756:ILG458756 IVB458756:IVC458756 JEX458756:JEY458756 JOT458756:JOU458756 JYP458756:JYQ458756 KIL458756:KIM458756 KSH458756:KSI458756 LCD458756:LCE458756 LLZ458756:LMA458756 LVV458756:LVW458756 MFR458756:MFS458756 MPN458756:MPO458756 MZJ458756:MZK458756 NJF458756:NJG458756 NTB458756:NTC458756 OCX458756:OCY458756 OMT458756:OMU458756 OWP458756:OWQ458756 PGL458756:PGM458756 PQH458756:PQI458756 QAD458756:QAE458756 QJZ458756:QKA458756 QTV458756:QTW458756 RDR458756:RDS458756 RNN458756:RNO458756 RXJ458756:RXK458756 SHF458756:SHG458756 SRB458756:SRC458756 TAX458756:TAY458756 TKT458756:TKU458756 TUP458756:TUQ458756 UEL458756:UEM458756 UOH458756:UOI458756 UYD458756:UYE458756 VHZ458756:VIA458756 VRV458756:VRW458756 WBR458756:WBS458756 WLN458756:WLO458756 WVJ458756:WVK458756 B524292:C524292 IX524292:IY524292 ST524292:SU524292 ACP524292:ACQ524292 AML524292:AMM524292 AWH524292:AWI524292 BGD524292:BGE524292 BPZ524292:BQA524292 BZV524292:BZW524292 CJR524292:CJS524292 CTN524292:CTO524292 DDJ524292:DDK524292 DNF524292:DNG524292 DXB524292:DXC524292 EGX524292:EGY524292 EQT524292:EQU524292 FAP524292:FAQ524292 FKL524292:FKM524292 FUH524292:FUI524292 GED524292:GEE524292 GNZ524292:GOA524292 GXV524292:GXW524292 HHR524292:HHS524292 HRN524292:HRO524292 IBJ524292:IBK524292 ILF524292:ILG524292 IVB524292:IVC524292 JEX524292:JEY524292 JOT524292:JOU524292 JYP524292:JYQ524292 KIL524292:KIM524292 KSH524292:KSI524292 LCD524292:LCE524292 LLZ524292:LMA524292 LVV524292:LVW524292 MFR524292:MFS524292 MPN524292:MPO524292 MZJ524292:MZK524292 NJF524292:NJG524292 NTB524292:NTC524292 OCX524292:OCY524292 OMT524292:OMU524292 OWP524292:OWQ524292 PGL524292:PGM524292 PQH524292:PQI524292 QAD524292:QAE524292 QJZ524292:QKA524292 QTV524292:QTW524292 RDR524292:RDS524292 RNN524292:RNO524292 RXJ524292:RXK524292 SHF524292:SHG524292 SRB524292:SRC524292 TAX524292:TAY524292 TKT524292:TKU524292 TUP524292:TUQ524292 UEL524292:UEM524292 UOH524292:UOI524292 UYD524292:UYE524292 VHZ524292:VIA524292 VRV524292:VRW524292 WBR524292:WBS524292 WLN524292:WLO524292 WVJ524292:WVK524292 B589828:C589828 IX589828:IY589828 ST589828:SU589828 ACP589828:ACQ589828 AML589828:AMM589828 AWH589828:AWI589828 BGD589828:BGE589828 BPZ589828:BQA589828 BZV589828:BZW589828 CJR589828:CJS589828 CTN589828:CTO589828 DDJ589828:DDK589828 DNF589828:DNG589828 DXB589828:DXC589828 EGX589828:EGY589828 EQT589828:EQU589828 FAP589828:FAQ589828 FKL589828:FKM589828 FUH589828:FUI589828 GED589828:GEE589828 GNZ589828:GOA589828 GXV589828:GXW589828 HHR589828:HHS589828 HRN589828:HRO589828 IBJ589828:IBK589828 ILF589828:ILG589828 IVB589828:IVC589828 JEX589828:JEY589828 JOT589828:JOU589828 JYP589828:JYQ589828 KIL589828:KIM589828 KSH589828:KSI589828 LCD589828:LCE589828 LLZ589828:LMA589828 LVV589828:LVW589828 MFR589828:MFS589828 MPN589828:MPO589828 MZJ589828:MZK589828 NJF589828:NJG589828 NTB589828:NTC589828 OCX589828:OCY589828 OMT589828:OMU589828 OWP589828:OWQ589828 PGL589828:PGM589828 PQH589828:PQI589828 QAD589828:QAE589828 QJZ589828:QKA589828 QTV589828:QTW589828 RDR589828:RDS589828 RNN589828:RNO589828 RXJ589828:RXK589828 SHF589828:SHG589828 SRB589828:SRC589828 TAX589828:TAY589828 TKT589828:TKU589828 TUP589828:TUQ589828 UEL589828:UEM589828 UOH589828:UOI589828 UYD589828:UYE589828 VHZ589828:VIA589828 VRV589828:VRW589828 WBR589828:WBS589828 WLN589828:WLO589828 WVJ589828:WVK589828 B655364:C655364 IX655364:IY655364 ST655364:SU655364 ACP655364:ACQ655364 AML655364:AMM655364 AWH655364:AWI655364 BGD655364:BGE655364 BPZ655364:BQA655364 BZV655364:BZW655364 CJR655364:CJS655364 CTN655364:CTO655364 DDJ655364:DDK655364 DNF655364:DNG655364 DXB655364:DXC655364 EGX655364:EGY655364 EQT655364:EQU655364 FAP655364:FAQ655364 FKL655364:FKM655364 FUH655364:FUI655364 GED655364:GEE655364 GNZ655364:GOA655364 GXV655364:GXW655364 HHR655364:HHS655364 HRN655364:HRO655364 IBJ655364:IBK655364 ILF655364:ILG655364 IVB655364:IVC655364 JEX655364:JEY655364 JOT655364:JOU655364 JYP655364:JYQ655364 KIL655364:KIM655364 KSH655364:KSI655364 LCD655364:LCE655364 LLZ655364:LMA655364 LVV655364:LVW655364 MFR655364:MFS655364 MPN655364:MPO655364 MZJ655364:MZK655364 NJF655364:NJG655364 NTB655364:NTC655364 OCX655364:OCY655364 OMT655364:OMU655364 OWP655364:OWQ655364 PGL655364:PGM655364 PQH655364:PQI655364 QAD655364:QAE655364 QJZ655364:QKA655364 QTV655364:QTW655364 RDR655364:RDS655364 RNN655364:RNO655364 RXJ655364:RXK655364 SHF655364:SHG655364 SRB655364:SRC655364 TAX655364:TAY655364 TKT655364:TKU655364 TUP655364:TUQ655364 UEL655364:UEM655364 UOH655364:UOI655364 UYD655364:UYE655364 VHZ655364:VIA655364 VRV655364:VRW655364 WBR655364:WBS655364 WLN655364:WLO655364 WVJ655364:WVK655364 B720900:C720900 IX720900:IY720900 ST720900:SU720900 ACP720900:ACQ720900 AML720900:AMM720900 AWH720900:AWI720900 BGD720900:BGE720900 BPZ720900:BQA720900 BZV720900:BZW720900 CJR720900:CJS720900 CTN720900:CTO720900 DDJ720900:DDK720900 DNF720900:DNG720900 DXB720900:DXC720900 EGX720900:EGY720900 EQT720900:EQU720900 FAP720900:FAQ720900 FKL720900:FKM720900 FUH720900:FUI720900 GED720900:GEE720900 GNZ720900:GOA720900 GXV720900:GXW720900 HHR720900:HHS720900 HRN720900:HRO720900 IBJ720900:IBK720900 ILF720900:ILG720900 IVB720900:IVC720900 JEX720900:JEY720900 JOT720900:JOU720900 JYP720900:JYQ720900 KIL720900:KIM720900 KSH720900:KSI720900 LCD720900:LCE720900 LLZ720900:LMA720900 LVV720900:LVW720900 MFR720900:MFS720900 MPN720900:MPO720900 MZJ720900:MZK720900 NJF720900:NJG720900 NTB720900:NTC720900 OCX720900:OCY720900 OMT720900:OMU720900 OWP720900:OWQ720900 PGL720900:PGM720900 PQH720900:PQI720900 QAD720900:QAE720900 QJZ720900:QKA720900 QTV720900:QTW720900 RDR720900:RDS720900 RNN720900:RNO720900 RXJ720900:RXK720900 SHF720900:SHG720900 SRB720900:SRC720900 TAX720900:TAY720900 TKT720900:TKU720900 TUP720900:TUQ720900 UEL720900:UEM720900 UOH720900:UOI720900 UYD720900:UYE720900 VHZ720900:VIA720900 VRV720900:VRW720900 WBR720900:WBS720900 WLN720900:WLO720900 WVJ720900:WVK720900 B786436:C786436 IX786436:IY786436 ST786436:SU786436 ACP786436:ACQ786436 AML786436:AMM786436 AWH786436:AWI786436 BGD786436:BGE786436 BPZ786436:BQA786436 BZV786436:BZW786436 CJR786436:CJS786436 CTN786436:CTO786436 DDJ786436:DDK786436 DNF786436:DNG786436 DXB786436:DXC786436 EGX786436:EGY786436 EQT786436:EQU786436 FAP786436:FAQ786436 FKL786436:FKM786436 FUH786436:FUI786436 GED786436:GEE786436 GNZ786436:GOA786436 GXV786436:GXW786436 HHR786436:HHS786436 HRN786436:HRO786436 IBJ786436:IBK786436 ILF786436:ILG786436 IVB786436:IVC786436 JEX786436:JEY786436 JOT786436:JOU786436 JYP786436:JYQ786436 KIL786436:KIM786436 KSH786436:KSI786436 LCD786436:LCE786436 LLZ786436:LMA786436 LVV786436:LVW786436 MFR786436:MFS786436 MPN786436:MPO786436 MZJ786436:MZK786436 NJF786436:NJG786436 NTB786436:NTC786436 OCX786436:OCY786436 OMT786436:OMU786436 OWP786436:OWQ786436 PGL786436:PGM786436 PQH786436:PQI786436 QAD786436:QAE786436 QJZ786436:QKA786436 QTV786436:QTW786436 RDR786436:RDS786436 RNN786436:RNO786436 RXJ786436:RXK786436 SHF786436:SHG786436 SRB786436:SRC786436 TAX786436:TAY786436 TKT786436:TKU786436 TUP786436:TUQ786436 UEL786436:UEM786436 UOH786436:UOI786436 UYD786436:UYE786436 VHZ786436:VIA786436 VRV786436:VRW786436 WBR786436:WBS786436 WLN786436:WLO786436 WVJ786436:WVK786436 B851972:C851972 IX851972:IY851972 ST851972:SU851972 ACP851972:ACQ851972 AML851972:AMM851972 AWH851972:AWI851972 BGD851972:BGE851972 BPZ851972:BQA851972 BZV851972:BZW851972 CJR851972:CJS851972 CTN851972:CTO851972 DDJ851972:DDK851972 DNF851972:DNG851972 DXB851972:DXC851972 EGX851972:EGY851972 EQT851972:EQU851972 FAP851972:FAQ851972 FKL851972:FKM851972 FUH851972:FUI851972 GED851972:GEE851972 GNZ851972:GOA851972 GXV851972:GXW851972 HHR851972:HHS851972 HRN851972:HRO851972 IBJ851972:IBK851972 ILF851972:ILG851972 IVB851972:IVC851972 JEX851972:JEY851972 JOT851972:JOU851972 JYP851972:JYQ851972 KIL851972:KIM851972 KSH851972:KSI851972 LCD851972:LCE851972 LLZ851972:LMA851972 LVV851972:LVW851972 MFR851972:MFS851972 MPN851972:MPO851972 MZJ851972:MZK851972 NJF851972:NJG851972 NTB851972:NTC851972 OCX851972:OCY851972 OMT851972:OMU851972 OWP851972:OWQ851972 PGL851972:PGM851972 PQH851972:PQI851972 QAD851972:QAE851972 QJZ851972:QKA851972 QTV851972:QTW851972 RDR851972:RDS851972 RNN851972:RNO851972 RXJ851972:RXK851972 SHF851972:SHG851972 SRB851972:SRC851972 TAX851972:TAY851972 TKT851972:TKU851972 TUP851972:TUQ851972 UEL851972:UEM851972 UOH851972:UOI851972 UYD851972:UYE851972 VHZ851972:VIA851972 VRV851972:VRW851972 WBR851972:WBS851972 WLN851972:WLO851972 WVJ851972:WVK851972 B917508:C917508 IX917508:IY917508 ST917508:SU917508 ACP917508:ACQ917508 AML917508:AMM917508 AWH917508:AWI917508 BGD917508:BGE917508 BPZ917508:BQA917508 BZV917508:BZW917508 CJR917508:CJS917508 CTN917508:CTO917508 DDJ917508:DDK917508 DNF917508:DNG917508 DXB917508:DXC917508 EGX917508:EGY917508 EQT917508:EQU917508 FAP917508:FAQ917508 FKL917508:FKM917508 FUH917508:FUI917508 GED917508:GEE917508 GNZ917508:GOA917508 GXV917508:GXW917508 HHR917508:HHS917508 HRN917508:HRO917508 IBJ917508:IBK917508 ILF917508:ILG917508 IVB917508:IVC917508 JEX917508:JEY917508 JOT917508:JOU917508 JYP917508:JYQ917508 KIL917508:KIM917508 KSH917508:KSI917508 LCD917508:LCE917508 LLZ917508:LMA917508 LVV917508:LVW917508 MFR917508:MFS917508 MPN917508:MPO917508 MZJ917508:MZK917508 NJF917508:NJG917508 NTB917508:NTC917508 OCX917508:OCY917508 OMT917508:OMU917508 OWP917508:OWQ917508 PGL917508:PGM917508 PQH917508:PQI917508 QAD917508:QAE917508 QJZ917508:QKA917508 QTV917508:QTW917508 RDR917508:RDS917508 RNN917508:RNO917508 RXJ917508:RXK917508 SHF917508:SHG917508 SRB917508:SRC917508 TAX917508:TAY917508 TKT917508:TKU917508 TUP917508:TUQ917508 UEL917508:UEM917508 UOH917508:UOI917508 UYD917508:UYE917508 VHZ917508:VIA917508 VRV917508:VRW917508 WBR917508:WBS917508 WLN917508:WLO917508 WVJ917508:WVK917508 B983044:C983044 IX983044:IY983044 ST983044:SU983044 ACP983044:ACQ983044 AML983044:AMM983044 AWH983044:AWI983044 BGD983044:BGE983044 BPZ983044:BQA983044 BZV983044:BZW983044 CJR983044:CJS983044 CTN983044:CTO983044 DDJ983044:DDK983044 DNF983044:DNG983044 DXB983044:DXC983044 EGX983044:EGY983044 EQT983044:EQU983044 FAP983044:FAQ983044 FKL983044:FKM983044 FUH983044:FUI983044 GED983044:GEE983044 GNZ983044:GOA983044 GXV983044:GXW983044 HHR983044:HHS983044 HRN983044:HRO983044 IBJ983044:IBK983044 ILF983044:ILG983044 IVB983044:IVC983044 JEX983044:JEY983044 JOT983044:JOU983044 JYP983044:JYQ983044 KIL983044:KIM983044 KSH983044:KSI983044 LCD983044:LCE983044 LLZ983044:LMA983044 LVV983044:LVW983044 MFR983044:MFS983044 MPN983044:MPO983044 MZJ983044:MZK983044 NJF983044:NJG983044 NTB983044:NTC983044 OCX983044:OCY983044 OMT983044:OMU983044 OWP983044:OWQ983044 PGL983044:PGM983044 PQH983044:PQI983044 QAD983044:QAE983044 QJZ983044:QKA983044 QTV983044:QTW983044 RDR983044:RDS983044 RNN983044:RNO983044 RXJ983044:RXK983044 SHF983044:SHG983044 SRB983044:SRC983044 TAX983044:TAY983044 TKT983044:TKU983044 TUP983044:TUQ983044 UEL983044:UEM983044 UOH983044:UOI983044 UYD983044:UYE983044 VHZ983044:VIA983044 VRV983044:VRW983044 WBR983044:WBS983044 WLN983044:WLO983044">
      <formula1>$H$1:$H$18</formula1>
    </dataValidation>
  </dataValidations>
  <printOptions horizontalCentered="1"/>
  <pageMargins left="0.59055118110236227" right="0.59055118110236227" top="0.78740157480314965" bottom="0.78740157480314965" header="0.39370078740157483" footer="0.39370078740157483"/>
  <pageSetup paperSize="9" scale="76"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B1:G144"/>
  <sheetViews>
    <sheetView showGridLines="0" zoomScale="85" zoomScaleNormal="85" workbookViewId="0">
      <pane ySplit="6" topLeftCell="A7" activePane="bottomLeft" state="frozen"/>
      <selection pane="bottomLeft"/>
    </sheetView>
  </sheetViews>
  <sheetFormatPr defaultColWidth="9" defaultRowHeight="15"/>
  <cols>
    <col min="1" max="1" width="3.7265625" style="1120" customWidth="1"/>
    <col min="2" max="2" width="14.6328125" style="1120" customWidth="1"/>
    <col min="3" max="3" width="30.6328125" style="1120" customWidth="1"/>
    <col min="4" max="4" width="5.453125" style="1120" hidden="1" customWidth="1"/>
    <col min="5" max="7" width="8.6328125" style="1120" hidden="1" customWidth="1"/>
    <col min="8" max="16384" width="9" style="1120"/>
  </cols>
  <sheetData>
    <row r="1" spans="2:7">
      <c r="D1" s="1121" t="s">
        <v>1073</v>
      </c>
      <c r="E1" s="1121" t="s">
        <v>1073</v>
      </c>
      <c r="F1" s="1121" t="s">
        <v>1073</v>
      </c>
      <c r="G1" s="1121" t="s">
        <v>1073</v>
      </c>
    </row>
    <row r="2" spans="2:7" ht="26.5">
      <c r="B2" s="1122" t="s">
        <v>4884</v>
      </c>
    </row>
    <row r="4" spans="2:7">
      <c r="B4" s="527" t="s">
        <v>1885</v>
      </c>
      <c r="C4" s="1161" t="str">
        <f ca="1">IF(G5=0,"該当する業種を一覧の中からご選択ください。",OFFSET(C6,G5,0))</f>
        <v>携帯電話</v>
      </c>
      <c r="G4" s="1123">
        <f ca="1">IF(G5=0,0,OFFSET(G6,G5,0))</f>
        <v>5881</v>
      </c>
    </row>
    <row r="5" spans="2:7">
      <c r="G5" s="1190">
        <v>65</v>
      </c>
    </row>
    <row r="6" spans="2:7" ht="30">
      <c r="B6" s="1124" t="s">
        <v>1884</v>
      </c>
      <c r="C6" s="1125" t="s">
        <v>4151</v>
      </c>
      <c r="D6" s="1126" t="s">
        <v>4152</v>
      </c>
      <c r="G6" s="1120" t="s">
        <v>4153</v>
      </c>
    </row>
    <row r="7" spans="2:7" ht="16.5" customHeight="1">
      <c r="B7" s="1127"/>
      <c r="C7" s="1127" t="s">
        <v>4885</v>
      </c>
      <c r="D7" s="1128"/>
      <c r="G7" s="1186" t="s">
        <v>4924</v>
      </c>
    </row>
    <row r="8" spans="2:7" ht="16.5" customHeight="1">
      <c r="B8" s="1127"/>
      <c r="C8" s="1127" t="s">
        <v>4886</v>
      </c>
      <c r="D8" s="1128"/>
      <c r="G8" s="1186">
        <v>1131</v>
      </c>
    </row>
    <row r="9" spans="2:7" ht="16.5" customHeight="1">
      <c r="B9" s="1127"/>
      <c r="C9" s="1127" t="s">
        <v>4887</v>
      </c>
      <c r="D9" s="1128"/>
      <c r="G9" s="1186">
        <v>1931</v>
      </c>
    </row>
    <row r="10" spans="2:7" ht="16.5" customHeight="1">
      <c r="B10" s="1127"/>
      <c r="C10" s="1127" t="s">
        <v>4888</v>
      </c>
      <c r="D10" s="1128"/>
      <c r="G10" s="1186">
        <v>4101</v>
      </c>
    </row>
    <row r="11" spans="2:7" ht="16.5" customHeight="1">
      <c r="B11" s="1127"/>
      <c r="C11" s="1127" t="s">
        <v>4889</v>
      </c>
      <c r="D11" s="1128"/>
      <c r="G11" s="1186">
        <v>4102</v>
      </c>
    </row>
    <row r="12" spans="2:7" ht="16.5" customHeight="1">
      <c r="B12" s="1127"/>
      <c r="C12" s="1127" t="s">
        <v>4890</v>
      </c>
      <c r="D12" s="1128"/>
      <c r="G12" s="1186">
        <v>4111</v>
      </c>
    </row>
    <row r="13" spans="2:7" ht="16.5" customHeight="1">
      <c r="B13" s="1127"/>
      <c r="C13" s="1127" t="s">
        <v>4891</v>
      </c>
      <c r="D13" s="1128"/>
      <c r="G13" s="1186">
        <v>4201</v>
      </c>
    </row>
    <row r="14" spans="2:7" ht="16.5" customHeight="1">
      <c r="B14" s="1127"/>
      <c r="C14" s="1127" t="s">
        <v>4892</v>
      </c>
      <c r="D14" s="1128"/>
      <c r="G14" s="1186">
        <v>4202</v>
      </c>
    </row>
    <row r="15" spans="2:7" ht="16.5" customHeight="1">
      <c r="B15" s="1127"/>
      <c r="C15" s="1127" t="s">
        <v>4893</v>
      </c>
      <c r="D15" s="1128"/>
      <c r="G15" s="1186">
        <v>4211</v>
      </c>
    </row>
    <row r="16" spans="2:7" ht="16.5" customHeight="1">
      <c r="B16" s="1127"/>
      <c r="C16" s="1127" t="s">
        <v>4894</v>
      </c>
      <c r="D16" s="1128"/>
      <c r="G16" s="1186">
        <v>4311</v>
      </c>
    </row>
    <row r="17" spans="2:7" ht="16.5" customHeight="1">
      <c r="B17" s="1127"/>
      <c r="C17" s="1127" t="s">
        <v>4895</v>
      </c>
      <c r="D17" s="1128"/>
      <c r="G17" s="1186">
        <v>4411</v>
      </c>
    </row>
    <row r="18" spans="2:7" ht="16.5" customHeight="1">
      <c r="B18" s="1127"/>
      <c r="C18" s="1127" t="s">
        <v>1733</v>
      </c>
      <c r="D18" s="1128"/>
      <c r="G18" s="1186">
        <v>4601</v>
      </c>
    </row>
    <row r="19" spans="2:7" ht="16.5" customHeight="1">
      <c r="B19" s="1127"/>
      <c r="C19" s="1127" t="s">
        <v>4896</v>
      </c>
      <c r="D19" s="1128"/>
      <c r="G19" s="1186">
        <v>4641</v>
      </c>
    </row>
    <row r="20" spans="2:7" ht="16.5" customHeight="1">
      <c r="B20" s="1127"/>
      <c r="C20" s="1127" t="s">
        <v>4897</v>
      </c>
      <c r="D20" s="1128"/>
      <c r="G20" s="1186">
        <v>4691</v>
      </c>
    </row>
    <row r="21" spans="2:7" ht="16.5" customHeight="1">
      <c r="B21" s="1127"/>
      <c r="C21" s="1127" t="s">
        <v>4898</v>
      </c>
      <c r="D21" s="1128"/>
      <c r="G21" s="1186">
        <v>4701</v>
      </c>
    </row>
    <row r="22" spans="2:7" ht="16.5" customHeight="1">
      <c r="B22" s="1127"/>
      <c r="C22" s="1127" t="s">
        <v>5014</v>
      </c>
      <c r="D22" s="1128"/>
      <c r="G22" s="1186">
        <v>4702</v>
      </c>
    </row>
    <row r="23" spans="2:7" ht="16.5" customHeight="1">
      <c r="B23" s="1127"/>
      <c r="C23" s="1127" t="s">
        <v>4899</v>
      </c>
      <c r="D23" s="1128"/>
      <c r="G23" s="1186">
        <v>4711</v>
      </c>
    </row>
    <row r="24" spans="2:7" ht="16.5" customHeight="1">
      <c r="B24" s="1127"/>
      <c r="C24" s="1127" t="s">
        <v>4900</v>
      </c>
      <c r="D24" s="1128"/>
      <c r="G24" s="1186">
        <v>5301</v>
      </c>
    </row>
    <row r="25" spans="2:7" ht="16.5" customHeight="1">
      <c r="B25" s="1127"/>
      <c r="C25" s="1127" t="s">
        <v>4158</v>
      </c>
      <c r="D25" s="1128"/>
      <c r="G25" s="1186">
        <v>5302</v>
      </c>
    </row>
    <row r="26" spans="2:7" ht="16.5" customHeight="1">
      <c r="B26" s="1127"/>
      <c r="C26" s="1127" t="s">
        <v>4901</v>
      </c>
      <c r="D26" s="1128"/>
      <c r="G26" s="1186">
        <v>5303</v>
      </c>
    </row>
    <row r="27" spans="2:7" ht="16.5" customHeight="1">
      <c r="B27" s="1127"/>
      <c r="C27" s="1127" t="s">
        <v>4902</v>
      </c>
      <c r="D27" s="1128"/>
      <c r="G27" s="1186">
        <v>5304</v>
      </c>
    </row>
    <row r="28" spans="2:7" ht="16.5" customHeight="1">
      <c r="B28" s="1127"/>
      <c r="C28" s="1127" t="s">
        <v>4903</v>
      </c>
      <c r="D28" s="1128"/>
      <c r="G28" s="1186">
        <v>5305</v>
      </c>
    </row>
    <row r="29" spans="2:7" ht="16.5" customHeight="1">
      <c r="B29" s="1127"/>
      <c r="C29" s="1127" t="s">
        <v>4904</v>
      </c>
      <c r="D29" s="1128"/>
      <c r="G29" s="1186">
        <v>5306</v>
      </c>
    </row>
    <row r="30" spans="2:7" ht="16.5" customHeight="1">
      <c r="B30" s="1127"/>
      <c r="C30" s="1127" t="s">
        <v>4905</v>
      </c>
      <c r="D30" s="1128"/>
      <c r="G30" s="1186">
        <v>5307</v>
      </c>
    </row>
    <row r="31" spans="2:7" ht="16.5" customHeight="1">
      <c r="B31" s="1127"/>
      <c r="C31" s="1127" t="s">
        <v>2275</v>
      </c>
      <c r="D31" s="1128"/>
      <c r="G31" s="1186">
        <v>5308</v>
      </c>
    </row>
    <row r="32" spans="2:7" ht="16.5" customHeight="1">
      <c r="B32" s="1127"/>
      <c r="C32" s="1127" t="s">
        <v>4906</v>
      </c>
      <c r="D32" s="1128"/>
      <c r="G32" s="1186">
        <v>5309</v>
      </c>
    </row>
    <row r="33" spans="2:7" ht="16.5" customHeight="1">
      <c r="B33" s="1127"/>
      <c r="C33" s="1127" t="s">
        <v>5013</v>
      </c>
      <c r="D33" s="1128"/>
      <c r="G33" s="1186">
        <v>5311</v>
      </c>
    </row>
    <row r="34" spans="2:7" ht="16.5" customHeight="1">
      <c r="B34" s="1127"/>
      <c r="C34" s="1127" t="s">
        <v>4907</v>
      </c>
      <c r="D34" s="1128"/>
      <c r="G34" s="1186">
        <v>5312</v>
      </c>
    </row>
    <row r="35" spans="2:7" ht="16.5" customHeight="1">
      <c r="B35" s="1127"/>
      <c r="C35" s="1127" t="s">
        <v>4908</v>
      </c>
      <c r="D35" s="1128"/>
      <c r="G35" s="1186">
        <v>5313</v>
      </c>
    </row>
    <row r="36" spans="2:7" ht="16.5" customHeight="1">
      <c r="B36" s="1127"/>
      <c r="C36" s="1127" t="s">
        <v>5011</v>
      </c>
      <c r="D36" s="1128"/>
      <c r="G36" s="1186">
        <v>5315</v>
      </c>
    </row>
    <row r="37" spans="2:7" ht="16.5" customHeight="1">
      <c r="B37" s="1127"/>
      <c r="C37" s="1127" t="s">
        <v>5012</v>
      </c>
      <c r="D37" s="1128"/>
      <c r="G37" s="1186">
        <v>5319</v>
      </c>
    </row>
    <row r="38" spans="2:7" ht="16.5" customHeight="1">
      <c r="B38" s="1127"/>
      <c r="C38" s="1127" t="s">
        <v>4909</v>
      </c>
      <c r="D38" s="1128"/>
      <c r="G38" s="1186">
        <v>5401</v>
      </c>
    </row>
    <row r="39" spans="2:7" ht="16.5" customHeight="1">
      <c r="B39" s="1127"/>
      <c r="C39" s="1127" t="s">
        <v>4910</v>
      </c>
      <c r="D39" s="1128"/>
      <c r="G39" s="1186">
        <v>5402</v>
      </c>
    </row>
    <row r="40" spans="2:7" ht="16.5" customHeight="1">
      <c r="B40" s="1127"/>
      <c r="C40" s="1127" t="s">
        <v>4911</v>
      </c>
      <c r="D40" s="1128"/>
      <c r="G40" s="1186">
        <v>5403</v>
      </c>
    </row>
    <row r="41" spans="2:7" ht="16.5" customHeight="1">
      <c r="B41" s="1127"/>
      <c r="C41" s="1127" t="s">
        <v>4912</v>
      </c>
      <c r="D41" s="1128"/>
      <c r="G41" s="1186">
        <v>5404</v>
      </c>
    </row>
    <row r="42" spans="2:7" ht="16.5" customHeight="1">
      <c r="B42" s="1127"/>
      <c r="C42" s="1127" t="s">
        <v>4913</v>
      </c>
      <c r="D42" s="1128"/>
      <c r="G42" s="1186">
        <v>5405</v>
      </c>
    </row>
    <row r="43" spans="2:7" ht="16.5" customHeight="1">
      <c r="B43" s="1127"/>
      <c r="C43" s="1127" t="s">
        <v>4914</v>
      </c>
      <c r="D43" s="1128"/>
      <c r="G43" s="1186">
        <v>5411</v>
      </c>
    </row>
    <row r="44" spans="2:7" ht="16.5" customHeight="1">
      <c r="B44" s="1127"/>
      <c r="C44" s="1127" t="s">
        <v>4915</v>
      </c>
      <c r="D44" s="1128"/>
      <c r="G44" s="1186">
        <v>5412</v>
      </c>
    </row>
    <row r="45" spans="2:7" ht="16.5" customHeight="1">
      <c r="B45" s="1127"/>
      <c r="C45" s="1127" t="s">
        <v>4916</v>
      </c>
      <c r="D45" s="1128"/>
      <c r="G45" s="1186">
        <v>5413</v>
      </c>
    </row>
    <row r="46" spans="2:7" ht="16.5" customHeight="1">
      <c r="B46" s="1127"/>
      <c r="C46" s="1127" t="s">
        <v>4917</v>
      </c>
      <c r="D46" s="1128"/>
      <c r="G46" s="1186">
        <v>5414</v>
      </c>
    </row>
    <row r="47" spans="2:7" ht="16.5" customHeight="1">
      <c r="B47" s="1127"/>
      <c r="C47" s="1127" t="s">
        <v>4918</v>
      </c>
      <c r="D47" s="1128"/>
      <c r="G47" s="1186">
        <v>5501</v>
      </c>
    </row>
    <row r="48" spans="2:7" ht="16.5" customHeight="1">
      <c r="B48" s="1127"/>
      <c r="C48" s="1127" t="s">
        <v>4919</v>
      </c>
      <c r="D48" s="1128"/>
      <c r="G48" s="1186">
        <v>5502</v>
      </c>
    </row>
    <row r="49" spans="2:7" ht="16.5" customHeight="1">
      <c r="B49" s="1127"/>
      <c r="C49" s="1127" t="s">
        <v>4920</v>
      </c>
      <c r="D49" s="1128"/>
      <c r="G49" s="1186">
        <v>5611</v>
      </c>
    </row>
    <row r="50" spans="2:7" ht="16.5" customHeight="1">
      <c r="B50" s="1127"/>
      <c r="C50" s="1127" t="s">
        <v>4921</v>
      </c>
      <c r="D50" s="1128"/>
      <c r="G50" s="1186">
        <v>5612</v>
      </c>
    </row>
    <row r="51" spans="2:7" ht="16.5" customHeight="1">
      <c r="B51" s="1127"/>
      <c r="C51" s="1127" t="s">
        <v>4922</v>
      </c>
      <c r="D51" s="1128"/>
      <c r="G51" s="1186">
        <v>5711</v>
      </c>
    </row>
    <row r="52" spans="2:7" ht="16.5" customHeight="1">
      <c r="B52" s="1127"/>
      <c r="C52" s="1127" t="s">
        <v>4923</v>
      </c>
      <c r="D52" s="1128"/>
      <c r="G52" s="1186">
        <v>5712</v>
      </c>
    </row>
    <row r="53" spans="2:7" ht="16.5" customHeight="1">
      <c r="B53" s="1127"/>
      <c r="C53" s="1127" t="s">
        <v>4925</v>
      </c>
      <c r="D53" s="1128"/>
      <c r="G53" s="1186">
        <v>5713</v>
      </c>
    </row>
    <row r="54" spans="2:7" ht="16.5" customHeight="1">
      <c r="B54" s="1127"/>
      <c r="C54" s="1127" t="s">
        <v>4926</v>
      </c>
      <c r="D54" s="1128"/>
      <c r="G54" s="1186">
        <v>5811</v>
      </c>
    </row>
    <row r="55" spans="2:7" ht="16.5" customHeight="1">
      <c r="B55" s="1127"/>
      <c r="C55" s="1127" t="s">
        <v>4927</v>
      </c>
      <c r="D55" s="1128"/>
      <c r="G55" s="1186">
        <v>5812</v>
      </c>
    </row>
    <row r="56" spans="2:7" ht="16.5" customHeight="1">
      <c r="B56" s="1127"/>
      <c r="C56" s="1127" t="s">
        <v>1675</v>
      </c>
      <c r="D56" s="1128"/>
      <c r="G56" s="1186">
        <v>5831</v>
      </c>
    </row>
    <row r="57" spans="2:7" ht="16.5" customHeight="1">
      <c r="B57" s="1127"/>
      <c r="C57" s="1127" t="s">
        <v>4928</v>
      </c>
      <c r="D57" s="1128"/>
      <c r="G57" s="1186">
        <v>5841</v>
      </c>
    </row>
    <row r="58" spans="2:7" ht="16.5" customHeight="1">
      <c r="B58" s="1127"/>
      <c r="C58" s="1127" t="s">
        <v>4929</v>
      </c>
      <c r="D58" s="1128"/>
      <c r="G58" s="1186">
        <v>5842</v>
      </c>
    </row>
    <row r="59" spans="2:7" ht="16.5" customHeight="1">
      <c r="B59" s="1127"/>
      <c r="C59" s="1127" t="s">
        <v>4930</v>
      </c>
      <c r="D59" s="1128"/>
      <c r="G59" s="1186">
        <v>5843</v>
      </c>
    </row>
    <row r="60" spans="2:7" ht="16.5" customHeight="1">
      <c r="B60" s="1127"/>
      <c r="C60" s="1127" t="s">
        <v>4931</v>
      </c>
      <c r="D60" s="1128"/>
      <c r="G60" s="1186">
        <v>5851</v>
      </c>
    </row>
    <row r="61" spans="2:7" ht="16.5" customHeight="1">
      <c r="B61" s="1127"/>
      <c r="C61" s="1127" t="s">
        <v>4932</v>
      </c>
      <c r="D61" s="1128"/>
      <c r="G61" s="1186">
        <v>5852</v>
      </c>
    </row>
    <row r="62" spans="2:7" ht="16.5" customHeight="1">
      <c r="B62" s="1127"/>
      <c r="C62" s="1127" t="s">
        <v>4933</v>
      </c>
      <c r="D62" s="1128"/>
      <c r="G62" s="1186">
        <v>5853</v>
      </c>
    </row>
    <row r="63" spans="2:7" ht="16.5" customHeight="1">
      <c r="B63" s="1127"/>
      <c r="C63" s="1127" t="s">
        <v>4934</v>
      </c>
      <c r="D63" s="1128"/>
      <c r="G63" s="1186">
        <v>5854</v>
      </c>
    </row>
    <row r="64" spans="2:7">
      <c r="B64" s="1127"/>
      <c r="C64" s="1127" t="s">
        <v>4935</v>
      </c>
      <c r="D64" s="1128"/>
      <c r="G64" s="1186">
        <v>5855</v>
      </c>
    </row>
    <row r="65" spans="2:7" ht="16.5" customHeight="1">
      <c r="B65" s="1127"/>
      <c r="C65" s="1127" t="s">
        <v>4936</v>
      </c>
      <c r="D65" s="1128"/>
      <c r="G65" s="1186">
        <v>5856</v>
      </c>
    </row>
    <row r="66" spans="2:7" ht="16.5" customHeight="1">
      <c r="B66" s="1127"/>
      <c r="C66" s="1127" t="s">
        <v>4652</v>
      </c>
      <c r="D66" s="1128"/>
      <c r="G66" s="1186">
        <v>5861</v>
      </c>
    </row>
    <row r="67" spans="2:7" ht="16.5" customHeight="1">
      <c r="B67" s="1127"/>
      <c r="C67" s="1127" t="s">
        <v>4937</v>
      </c>
      <c r="D67" s="1128"/>
      <c r="G67" s="1186">
        <v>5862</v>
      </c>
    </row>
    <row r="68" spans="2:7" ht="16.5" customHeight="1">
      <c r="B68" s="1127"/>
      <c r="C68" s="1127" t="s">
        <v>4938</v>
      </c>
      <c r="D68" s="1128"/>
      <c r="G68" s="1186">
        <v>5863</v>
      </c>
    </row>
    <row r="69" spans="2:7" ht="16.5" customHeight="1">
      <c r="B69" s="1127"/>
      <c r="C69" s="1127" t="s">
        <v>4939</v>
      </c>
      <c r="D69" s="1128"/>
      <c r="G69" s="1186">
        <v>5864</v>
      </c>
    </row>
    <row r="70" spans="2:7" ht="16.5" customHeight="1">
      <c r="B70" s="1127"/>
      <c r="C70" s="1127" t="s">
        <v>4940</v>
      </c>
      <c r="D70" s="1128"/>
      <c r="G70" s="1186">
        <v>5872</v>
      </c>
    </row>
    <row r="71" spans="2:7" ht="16.5" customHeight="1">
      <c r="B71" s="1127"/>
      <c r="C71" s="1127" t="s">
        <v>4941</v>
      </c>
      <c r="D71" s="1128"/>
      <c r="G71" s="1186">
        <v>5881</v>
      </c>
    </row>
    <row r="72" spans="2:7" ht="16.5" customHeight="1">
      <c r="B72" s="1127"/>
      <c r="C72" s="1127" t="s">
        <v>4755</v>
      </c>
      <c r="D72" s="1128"/>
      <c r="G72" s="1186">
        <v>5891</v>
      </c>
    </row>
    <row r="73" spans="2:7" ht="16.5" customHeight="1">
      <c r="B73" s="1127"/>
      <c r="C73" s="1127" t="s">
        <v>4942</v>
      </c>
      <c r="D73" s="1128"/>
      <c r="G73" s="1186">
        <v>5892</v>
      </c>
    </row>
    <row r="74" spans="2:7" ht="16.5" customHeight="1">
      <c r="B74" s="1127"/>
      <c r="C74" s="1127" t="s">
        <v>4943</v>
      </c>
      <c r="D74" s="1128"/>
      <c r="G74" s="1186">
        <v>5893</v>
      </c>
    </row>
    <row r="75" spans="2:7" ht="16.5" customHeight="1">
      <c r="B75" s="1127"/>
      <c r="C75" s="1127" t="s">
        <v>4944</v>
      </c>
      <c r="D75" s="1128"/>
      <c r="G75" s="1186">
        <v>5894</v>
      </c>
    </row>
    <row r="76" spans="2:7" ht="16.5" customHeight="1">
      <c r="B76" s="1127"/>
      <c r="C76" s="1127" t="s">
        <v>4945</v>
      </c>
      <c r="D76" s="1128"/>
      <c r="G76" s="1186">
        <v>5895</v>
      </c>
    </row>
    <row r="77" spans="2:7" ht="16.5" customHeight="1">
      <c r="B77" s="1127"/>
      <c r="C77" s="1127" t="s">
        <v>4946</v>
      </c>
      <c r="D77" s="1128"/>
      <c r="G77" s="1186">
        <v>5899</v>
      </c>
    </row>
    <row r="78" spans="2:7" ht="16.5" customHeight="1">
      <c r="B78" s="1127"/>
      <c r="C78" s="1127" t="s">
        <v>5010</v>
      </c>
      <c r="D78" s="1128"/>
      <c r="G78" s="1186">
        <v>5901</v>
      </c>
    </row>
    <row r="79" spans="2:7" ht="16.5" customHeight="1">
      <c r="B79" s="1127"/>
      <c r="C79" s="1127" t="s">
        <v>4947</v>
      </c>
      <c r="D79" s="1128"/>
      <c r="G79" s="1186">
        <v>5902</v>
      </c>
    </row>
    <row r="80" spans="2:7" ht="16.5" customHeight="1">
      <c r="B80" s="1127"/>
      <c r="C80" s="1127" t="s">
        <v>5008</v>
      </c>
      <c r="D80" s="1128"/>
      <c r="G80" s="1186">
        <v>5903</v>
      </c>
    </row>
    <row r="81" spans="2:7" ht="16.5" customHeight="1">
      <c r="B81" s="1127"/>
      <c r="C81" s="1127" t="s">
        <v>5009</v>
      </c>
      <c r="D81" s="1128"/>
      <c r="G81" s="1186">
        <v>5904</v>
      </c>
    </row>
    <row r="82" spans="2:7" ht="16.5" customHeight="1">
      <c r="B82" s="1127"/>
      <c r="C82" s="1127" t="s">
        <v>4948</v>
      </c>
      <c r="D82" s="1128"/>
      <c r="G82" s="1186">
        <v>5905</v>
      </c>
    </row>
    <row r="83" spans="2:7" ht="16.5" customHeight="1">
      <c r="B83" s="1127"/>
      <c r="C83" s="1127" t="s">
        <v>5007</v>
      </c>
      <c r="D83" s="1128"/>
      <c r="G83" s="1186">
        <v>5906</v>
      </c>
    </row>
    <row r="84" spans="2:7" ht="16.5" customHeight="1">
      <c r="B84" s="1127"/>
      <c r="C84" s="1127" t="s">
        <v>4949</v>
      </c>
      <c r="D84" s="1128"/>
      <c r="G84" s="1186">
        <v>6001</v>
      </c>
    </row>
    <row r="85" spans="2:7" ht="16.5" customHeight="1">
      <c r="B85" s="1127"/>
      <c r="C85" s="1127" t="s">
        <v>4950</v>
      </c>
      <c r="D85" s="1128"/>
      <c r="G85" s="1186">
        <v>6002</v>
      </c>
    </row>
    <row r="86" spans="2:7" ht="16.5" customHeight="1">
      <c r="B86" s="1127"/>
      <c r="C86" s="1127" t="s">
        <v>4951</v>
      </c>
      <c r="D86" s="1128"/>
      <c r="G86" s="1186">
        <v>6003</v>
      </c>
    </row>
    <row r="87" spans="2:7" ht="16.5" customHeight="1">
      <c r="B87" s="1127"/>
      <c r="C87" s="1127" t="s">
        <v>5005</v>
      </c>
      <c r="D87" s="1128"/>
      <c r="G87" s="1186">
        <v>6004</v>
      </c>
    </row>
    <row r="88" spans="2:7" ht="16.5" customHeight="1">
      <c r="B88" s="1127"/>
      <c r="C88" s="1127" t="s">
        <v>4952</v>
      </c>
      <c r="D88" s="1128"/>
      <c r="G88" s="1186">
        <v>6010</v>
      </c>
    </row>
    <row r="89" spans="2:7" ht="16.5" customHeight="1">
      <c r="B89" s="1127"/>
      <c r="C89" s="1127" t="s">
        <v>5004</v>
      </c>
      <c r="D89" s="1128"/>
      <c r="G89" s="1186">
        <v>6011</v>
      </c>
    </row>
    <row r="90" spans="2:7" ht="16.5" customHeight="1">
      <c r="B90" s="1127"/>
      <c r="C90" s="1127" t="s">
        <v>4953</v>
      </c>
      <c r="D90" s="1128"/>
      <c r="G90" s="1186">
        <v>6012</v>
      </c>
    </row>
    <row r="91" spans="2:7" ht="16.5" customHeight="1">
      <c r="B91" s="1127"/>
      <c r="C91" s="1127" t="s">
        <v>4954</v>
      </c>
      <c r="D91" s="1128"/>
      <c r="G91" s="1186">
        <v>6019</v>
      </c>
    </row>
    <row r="92" spans="2:7" ht="16.5" customHeight="1">
      <c r="B92" s="1127"/>
      <c r="C92" s="1127" t="s">
        <v>5006</v>
      </c>
      <c r="D92" s="1128"/>
      <c r="G92" s="1186">
        <v>6021</v>
      </c>
    </row>
    <row r="93" spans="2:7" ht="16.5" customHeight="1">
      <c r="B93" s="1127"/>
      <c r="C93" s="1127" t="s">
        <v>4955</v>
      </c>
      <c r="D93" s="1128"/>
      <c r="G93" s="1186">
        <v>6121</v>
      </c>
    </row>
    <row r="94" spans="2:7" ht="16.5" customHeight="1">
      <c r="B94" s="1127"/>
      <c r="C94" s="1127" t="s">
        <v>4956</v>
      </c>
      <c r="D94" s="1128"/>
      <c r="G94" s="1186">
        <v>6211</v>
      </c>
    </row>
    <row r="95" spans="2:7" ht="16.5" customHeight="1">
      <c r="B95" s="1127"/>
      <c r="C95" s="1127" t="s">
        <v>4957</v>
      </c>
      <c r="D95" s="1128"/>
      <c r="G95" s="1186">
        <v>6212</v>
      </c>
    </row>
    <row r="96" spans="2:7">
      <c r="B96" s="1127"/>
      <c r="C96" s="1127" t="s">
        <v>4958</v>
      </c>
      <c r="D96" s="1127"/>
      <c r="G96" s="1186">
        <v>6213</v>
      </c>
    </row>
    <row r="97" spans="2:7">
      <c r="B97" s="1127"/>
      <c r="C97" s="1127" t="s">
        <v>4995</v>
      </c>
      <c r="D97" s="1127"/>
      <c r="G97" s="1186">
        <v>6321</v>
      </c>
    </row>
    <row r="98" spans="2:7">
      <c r="B98" s="1127"/>
      <c r="C98" s="1127" t="s">
        <v>4996</v>
      </c>
      <c r="D98" s="1127"/>
      <c r="G98" s="1186">
        <v>7019</v>
      </c>
    </row>
    <row r="99" spans="2:7">
      <c r="B99" s="1127"/>
      <c r="C99" s="1127" t="s">
        <v>4997</v>
      </c>
      <c r="D99" s="1127"/>
      <c r="G99" s="1186">
        <v>7211</v>
      </c>
    </row>
    <row r="100" spans="2:7">
      <c r="B100" s="1127"/>
      <c r="C100" s="1127" t="s">
        <v>1682</v>
      </c>
      <c r="D100" s="1127"/>
      <c r="G100" s="1186">
        <v>7241</v>
      </c>
    </row>
    <row r="101" spans="2:7">
      <c r="B101" s="1127"/>
      <c r="C101" s="1127" t="s">
        <v>5003</v>
      </c>
      <c r="D101" s="1127"/>
      <c r="G101" s="1186">
        <v>7251</v>
      </c>
    </row>
    <row r="102" spans="2:7">
      <c r="B102" s="1127"/>
      <c r="C102" s="1127" t="s">
        <v>4998</v>
      </c>
      <c r="D102" s="1127"/>
      <c r="G102" s="1186">
        <v>7252</v>
      </c>
    </row>
    <row r="103" spans="2:7">
      <c r="B103" s="1127"/>
      <c r="C103" s="1127" t="s">
        <v>4999</v>
      </c>
      <c r="D103" s="1127"/>
      <c r="G103" s="1186">
        <v>7253</v>
      </c>
    </row>
    <row r="104" spans="2:7">
      <c r="B104" s="1127"/>
      <c r="C104" s="1127" t="s">
        <v>5000</v>
      </c>
      <c r="D104" s="1127"/>
      <c r="G104" s="1186">
        <v>7301</v>
      </c>
    </row>
    <row r="105" spans="2:7">
      <c r="B105" s="1127"/>
      <c r="C105" s="1127" t="s">
        <v>5001</v>
      </c>
      <c r="D105" s="1127"/>
      <c r="G105" s="1186">
        <v>7311</v>
      </c>
    </row>
    <row r="106" spans="2:7">
      <c r="B106" s="1127"/>
      <c r="C106" s="1127" t="s">
        <v>4265</v>
      </c>
      <c r="D106" s="1127"/>
      <c r="G106" s="1186">
        <v>7511</v>
      </c>
    </row>
    <row r="107" spans="2:7">
      <c r="B107" s="1127"/>
      <c r="C107" s="1127" t="s">
        <v>5002</v>
      </c>
      <c r="D107" s="1127"/>
      <c r="G107" s="1186">
        <v>7512</v>
      </c>
    </row>
    <row r="108" spans="2:7">
      <c r="B108" s="1127"/>
      <c r="C108" s="1127" t="s">
        <v>4959</v>
      </c>
      <c r="D108" s="1127"/>
      <c r="G108" s="1186">
        <v>7541</v>
      </c>
    </row>
    <row r="109" spans="2:7">
      <c r="B109" s="1127"/>
      <c r="C109" s="1127" t="s">
        <v>4960</v>
      </c>
      <c r="D109" s="1127"/>
      <c r="G109" s="1186">
        <v>7613</v>
      </c>
    </row>
    <row r="110" spans="2:7">
      <c r="B110" s="1127"/>
      <c r="C110" s="1127" t="s">
        <v>4961</v>
      </c>
      <c r="D110" s="1127"/>
      <c r="G110" s="1186">
        <v>7641</v>
      </c>
    </row>
    <row r="111" spans="2:7">
      <c r="B111" s="1127"/>
      <c r="C111" s="1127" t="s">
        <v>4962</v>
      </c>
      <c r="D111" s="1127"/>
      <c r="G111" s="1186">
        <v>7642</v>
      </c>
    </row>
    <row r="112" spans="2:7">
      <c r="B112" s="1127"/>
      <c r="C112" s="1127" t="s">
        <v>4963</v>
      </c>
      <c r="D112" s="1127"/>
      <c r="G112" s="1186">
        <v>7643</v>
      </c>
    </row>
    <row r="113" spans="2:7">
      <c r="B113" s="1127"/>
      <c r="C113" s="1127" t="s">
        <v>4222</v>
      </c>
      <c r="D113" s="1127"/>
      <c r="G113" s="1186">
        <v>7691</v>
      </c>
    </row>
    <row r="114" spans="2:7">
      <c r="B114" s="1127"/>
      <c r="C114" s="1127" t="s">
        <v>4994</v>
      </c>
      <c r="D114" s="1127"/>
      <c r="G114" s="1186">
        <v>7692</v>
      </c>
    </row>
    <row r="115" spans="2:7">
      <c r="B115" s="1127"/>
      <c r="C115" s="1127" t="s">
        <v>4964</v>
      </c>
      <c r="D115" s="1127"/>
      <c r="G115" s="1186">
        <v>7811</v>
      </c>
    </row>
    <row r="116" spans="2:7">
      <c r="B116" s="1127"/>
      <c r="C116" s="1127" t="s">
        <v>4965</v>
      </c>
      <c r="D116" s="1127"/>
      <c r="G116" s="1186">
        <v>7812</v>
      </c>
    </row>
    <row r="117" spans="2:7">
      <c r="B117" s="1127"/>
      <c r="C117" s="1127" t="s">
        <v>4966</v>
      </c>
      <c r="D117" s="1127"/>
      <c r="G117" s="1186">
        <v>7813</v>
      </c>
    </row>
    <row r="118" spans="2:7">
      <c r="B118" s="1127"/>
      <c r="C118" s="1127" t="s">
        <v>4992</v>
      </c>
      <c r="D118" s="1127"/>
      <c r="G118" s="1186">
        <v>7814</v>
      </c>
    </row>
    <row r="119" spans="2:7">
      <c r="B119" s="1127"/>
      <c r="C119" s="1127" t="s">
        <v>4967</v>
      </c>
      <c r="D119" s="1127"/>
      <c r="G119" s="1186">
        <v>7815</v>
      </c>
    </row>
    <row r="120" spans="2:7">
      <c r="B120" s="1127"/>
      <c r="C120" s="1127" t="s">
        <v>4968</v>
      </c>
      <c r="D120" s="1127"/>
      <c r="G120" s="1186">
        <v>7816</v>
      </c>
    </row>
    <row r="121" spans="2:7">
      <c r="B121" s="1127"/>
      <c r="C121" s="1127" t="s">
        <v>4969</v>
      </c>
      <c r="D121" s="1127"/>
      <c r="G121" s="1186">
        <v>7817</v>
      </c>
    </row>
    <row r="122" spans="2:7">
      <c r="B122" s="1127"/>
      <c r="C122" s="1127" t="s">
        <v>4970</v>
      </c>
      <c r="D122" s="1127"/>
      <c r="G122" s="1186">
        <v>7818</v>
      </c>
    </row>
    <row r="123" spans="2:7">
      <c r="B123" s="1127"/>
      <c r="C123" s="1127" t="s">
        <v>4971</v>
      </c>
      <c r="D123" s="1127"/>
      <c r="G123" s="1186">
        <v>7821</v>
      </c>
    </row>
    <row r="124" spans="2:7">
      <c r="B124" s="1127"/>
      <c r="C124" s="1127" t="s">
        <v>4972</v>
      </c>
      <c r="D124" s="1127"/>
      <c r="G124" s="1186">
        <v>7822</v>
      </c>
    </row>
    <row r="125" spans="2:7">
      <c r="B125" s="1127"/>
      <c r="C125" s="1127" t="s">
        <v>4973</v>
      </c>
      <c r="D125" s="1127"/>
      <c r="G125" s="1186">
        <v>7823</v>
      </c>
    </row>
    <row r="126" spans="2:7">
      <c r="B126" s="1127"/>
      <c r="C126" s="1127" t="s">
        <v>4974</v>
      </c>
      <c r="D126" s="1127"/>
      <c r="G126" s="1186">
        <v>8011</v>
      </c>
    </row>
    <row r="127" spans="2:7">
      <c r="B127" s="1127"/>
      <c r="C127" s="1127" t="s">
        <v>4975</v>
      </c>
      <c r="D127" s="1127"/>
      <c r="G127" s="1186">
        <v>8111</v>
      </c>
    </row>
    <row r="128" spans="2:7">
      <c r="B128" s="1127"/>
      <c r="C128" s="1127" t="s">
        <v>4976</v>
      </c>
      <c r="D128" s="1127"/>
      <c r="G128" s="1186">
        <v>8291</v>
      </c>
    </row>
    <row r="129" spans="2:7">
      <c r="B129" s="1127"/>
      <c r="C129" s="1127" t="s">
        <v>4977</v>
      </c>
      <c r="D129" s="1127"/>
      <c r="G129" s="1186">
        <v>8321</v>
      </c>
    </row>
    <row r="130" spans="2:7">
      <c r="B130" s="1127"/>
      <c r="C130" s="1127" t="s">
        <v>4978</v>
      </c>
      <c r="D130" s="1127"/>
      <c r="G130" s="1186">
        <v>8331</v>
      </c>
    </row>
    <row r="131" spans="2:7">
      <c r="B131" s="1127"/>
      <c r="C131" s="1127" t="s">
        <v>4979</v>
      </c>
      <c r="D131" s="1127"/>
      <c r="G131" s="1186">
        <v>8401</v>
      </c>
    </row>
    <row r="132" spans="2:7">
      <c r="B132" s="1127"/>
      <c r="C132" s="1127" t="s">
        <v>4980</v>
      </c>
      <c r="D132" s="1127"/>
      <c r="G132" s="1186">
        <v>8441</v>
      </c>
    </row>
    <row r="133" spans="2:7">
      <c r="B133" s="1127"/>
      <c r="C133" s="1127" t="s">
        <v>4981</v>
      </c>
      <c r="D133" s="1127"/>
      <c r="G133" s="1186">
        <v>8451</v>
      </c>
    </row>
    <row r="134" spans="2:7">
      <c r="B134" s="1127"/>
      <c r="C134" s="1127" t="s">
        <v>4993</v>
      </c>
      <c r="D134" s="1127"/>
      <c r="G134" s="1186">
        <v>8561</v>
      </c>
    </row>
    <row r="135" spans="2:7">
      <c r="B135" s="1127"/>
      <c r="C135" s="1127" t="s">
        <v>4982</v>
      </c>
      <c r="D135" s="1127"/>
      <c r="G135" s="1186">
        <v>8711</v>
      </c>
    </row>
    <row r="136" spans="2:7">
      <c r="B136" s="1127"/>
      <c r="C136" s="1127" t="s">
        <v>4983</v>
      </c>
      <c r="D136" s="1127"/>
      <c r="G136" s="1186">
        <v>8712</v>
      </c>
    </row>
    <row r="137" spans="2:7">
      <c r="B137" s="1127"/>
      <c r="C137" s="1127" t="s">
        <v>4984</v>
      </c>
      <c r="D137" s="1127"/>
      <c r="G137" s="1186">
        <v>8713</v>
      </c>
    </row>
    <row r="138" spans="2:7">
      <c r="B138" s="1127"/>
      <c r="C138" s="1127" t="s">
        <v>4985</v>
      </c>
      <c r="D138" s="1127"/>
      <c r="G138" s="1186">
        <v>8714</v>
      </c>
    </row>
    <row r="139" spans="2:7">
      <c r="B139" s="1127"/>
      <c r="C139" s="1127" t="s">
        <v>4986</v>
      </c>
      <c r="D139" s="1127"/>
      <c r="G139" s="1186">
        <v>9171</v>
      </c>
    </row>
    <row r="140" spans="2:7">
      <c r="B140" s="1127"/>
      <c r="C140" s="1127" t="s">
        <v>4987</v>
      </c>
      <c r="D140" s="1127"/>
      <c r="G140" s="1186">
        <v>9401</v>
      </c>
    </row>
    <row r="141" spans="2:7">
      <c r="B141" s="1127"/>
      <c r="C141" s="1127" t="s">
        <v>4988</v>
      </c>
      <c r="D141" s="1127"/>
      <c r="G141" s="1186">
        <v>9402</v>
      </c>
    </row>
    <row r="142" spans="2:7">
      <c r="B142" s="1127"/>
      <c r="C142" s="1127" t="s">
        <v>4989</v>
      </c>
      <c r="D142" s="1127"/>
      <c r="G142" s="1186">
        <v>9491</v>
      </c>
    </row>
    <row r="143" spans="2:7">
      <c r="B143" s="1127"/>
      <c r="C143" s="1127" t="s">
        <v>4990</v>
      </c>
      <c r="D143" s="1127"/>
      <c r="G143" s="1186">
        <v>9501</v>
      </c>
    </row>
    <row r="144" spans="2:7">
      <c r="B144" s="1127"/>
      <c r="C144" s="1127" t="s">
        <v>4991</v>
      </c>
      <c r="D144" s="1127"/>
      <c r="G144" s="1186">
        <v>9503</v>
      </c>
    </row>
  </sheetData>
  <sheetProtection password="842B" sheet="1" objects="1" scenarios="1" selectLockedCells="1" selectUnlockedCells="1"/>
  <phoneticPr fontId="3"/>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44385" r:id="rId3" name="Option Button 1">
              <controlPr defaultSize="0" autoFill="0" autoLine="0" autoPict="0">
                <anchor moveWithCells="1">
                  <from>
                    <xdr:col>1</xdr:col>
                    <xdr:colOff>438150</xdr:colOff>
                    <xdr:row>6</xdr:row>
                    <xdr:rowOff>31750</xdr:rowOff>
                  </from>
                  <to>
                    <xdr:col>1</xdr:col>
                    <xdr:colOff>990600</xdr:colOff>
                    <xdr:row>6</xdr:row>
                    <xdr:rowOff>184150</xdr:rowOff>
                  </to>
                </anchor>
              </controlPr>
            </control>
          </mc:Choice>
        </mc:AlternateContent>
        <mc:AlternateContent xmlns:mc="http://schemas.openxmlformats.org/markup-compatibility/2006">
          <mc:Choice Requires="x14">
            <control shapeId="144386" r:id="rId4" name="Option Button 2">
              <controlPr defaultSize="0" autoFill="0" autoLine="0" autoPict="0">
                <anchor moveWithCells="1">
                  <from>
                    <xdr:col>1</xdr:col>
                    <xdr:colOff>438150</xdr:colOff>
                    <xdr:row>7</xdr:row>
                    <xdr:rowOff>31750</xdr:rowOff>
                  </from>
                  <to>
                    <xdr:col>1</xdr:col>
                    <xdr:colOff>990600</xdr:colOff>
                    <xdr:row>7</xdr:row>
                    <xdr:rowOff>184150</xdr:rowOff>
                  </to>
                </anchor>
              </controlPr>
            </control>
          </mc:Choice>
        </mc:AlternateContent>
        <mc:AlternateContent xmlns:mc="http://schemas.openxmlformats.org/markup-compatibility/2006">
          <mc:Choice Requires="x14">
            <control shapeId="144387" r:id="rId5" name="Option Button 3">
              <controlPr defaultSize="0" autoFill="0" autoLine="0" autoPict="0">
                <anchor moveWithCells="1">
                  <from>
                    <xdr:col>1</xdr:col>
                    <xdr:colOff>438150</xdr:colOff>
                    <xdr:row>8</xdr:row>
                    <xdr:rowOff>31750</xdr:rowOff>
                  </from>
                  <to>
                    <xdr:col>1</xdr:col>
                    <xdr:colOff>990600</xdr:colOff>
                    <xdr:row>8</xdr:row>
                    <xdr:rowOff>184150</xdr:rowOff>
                  </to>
                </anchor>
              </controlPr>
            </control>
          </mc:Choice>
        </mc:AlternateContent>
        <mc:AlternateContent xmlns:mc="http://schemas.openxmlformats.org/markup-compatibility/2006">
          <mc:Choice Requires="x14">
            <control shapeId="144388" r:id="rId6" name="Option Button 4">
              <controlPr defaultSize="0" autoFill="0" autoLine="0" autoPict="0">
                <anchor moveWithCells="1">
                  <from>
                    <xdr:col>1</xdr:col>
                    <xdr:colOff>438150</xdr:colOff>
                    <xdr:row>9</xdr:row>
                    <xdr:rowOff>31750</xdr:rowOff>
                  </from>
                  <to>
                    <xdr:col>1</xdr:col>
                    <xdr:colOff>990600</xdr:colOff>
                    <xdr:row>9</xdr:row>
                    <xdr:rowOff>184150</xdr:rowOff>
                  </to>
                </anchor>
              </controlPr>
            </control>
          </mc:Choice>
        </mc:AlternateContent>
        <mc:AlternateContent xmlns:mc="http://schemas.openxmlformats.org/markup-compatibility/2006">
          <mc:Choice Requires="x14">
            <control shapeId="144389" r:id="rId7" name="Option Button 5">
              <controlPr defaultSize="0" autoFill="0" autoLine="0" autoPict="0">
                <anchor moveWithCells="1">
                  <from>
                    <xdr:col>1</xdr:col>
                    <xdr:colOff>438150</xdr:colOff>
                    <xdr:row>10</xdr:row>
                    <xdr:rowOff>31750</xdr:rowOff>
                  </from>
                  <to>
                    <xdr:col>1</xdr:col>
                    <xdr:colOff>990600</xdr:colOff>
                    <xdr:row>10</xdr:row>
                    <xdr:rowOff>184150</xdr:rowOff>
                  </to>
                </anchor>
              </controlPr>
            </control>
          </mc:Choice>
        </mc:AlternateContent>
        <mc:AlternateContent xmlns:mc="http://schemas.openxmlformats.org/markup-compatibility/2006">
          <mc:Choice Requires="x14">
            <control shapeId="144390" r:id="rId8" name="Option Button 6">
              <controlPr defaultSize="0" autoFill="0" autoLine="0" autoPict="0">
                <anchor moveWithCells="1">
                  <from>
                    <xdr:col>1</xdr:col>
                    <xdr:colOff>438150</xdr:colOff>
                    <xdr:row>11</xdr:row>
                    <xdr:rowOff>31750</xdr:rowOff>
                  </from>
                  <to>
                    <xdr:col>1</xdr:col>
                    <xdr:colOff>990600</xdr:colOff>
                    <xdr:row>11</xdr:row>
                    <xdr:rowOff>184150</xdr:rowOff>
                  </to>
                </anchor>
              </controlPr>
            </control>
          </mc:Choice>
        </mc:AlternateContent>
        <mc:AlternateContent xmlns:mc="http://schemas.openxmlformats.org/markup-compatibility/2006">
          <mc:Choice Requires="x14">
            <control shapeId="144391" r:id="rId9" name="Option Button 7">
              <controlPr defaultSize="0" autoFill="0" autoLine="0" autoPict="0">
                <anchor moveWithCells="1">
                  <from>
                    <xdr:col>1</xdr:col>
                    <xdr:colOff>438150</xdr:colOff>
                    <xdr:row>12</xdr:row>
                    <xdr:rowOff>31750</xdr:rowOff>
                  </from>
                  <to>
                    <xdr:col>1</xdr:col>
                    <xdr:colOff>990600</xdr:colOff>
                    <xdr:row>12</xdr:row>
                    <xdr:rowOff>184150</xdr:rowOff>
                  </to>
                </anchor>
              </controlPr>
            </control>
          </mc:Choice>
        </mc:AlternateContent>
        <mc:AlternateContent xmlns:mc="http://schemas.openxmlformats.org/markup-compatibility/2006">
          <mc:Choice Requires="x14">
            <control shapeId="144392" r:id="rId10" name="Option Button 8">
              <controlPr defaultSize="0" autoFill="0" autoLine="0" autoPict="0">
                <anchor moveWithCells="1">
                  <from>
                    <xdr:col>1</xdr:col>
                    <xdr:colOff>438150</xdr:colOff>
                    <xdr:row>13</xdr:row>
                    <xdr:rowOff>31750</xdr:rowOff>
                  </from>
                  <to>
                    <xdr:col>1</xdr:col>
                    <xdr:colOff>990600</xdr:colOff>
                    <xdr:row>13</xdr:row>
                    <xdr:rowOff>184150</xdr:rowOff>
                  </to>
                </anchor>
              </controlPr>
            </control>
          </mc:Choice>
        </mc:AlternateContent>
        <mc:AlternateContent xmlns:mc="http://schemas.openxmlformats.org/markup-compatibility/2006">
          <mc:Choice Requires="x14">
            <control shapeId="144393" r:id="rId11" name="Option Button 9">
              <controlPr defaultSize="0" autoFill="0" autoLine="0" autoPict="0">
                <anchor moveWithCells="1">
                  <from>
                    <xdr:col>1</xdr:col>
                    <xdr:colOff>438150</xdr:colOff>
                    <xdr:row>14</xdr:row>
                    <xdr:rowOff>31750</xdr:rowOff>
                  </from>
                  <to>
                    <xdr:col>1</xdr:col>
                    <xdr:colOff>990600</xdr:colOff>
                    <xdr:row>14</xdr:row>
                    <xdr:rowOff>184150</xdr:rowOff>
                  </to>
                </anchor>
              </controlPr>
            </control>
          </mc:Choice>
        </mc:AlternateContent>
        <mc:AlternateContent xmlns:mc="http://schemas.openxmlformats.org/markup-compatibility/2006">
          <mc:Choice Requires="x14">
            <control shapeId="144394" r:id="rId12" name="Option Button 10">
              <controlPr defaultSize="0" autoFill="0" autoLine="0" autoPict="0">
                <anchor moveWithCells="1">
                  <from>
                    <xdr:col>1</xdr:col>
                    <xdr:colOff>438150</xdr:colOff>
                    <xdr:row>15</xdr:row>
                    <xdr:rowOff>31750</xdr:rowOff>
                  </from>
                  <to>
                    <xdr:col>1</xdr:col>
                    <xdr:colOff>990600</xdr:colOff>
                    <xdr:row>15</xdr:row>
                    <xdr:rowOff>184150</xdr:rowOff>
                  </to>
                </anchor>
              </controlPr>
            </control>
          </mc:Choice>
        </mc:AlternateContent>
        <mc:AlternateContent xmlns:mc="http://schemas.openxmlformats.org/markup-compatibility/2006">
          <mc:Choice Requires="x14">
            <control shapeId="144395" r:id="rId13" name="Option Button 11">
              <controlPr defaultSize="0" autoFill="0" autoLine="0" autoPict="0">
                <anchor moveWithCells="1">
                  <from>
                    <xdr:col>1</xdr:col>
                    <xdr:colOff>438150</xdr:colOff>
                    <xdr:row>16</xdr:row>
                    <xdr:rowOff>31750</xdr:rowOff>
                  </from>
                  <to>
                    <xdr:col>1</xdr:col>
                    <xdr:colOff>990600</xdr:colOff>
                    <xdr:row>16</xdr:row>
                    <xdr:rowOff>184150</xdr:rowOff>
                  </to>
                </anchor>
              </controlPr>
            </control>
          </mc:Choice>
        </mc:AlternateContent>
        <mc:AlternateContent xmlns:mc="http://schemas.openxmlformats.org/markup-compatibility/2006">
          <mc:Choice Requires="x14">
            <control shapeId="144396" r:id="rId14" name="Option Button 12">
              <controlPr defaultSize="0" autoFill="0" autoLine="0" autoPict="0">
                <anchor moveWithCells="1">
                  <from>
                    <xdr:col>1</xdr:col>
                    <xdr:colOff>438150</xdr:colOff>
                    <xdr:row>17</xdr:row>
                    <xdr:rowOff>31750</xdr:rowOff>
                  </from>
                  <to>
                    <xdr:col>1</xdr:col>
                    <xdr:colOff>990600</xdr:colOff>
                    <xdr:row>17</xdr:row>
                    <xdr:rowOff>184150</xdr:rowOff>
                  </to>
                </anchor>
              </controlPr>
            </control>
          </mc:Choice>
        </mc:AlternateContent>
        <mc:AlternateContent xmlns:mc="http://schemas.openxmlformats.org/markup-compatibility/2006">
          <mc:Choice Requires="x14">
            <control shapeId="144397" r:id="rId15" name="Option Button 13">
              <controlPr defaultSize="0" autoFill="0" autoLine="0" autoPict="0">
                <anchor moveWithCells="1">
                  <from>
                    <xdr:col>1</xdr:col>
                    <xdr:colOff>438150</xdr:colOff>
                    <xdr:row>18</xdr:row>
                    <xdr:rowOff>31750</xdr:rowOff>
                  </from>
                  <to>
                    <xdr:col>1</xdr:col>
                    <xdr:colOff>990600</xdr:colOff>
                    <xdr:row>18</xdr:row>
                    <xdr:rowOff>184150</xdr:rowOff>
                  </to>
                </anchor>
              </controlPr>
            </control>
          </mc:Choice>
        </mc:AlternateContent>
        <mc:AlternateContent xmlns:mc="http://schemas.openxmlformats.org/markup-compatibility/2006">
          <mc:Choice Requires="x14">
            <control shapeId="144398" r:id="rId16" name="Option Button 14">
              <controlPr defaultSize="0" autoFill="0" autoLine="0" autoPict="0">
                <anchor moveWithCells="1">
                  <from>
                    <xdr:col>1</xdr:col>
                    <xdr:colOff>438150</xdr:colOff>
                    <xdr:row>19</xdr:row>
                    <xdr:rowOff>31750</xdr:rowOff>
                  </from>
                  <to>
                    <xdr:col>1</xdr:col>
                    <xdr:colOff>990600</xdr:colOff>
                    <xdr:row>19</xdr:row>
                    <xdr:rowOff>184150</xdr:rowOff>
                  </to>
                </anchor>
              </controlPr>
            </control>
          </mc:Choice>
        </mc:AlternateContent>
        <mc:AlternateContent xmlns:mc="http://schemas.openxmlformats.org/markup-compatibility/2006">
          <mc:Choice Requires="x14">
            <control shapeId="144399" r:id="rId17" name="Option Button 15">
              <controlPr defaultSize="0" autoFill="0" autoLine="0" autoPict="0">
                <anchor moveWithCells="1">
                  <from>
                    <xdr:col>1</xdr:col>
                    <xdr:colOff>438150</xdr:colOff>
                    <xdr:row>20</xdr:row>
                    <xdr:rowOff>31750</xdr:rowOff>
                  </from>
                  <to>
                    <xdr:col>1</xdr:col>
                    <xdr:colOff>990600</xdr:colOff>
                    <xdr:row>20</xdr:row>
                    <xdr:rowOff>184150</xdr:rowOff>
                  </to>
                </anchor>
              </controlPr>
            </control>
          </mc:Choice>
        </mc:AlternateContent>
        <mc:AlternateContent xmlns:mc="http://schemas.openxmlformats.org/markup-compatibility/2006">
          <mc:Choice Requires="x14">
            <control shapeId="144400" r:id="rId18" name="Option Button 16">
              <controlPr defaultSize="0" autoFill="0" autoLine="0" autoPict="0">
                <anchor moveWithCells="1">
                  <from>
                    <xdr:col>1</xdr:col>
                    <xdr:colOff>438150</xdr:colOff>
                    <xdr:row>21</xdr:row>
                    <xdr:rowOff>31750</xdr:rowOff>
                  </from>
                  <to>
                    <xdr:col>1</xdr:col>
                    <xdr:colOff>990600</xdr:colOff>
                    <xdr:row>21</xdr:row>
                    <xdr:rowOff>184150</xdr:rowOff>
                  </to>
                </anchor>
              </controlPr>
            </control>
          </mc:Choice>
        </mc:AlternateContent>
        <mc:AlternateContent xmlns:mc="http://schemas.openxmlformats.org/markup-compatibility/2006">
          <mc:Choice Requires="x14">
            <control shapeId="144401" r:id="rId19" name="Option Button 17">
              <controlPr defaultSize="0" autoFill="0" autoLine="0" autoPict="0">
                <anchor moveWithCells="1">
                  <from>
                    <xdr:col>1</xdr:col>
                    <xdr:colOff>438150</xdr:colOff>
                    <xdr:row>22</xdr:row>
                    <xdr:rowOff>31750</xdr:rowOff>
                  </from>
                  <to>
                    <xdr:col>1</xdr:col>
                    <xdr:colOff>990600</xdr:colOff>
                    <xdr:row>22</xdr:row>
                    <xdr:rowOff>184150</xdr:rowOff>
                  </to>
                </anchor>
              </controlPr>
            </control>
          </mc:Choice>
        </mc:AlternateContent>
        <mc:AlternateContent xmlns:mc="http://schemas.openxmlformats.org/markup-compatibility/2006">
          <mc:Choice Requires="x14">
            <control shapeId="144402" r:id="rId20" name="Option Button 18">
              <controlPr defaultSize="0" autoFill="0" autoLine="0" autoPict="0">
                <anchor moveWithCells="1">
                  <from>
                    <xdr:col>1</xdr:col>
                    <xdr:colOff>438150</xdr:colOff>
                    <xdr:row>23</xdr:row>
                    <xdr:rowOff>31750</xdr:rowOff>
                  </from>
                  <to>
                    <xdr:col>1</xdr:col>
                    <xdr:colOff>990600</xdr:colOff>
                    <xdr:row>23</xdr:row>
                    <xdr:rowOff>184150</xdr:rowOff>
                  </to>
                </anchor>
              </controlPr>
            </control>
          </mc:Choice>
        </mc:AlternateContent>
        <mc:AlternateContent xmlns:mc="http://schemas.openxmlformats.org/markup-compatibility/2006">
          <mc:Choice Requires="x14">
            <control shapeId="144403" r:id="rId21" name="Option Button 19">
              <controlPr defaultSize="0" autoFill="0" autoLine="0" autoPict="0">
                <anchor moveWithCells="1">
                  <from>
                    <xdr:col>1</xdr:col>
                    <xdr:colOff>438150</xdr:colOff>
                    <xdr:row>24</xdr:row>
                    <xdr:rowOff>31750</xdr:rowOff>
                  </from>
                  <to>
                    <xdr:col>1</xdr:col>
                    <xdr:colOff>990600</xdr:colOff>
                    <xdr:row>24</xdr:row>
                    <xdr:rowOff>184150</xdr:rowOff>
                  </to>
                </anchor>
              </controlPr>
            </control>
          </mc:Choice>
        </mc:AlternateContent>
        <mc:AlternateContent xmlns:mc="http://schemas.openxmlformats.org/markup-compatibility/2006">
          <mc:Choice Requires="x14">
            <control shapeId="144404" r:id="rId22" name="Option Button 20">
              <controlPr defaultSize="0" autoFill="0" autoLine="0" autoPict="0">
                <anchor moveWithCells="1">
                  <from>
                    <xdr:col>1</xdr:col>
                    <xdr:colOff>438150</xdr:colOff>
                    <xdr:row>25</xdr:row>
                    <xdr:rowOff>31750</xdr:rowOff>
                  </from>
                  <to>
                    <xdr:col>1</xdr:col>
                    <xdr:colOff>990600</xdr:colOff>
                    <xdr:row>25</xdr:row>
                    <xdr:rowOff>184150</xdr:rowOff>
                  </to>
                </anchor>
              </controlPr>
            </control>
          </mc:Choice>
        </mc:AlternateContent>
        <mc:AlternateContent xmlns:mc="http://schemas.openxmlformats.org/markup-compatibility/2006">
          <mc:Choice Requires="x14">
            <control shapeId="144405" r:id="rId23" name="Option Button 21">
              <controlPr defaultSize="0" autoFill="0" autoLine="0" autoPict="0">
                <anchor moveWithCells="1">
                  <from>
                    <xdr:col>1</xdr:col>
                    <xdr:colOff>438150</xdr:colOff>
                    <xdr:row>26</xdr:row>
                    <xdr:rowOff>31750</xdr:rowOff>
                  </from>
                  <to>
                    <xdr:col>1</xdr:col>
                    <xdr:colOff>990600</xdr:colOff>
                    <xdr:row>26</xdr:row>
                    <xdr:rowOff>184150</xdr:rowOff>
                  </to>
                </anchor>
              </controlPr>
            </control>
          </mc:Choice>
        </mc:AlternateContent>
        <mc:AlternateContent xmlns:mc="http://schemas.openxmlformats.org/markup-compatibility/2006">
          <mc:Choice Requires="x14">
            <control shapeId="144406" r:id="rId24" name="Option Button 22">
              <controlPr defaultSize="0" autoFill="0" autoLine="0" autoPict="0">
                <anchor moveWithCells="1">
                  <from>
                    <xdr:col>1</xdr:col>
                    <xdr:colOff>438150</xdr:colOff>
                    <xdr:row>27</xdr:row>
                    <xdr:rowOff>31750</xdr:rowOff>
                  </from>
                  <to>
                    <xdr:col>1</xdr:col>
                    <xdr:colOff>990600</xdr:colOff>
                    <xdr:row>27</xdr:row>
                    <xdr:rowOff>184150</xdr:rowOff>
                  </to>
                </anchor>
              </controlPr>
            </control>
          </mc:Choice>
        </mc:AlternateContent>
        <mc:AlternateContent xmlns:mc="http://schemas.openxmlformats.org/markup-compatibility/2006">
          <mc:Choice Requires="x14">
            <control shapeId="144407" r:id="rId25" name="Option Button 23">
              <controlPr defaultSize="0" autoFill="0" autoLine="0" autoPict="0">
                <anchor moveWithCells="1">
                  <from>
                    <xdr:col>1</xdr:col>
                    <xdr:colOff>438150</xdr:colOff>
                    <xdr:row>28</xdr:row>
                    <xdr:rowOff>31750</xdr:rowOff>
                  </from>
                  <to>
                    <xdr:col>1</xdr:col>
                    <xdr:colOff>990600</xdr:colOff>
                    <xdr:row>28</xdr:row>
                    <xdr:rowOff>184150</xdr:rowOff>
                  </to>
                </anchor>
              </controlPr>
            </control>
          </mc:Choice>
        </mc:AlternateContent>
        <mc:AlternateContent xmlns:mc="http://schemas.openxmlformats.org/markup-compatibility/2006">
          <mc:Choice Requires="x14">
            <control shapeId="144408" r:id="rId26" name="Option Button 24">
              <controlPr defaultSize="0" autoFill="0" autoLine="0" autoPict="0">
                <anchor moveWithCells="1">
                  <from>
                    <xdr:col>1</xdr:col>
                    <xdr:colOff>438150</xdr:colOff>
                    <xdr:row>29</xdr:row>
                    <xdr:rowOff>31750</xdr:rowOff>
                  </from>
                  <to>
                    <xdr:col>1</xdr:col>
                    <xdr:colOff>990600</xdr:colOff>
                    <xdr:row>29</xdr:row>
                    <xdr:rowOff>184150</xdr:rowOff>
                  </to>
                </anchor>
              </controlPr>
            </control>
          </mc:Choice>
        </mc:AlternateContent>
        <mc:AlternateContent xmlns:mc="http://schemas.openxmlformats.org/markup-compatibility/2006">
          <mc:Choice Requires="x14">
            <control shapeId="144409" r:id="rId27" name="Option Button 25">
              <controlPr defaultSize="0" autoFill="0" autoLine="0" autoPict="0">
                <anchor moveWithCells="1">
                  <from>
                    <xdr:col>1</xdr:col>
                    <xdr:colOff>438150</xdr:colOff>
                    <xdr:row>30</xdr:row>
                    <xdr:rowOff>31750</xdr:rowOff>
                  </from>
                  <to>
                    <xdr:col>1</xdr:col>
                    <xdr:colOff>990600</xdr:colOff>
                    <xdr:row>30</xdr:row>
                    <xdr:rowOff>184150</xdr:rowOff>
                  </to>
                </anchor>
              </controlPr>
            </control>
          </mc:Choice>
        </mc:AlternateContent>
        <mc:AlternateContent xmlns:mc="http://schemas.openxmlformats.org/markup-compatibility/2006">
          <mc:Choice Requires="x14">
            <control shapeId="144410" r:id="rId28" name="Option Button 26">
              <controlPr defaultSize="0" autoFill="0" autoLine="0" autoPict="0">
                <anchor moveWithCells="1">
                  <from>
                    <xdr:col>1</xdr:col>
                    <xdr:colOff>438150</xdr:colOff>
                    <xdr:row>31</xdr:row>
                    <xdr:rowOff>31750</xdr:rowOff>
                  </from>
                  <to>
                    <xdr:col>1</xdr:col>
                    <xdr:colOff>990600</xdr:colOff>
                    <xdr:row>31</xdr:row>
                    <xdr:rowOff>184150</xdr:rowOff>
                  </to>
                </anchor>
              </controlPr>
            </control>
          </mc:Choice>
        </mc:AlternateContent>
        <mc:AlternateContent xmlns:mc="http://schemas.openxmlformats.org/markup-compatibility/2006">
          <mc:Choice Requires="x14">
            <control shapeId="144411" r:id="rId29" name="Option Button 27">
              <controlPr defaultSize="0" autoFill="0" autoLine="0" autoPict="0">
                <anchor moveWithCells="1">
                  <from>
                    <xdr:col>1</xdr:col>
                    <xdr:colOff>438150</xdr:colOff>
                    <xdr:row>32</xdr:row>
                    <xdr:rowOff>31750</xdr:rowOff>
                  </from>
                  <to>
                    <xdr:col>1</xdr:col>
                    <xdr:colOff>990600</xdr:colOff>
                    <xdr:row>32</xdr:row>
                    <xdr:rowOff>184150</xdr:rowOff>
                  </to>
                </anchor>
              </controlPr>
            </control>
          </mc:Choice>
        </mc:AlternateContent>
        <mc:AlternateContent xmlns:mc="http://schemas.openxmlformats.org/markup-compatibility/2006">
          <mc:Choice Requires="x14">
            <control shapeId="144412" r:id="rId30" name="Option Button 28">
              <controlPr defaultSize="0" autoFill="0" autoLine="0" autoPict="0">
                <anchor moveWithCells="1">
                  <from>
                    <xdr:col>1</xdr:col>
                    <xdr:colOff>438150</xdr:colOff>
                    <xdr:row>33</xdr:row>
                    <xdr:rowOff>31750</xdr:rowOff>
                  </from>
                  <to>
                    <xdr:col>1</xdr:col>
                    <xdr:colOff>990600</xdr:colOff>
                    <xdr:row>33</xdr:row>
                    <xdr:rowOff>184150</xdr:rowOff>
                  </to>
                </anchor>
              </controlPr>
            </control>
          </mc:Choice>
        </mc:AlternateContent>
        <mc:AlternateContent xmlns:mc="http://schemas.openxmlformats.org/markup-compatibility/2006">
          <mc:Choice Requires="x14">
            <control shapeId="144413" r:id="rId31" name="Option Button 29">
              <controlPr defaultSize="0" autoFill="0" autoLine="0" autoPict="0">
                <anchor moveWithCells="1">
                  <from>
                    <xdr:col>1</xdr:col>
                    <xdr:colOff>438150</xdr:colOff>
                    <xdr:row>34</xdr:row>
                    <xdr:rowOff>31750</xdr:rowOff>
                  </from>
                  <to>
                    <xdr:col>1</xdr:col>
                    <xdr:colOff>990600</xdr:colOff>
                    <xdr:row>34</xdr:row>
                    <xdr:rowOff>184150</xdr:rowOff>
                  </to>
                </anchor>
              </controlPr>
            </control>
          </mc:Choice>
        </mc:AlternateContent>
        <mc:AlternateContent xmlns:mc="http://schemas.openxmlformats.org/markup-compatibility/2006">
          <mc:Choice Requires="x14">
            <control shapeId="144414" r:id="rId32" name="Option Button 30">
              <controlPr defaultSize="0" autoFill="0" autoLine="0" autoPict="0">
                <anchor moveWithCells="1">
                  <from>
                    <xdr:col>1</xdr:col>
                    <xdr:colOff>438150</xdr:colOff>
                    <xdr:row>35</xdr:row>
                    <xdr:rowOff>31750</xdr:rowOff>
                  </from>
                  <to>
                    <xdr:col>1</xdr:col>
                    <xdr:colOff>990600</xdr:colOff>
                    <xdr:row>35</xdr:row>
                    <xdr:rowOff>184150</xdr:rowOff>
                  </to>
                </anchor>
              </controlPr>
            </control>
          </mc:Choice>
        </mc:AlternateContent>
        <mc:AlternateContent xmlns:mc="http://schemas.openxmlformats.org/markup-compatibility/2006">
          <mc:Choice Requires="x14">
            <control shapeId="144415" r:id="rId33" name="Option Button 31">
              <controlPr defaultSize="0" autoFill="0" autoLine="0" autoPict="0">
                <anchor moveWithCells="1">
                  <from>
                    <xdr:col>1</xdr:col>
                    <xdr:colOff>438150</xdr:colOff>
                    <xdr:row>36</xdr:row>
                    <xdr:rowOff>31750</xdr:rowOff>
                  </from>
                  <to>
                    <xdr:col>1</xdr:col>
                    <xdr:colOff>990600</xdr:colOff>
                    <xdr:row>36</xdr:row>
                    <xdr:rowOff>184150</xdr:rowOff>
                  </to>
                </anchor>
              </controlPr>
            </control>
          </mc:Choice>
        </mc:AlternateContent>
        <mc:AlternateContent xmlns:mc="http://schemas.openxmlformats.org/markup-compatibility/2006">
          <mc:Choice Requires="x14">
            <control shapeId="144416" r:id="rId34" name="Option Button 32">
              <controlPr defaultSize="0" autoFill="0" autoLine="0" autoPict="0">
                <anchor moveWithCells="1">
                  <from>
                    <xdr:col>1</xdr:col>
                    <xdr:colOff>438150</xdr:colOff>
                    <xdr:row>37</xdr:row>
                    <xdr:rowOff>31750</xdr:rowOff>
                  </from>
                  <to>
                    <xdr:col>1</xdr:col>
                    <xdr:colOff>990600</xdr:colOff>
                    <xdr:row>37</xdr:row>
                    <xdr:rowOff>184150</xdr:rowOff>
                  </to>
                </anchor>
              </controlPr>
            </control>
          </mc:Choice>
        </mc:AlternateContent>
        <mc:AlternateContent xmlns:mc="http://schemas.openxmlformats.org/markup-compatibility/2006">
          <mc:Choice Requires="x14">
            <control shapeId="144417" r:id="rId35" name="Option Button 33">
              <controlPr defaultSize="0" autoFill="0" autoLine="0" autoPict="0">
                <anchor moveWithCells="1">
                  <from>
                    <xdr:col>1</xdr:col>
                    <xdr:colOff>438150</xdr:colOff>
                    <xdr:row>38</xdr:row>
                    <xdr:rowOff>31750</xdr:rowOff>
                  </from>
                  <to>
                    <xdr:col>1</xdr:col>
                    <xdr:colOff>990600</xdr:colOff>
                    <xdr:row>38</xdr:row>
                    <xdr:rowOff>184150</xdr:rowOff>
                  </to>
                </anchor>
              </controlPr>
            </control>
          </mc:Choice>
        </mc:AlternateContent>
        <mc:AlternateContent xmlns:mc="http://schemas.openxmlformats.org/markup-compatibility/2006">
          <mc:Choice Requires="x14">
            <control shapeId="144418" r:id="rId36" name="Option Button 34">
              <controlPr defaultSize="0" autoFill="0" autoLine="0" autoPict="0">
                <anchor moveWithCells="1">
                  <from>
                    <xdr:col>1</xdr:col>
                    <xdr:colOff>438150</xdr:colOff>
                    <xdr:row>39</xdr:row>
                    <xdr:rowOff>31750</xdr:rowOff>
                  </from>
                  <to>
                    <xdr:col>1</xdr:col>
                    <xdr:colOff>990600</xdr:colOff>
                    <xdr:row>39</xdr:row>
                    <xdr:rowOff>184150</xdr:rowOff>
                  </to>
                </anchor>
              </controlPr>
            </control>
          </mc:Choice>
        </mc:AlternateContent>
        <mc:AlternateContent xmlns:mc="http://schemas.openxmlformats.org/markup-compatibility/2006">
          <mc:Choice Requires="x14">
            <control shapeId="144419" r:id="rId37" name="Option Button 35">
              <controlPr defaultSize="0" autoFill="0" autoLine="0" autoPict="0">
                <anchor moveWithCells="1">
                  <from>
                    <xdr:col>1</xdr:col>
                    <xdr:colOff>438150</xdr:colOff>
                    <xdr:row>40</xdr:row>
                    <xdr:rowOff>31750</xdr:rowOff>
                  </from>
                  <to>
                    <xdr:col>1</xdr:col>
                    <xdr:colOff>990600</xdr:colOff>
                    <xdr:row>40</xdr:row>
                    <xdr:rowOff>184150</xdr:rowOff>
                  </to>
                </anchor>
              </controlPr>
            </control>
          </mc:Choice>
        </mc:AlternateContent>
        <mc:AlternateContent xmlns:mc="http://schemas.openxmlformats.org/markup-compatibility/2006">
          <mc:Choice Requires="x14">
            <control shapeId="144420" r:id="rId38" name="Option Button 36">
              <controlPr defaultSize="0" autoFill="0" autoLine="0" autoPict="0">
                <anchor moveWithCells="1">
                  <from>
                    <xdr:col>1</xdr:col>
                    <xdr:colOff>438150</xdr:colOff>
                    <xdr:row>41</xdr:row>
                    <xdr:rowOff>31750</xdr:rowOff>
                  </from>
                  <to>
                    <xdr:col>1</xdr:col>
                    <xdr:colOff>990600</xdr:colOff>
                    <xdr:row>41</xdr:row>
                    <xdr:rowOff>184150</xdr:rowOff>
                  </to>
                </anchor>
              </controlPr>
            </control>
          </mc:Choice>
        </mc:AlternateContent>
        <mc:AlternateContent xmlns:mc="http://schemas.openxmlformats.org/markup-compatibility/2006">
          <mc:Choice Requires="x14">
            <control shapeId="144421" r:id="rId39" name="Option Button 37">
              <controlPr defaultSize="0" autoFill="0" autoLine="0" autoPict="0">
                <anchor moveWithCells="1">
                  <from>
                    <xdr:col>1</xdr:col>
                    <xdr:colOff>438150</xdr:colOff>
                    <xdr:row>42</xdr:row>
                    <xdr:rowOff>31750</xdr:rowOff>
                  </from>
                  <to>
                    <xdr:col>1</xdr:col>
                    <xdr:colOff>990600</xdr:colOff>
                    <xdr:row>42</xdr:row>
                    <xdr:rowOff>184150</xdr:rowOff>
                  </to>
                </anchor>
              </controlPr>
            </control>
          </mc:Choice>
        </mc:AlternateContent>
        <mc:AlternateContent xmlns:mc="http://schemas.openxmlformats.org/markup-compatibility/2006">
          <mc:Choice Requires="x14">
            <control shapeId="144422" r:id="rId40" name="Option Button 38">
              <controlPr defaultSize="0" autoFill="0" autoLine="0" autoPict="0">
                <anchor moveWithCells="1">
                  <from>
                    <xdr:col>1</xdr:col>
                    <xdr:colOff>438150</xdr:colOff>
                    <xdr:row>43</xdr:row>
                    <xdr:rowOff>31750</xdr:rowOff>
                  </from>
                  <to>
                    <xdr:col>1</xdr:col>
                    <xdr:colOff>990600</xdr:colOff>
                    <xdr:row>43</xdr:row>
                    <xdr:rowOff>184150</xdr:rowOff>
                  </to>
                </anchor>
              </controlPr>
            </control>
          </mc:Choice>
        </mc:AlternateContent>
        <mc:AlternateContent xmlns:mc="http://schemas.openxmlformats.org/markup-compatibility/2006">
          <mc:Choice Requires="x14">
            <control shapeId="144423" r:id="rId41" name="Option Button 39">
              <controlPr defaultSize="0" autoFill="0" autoLine="0" autoPict="0">
                <anchor moveWithCells="1">
                  <from>
                    <xdr:col>1</xdr:col>
                    <xdr:colOff>438150</xdr:colOff>
                    <xdr:row>44</xdr:row>
                    <xdr:rowOff>31750</xdr:rowOff>
                  </from>
                  <to>
                    <xdr:col>1</xdr:col>
                    <xdr:colOff>990600</xdr:colOff>
                    <xdr:row>44</xdr:row>
                    <xdr:rowOff>184150</xdr:rowOff>
                  </to>
                </anchor>
              </controlPr>
            </control>
          </mc:Choice>
        </mc:AlternateContent>
        <mc:AlternateContent xmlns:mc="http://schemas.openxmlformats.org/markup-compatibility/2006">
          <mc:Choice Requires="x14">
            <control shapeId="144424" r:id="rId42" name="Option Button 40">
              <controlPr defaultSize="0" autoFill="0" autoLine="0" autoPict="0">
                <anchor moveWithCells="1">
                  <from>
                    <xdr:col>1</xdr:col>
                    <xdr:colOff>438150</xdr:colOff>
                    <xdr:row>45</xdr:row>
                    <xdr:rowOff>31750</xdr:rowOff>
                  </from>
                  <to>
                    <xdr:col>1</xdr:col>
                    <xdr:colOff>990600</xdr:colOff>
                    <xdr:row>45</xdr:row>
                    <xdr:rowOff>184150</xdr:rowOff>
                  </to>
                </anchor>
              </controlPr>
            </control>
          </mc:Choice>
        </mc:AlternateContent>
        <mc:AlternateContent xmlns:mc="http://schemas.openxmlformats.org/markup-compatibility/2006">
          <mc:Choice Requires="x14">
            <control shapeId="144425" r:id="rId43" name="Option Button 41">
              <controlPr defaultSize="0" autoFill="0" autoLine="0" autoPict="0">
                <anchor moveWithCells="1">
                  <from>
                    <xdr:col>1</xdr:col>
                    <xdr:colOff>438150</xdr:colOff>
                    <xdr:row>46</xdr:row>
                    <xdr:rowOff>31750</xdr:rowOff>
                  </from>
                  <to>
                    <xdr:col>1</xdr:col>
                    <xdr:colOff>990600</xdr:colOff>
                    <xdr:row>46</xdr:row>
                    <xdr:rowOff>184150</xdr:rowOff>
                  </to>
                </anchor>
              </controlPr>
            </control>
          </mc:Choice>
        </mc:AlternateContent>
        <mc:AlternateContent xmlns:mc="http://schemas.openxmlformats.org/markup-compatibility/2006">
          <mc:Choice Requires="x14">
            <control shapeId="144426" r:id="rId44" name="Option Button 42">
              <controlPr defaultSize="0" autoFill="0" autoLine="0" autoPict="0">
                <anchor moveWithCells="1">
                  <from>
                    <xdr:col>1</xdr:col>
                    <xdr:colOff>438150</xdr:colOff>
                    <xdr:row>47</xdr:row>
                    <xdr:rowOff>31750</xdr:rowOff>
                  </from>
                  <to>
                    <xdr:col>1</xdr:col>
                    <xdr:colOff>990600</xdr:colOff>
                    <xdr:row>47</xdr:row>
                    <xdr:rowOff>184150</xdr:rowOff>
                  </to>
                </anchor>
              </controlPr>
            </control>
          </mc:Choice>
        </mc:AlternateContent>
        <mc:AlternateContent xmlns:mc="http://schemas.openxmlformats.org/markup-compatibility/2006">
          <mc:Choice Requires="x14">
            <control shapeId="144427" r:id="rId45" name="Option Button 43">
              <controlPr defaultSize="0" autoFill="0" autoLine="0" autoPict="0">
                <anchor moveWithCells="1">
                  <from>
                    <xdr:col>1</xdr:col>
                    <xdr:colOff>438150</xdr:colOff>
                    <xdr:row>48</xdr:row>
                    <xdr:rowOff>31750</xdr:rowOff>
                  </from>
                  <to>
                    <xdr:col>1</xdr:col>
                    <xdr:colOff>990600</xdr:colOff>
                    <xdr:row>48</xdr:row>
                    <xdr:rowOff>184150</xdr:rowOff>
                  </to>
                </anchor>
              </controlPr>
            </control>
          </mc:Choice>
        </mc:AlternateContent>
        <mc:AlternateContent xmlns:mc="http://schemas.openxmlformats.org/markup-compatibility/2006">
          <mc:Choice Requires="x14">
            <control shapeId="144428" r:id="rId46" name="Option Button 44">
              <controlPr defaultSize="0" autoFill="0" autoLine="0" autoPict="0">
                <anchor moveWithCells="1">
                  <from>
                    <xdr:col>1</xdr:col>
                    <xdr:colOff>438150</xdr:colOff>
                    <xdr:row>49</xdr:row>
                    <xdr:rowOff>31750</xdr:rowOff>
                  </from>
                  <to>
                    <xdr:col>1</xdr:col>
                    <xdr:colOff>990600</xdr:colOff>
                    <xdr:row>49</xdr:row>
                    <xdr:rowOff>184150</xdr:rowOff>
                  </to>
                </anchor>
              </controlPr>
            </control>
          </mc:Choice>
        </mc:AlternateContent>
        <mc:AlternateContent xmlns:mc="http://schemas.openxmlformats.org/markup-compatibility/2006">
          <mc:Choice Requires="x14">
            <control shapeId="144429" r:id="rId47" name="Option Button 45">
              <controlPr defaultSize="0" autoFill="0" autoLine="0" autoPict="0">
                <anchor moveWithCells="1">
                  <from>
                    <xdr:col>1</xdr:col>
                    <xdr:colOff>438150</xdr:colOff>
                    <xdr:row>50</xdr:row>
                    <xdr:rowOff>31750</xdr:rowOff>
                  </from>
                  <to>
                    <xdr:col>1</xdr:col>
                    <xdr:colOff>990600</xdr:colOff>
                    <xdr:row>50</xdr:row>
                    <xdr:rowOff>184150</xdr:rowOff>
                  </to>
                </anchor>
              </controlPr>
            </control>
          </mc:Choice>
        </mc:AlternateContent>
        <mc:AlternateContent xmlns:mc="http://schemas.openxmlformats.org/markup-compatibility/2006">
          <mc:Choice Requires="x14">
            <control shapeId="144430" r:id="rId48" name="Option Button 46">
              <controlPr defaultSize="0" autoFill="0" autoLine="0" autoPict="0">
                <anchor moveWithCells="1">
                  <from>
                    <xdr:col>1</xdr:col>
                    <xdr:colOff>438150</xdr:colOff>
                    <xdr:row>51</xdr:row>
                    <xdr:rowOff>31750</xdr:rowOff>
                  </from>
                  <to>
                    <xdr:col>1</xdr:col>
                    <xdr:colOff>990600</xdr:colOff>
                    <xdr:row>51</xdr:row>
                    <xdr:rowOff>184150</xdr:rowOff>
                  </to>
                </anchor>
              </controlPr>
            </control>
          </mc:Choice>
        </mc:AlternateContent>
        <mc:AlternateContent xmlns:mc="http://schemas.openxmlformats.org/markup-compatibility/2006">
          <mc:Choice Requires="x14">
            <control shapeId="144431" r:id="rId49" name="Option Button 47">
              <controlPr defaultSize="0" autoFill="0" autoLine="0" autoPict="0">
                <anchor moveWithCells="1">
                  <from>
                    <xdr:col>1</xdr:col>
                    <xdr:colOff>438150</xdr:colOff>
                    <xdr:row>52</xdr:row>
                    <xdr:rowOff>31750</xdr:rowOff>
                  </from>
                  <to>
                    <xdr:col>1</xdr:col>
                    <xdr:colOff>990600</xdr:colOff>
                    <xdr:row>52</xdr:row>
                    <xdr:rowOff>184150</xdr:rowOff>
                  </to>
                </anchor>
              </controlPr>
            </control>
          </mc:Choice>
        </mc:AlternateContent>
        <mc:AlternateContent xmlns:mc="http://schemas.openxmlformats.org/markup-compatibility/2006">
          <mc:Choice Requires="x14">
            <control shapeId="144432" r:id="rId50" name="Option Button 48">
              <controlPr defaultSize="0" autoFill="0" autoLine="0" autoPict="0">
                <anchor moveWithCells="1">
                  <from>
                    <xdr:col>1</xdr:col>
                    <xdr:colOff>438150</xdr:colOff>
                    <xdr:row>53</xdr:row>
                    <xdr:rowOff>31750</xdr:rowOff>
                  </from>
                  <to>
                    <xdr:col>1</xdr:col>
                    <xdr:colOff>990600</xdr:colOff>
                    <xdr:row>53</xdr:row>
                    <xdr:rowOff>184150</xdr:rowOff>
                  </to>
                </anchor>
              </controlPr>
            </control>
          </mc:Choice>
        </mc:AlternateContent>
        <mc:AlternateContent xmlns:mc="http://schemas.openxmlformats.org/markup-compatibility/2006">
          <mc:Choice Requires="x14">
            <control shapeId="144433" r:id="rId51" name="Option Button 49">
              <controlPr defaultSize="0" autoFill="0" autoLine="0" autoPict="0">
                <anchor moveWithCells="1">
                  <from>
                    <xdr:col>1</xdr:col>
                    <xdr:colOff>438150</xdr:colOff>
                    <xdr:row>54</xdr:row>
                    <xdr:rowOff>31750</xdr:rowOff>
                  </from>
                  <to>
                    <xdr:col>1</xdr:col>
                    <xdr:colOff>990600</xdr:colOff>
                    <xdr:row>54</xdr:row>
                    <xdr:rowOff>184150</xdr:rowOff>
                  </to>
                </anchor>
              </controlPr>
            </control>
          </mc:Choice>
        </mc:AlternateContent>
        <mc:AlternateContent xmlns:mc="http://schemas.openxmlformats.org/markup-compatibility/2006">
          <mc:Choice Requires="x14">
            <control shapeId="144434" r:id="rId52" name="Option Button 50">
              <controlPr defaultSize="0" autoFill="0" autoLine="0" autoPict="0">
                <anchor moveWithCells="1">
                  <from>
                    <xdr:col>1</xdr:col>
                    <xdr:colOff>438150</xdr:colOff>
                    <xdr:row>55</xdr:row>
                    <xdr:rowOff>31750</xdr:rowOff>
                  </from>
                  <to>
                    <xdr:col>1</xdr:col>
                    <xdr:colOff>990600</xdr:colOff>
                    <xdr:row>55</xdr:row>
                    <xdr:rowOff>184150</xdr:rowOff>
                  </to>
                </anchor>
              </controlPr>
            </control>
          </mc:Choice>
        </mc:AlternateContent>
        <mc:AlternateContent xmlns:mc="http://schemas.openxmlformats.org/markup-compatibility/2006">
          <mc:Choice Requires="x14">
            <control shapeId="144435" r:id="rId53" name="Option Button 51">
              <controlPr defaultSize="0" autoFill="0" autoLine="0" autoPict="0">
                <anchor moveWithCells="1">
                  <from>
                    <xdr:col>1</xdr:col>
                    <xdr:colOff>438150</xdr:colOff>
                    <xdr:row>56</xdr:row>
                    <xdr:rowOff>31750</xdr:rowOff>
                  </from>
                  <to>
                    <xdr:col>1</xdr:col>
                    <xdr:colOff>990600</xdr:colOff>
                    <xdr:row>56</xdr:row>
                    <xdr:rowOff>184150</xdr:rowOff>
                  </to>
                </anchor>
              </controlPr>
            </control>
          </mc:Choice>
        </mc:AlternateContent>
        <mc:AlternateContent xmlns:mc="http://schemas.openxmlformats.org/markup-compatibility/2006">
          <mc:Choice Requires="x14">
            <control shapeId="144436" r:id="rId54" name="Option Button 52">
              <controlPr defaultSize="0" autoFill="0" autoLine="0" autoPict="0">
                <anchor moveWithCells="1">
                  <from>
                    <xdr:col>1</xdr:col>
                    <xdr:colOff>438150</xdr:colOff>
                    <xdr:row>57</xdr:row>
                    <xdr:rowOff>31750</xdr:rowOff>
                  </from>
                  <to>
                    <xdr:col>1</xdr:col>
                    <xdr:colOff>990600</xdr:colOff>
                    <xdr:row>57</xdr:row>
                    <xdr:rowOff>184150</xdr:rowOff>
                  </to>
                </anchor>
              </controlPr>
            </control>
          </mc:Choice>
        </mc:AlternateContent>
        <mc:AlternateContent xmlns:mc="http://schemas.openxmlformats.org/markup-compatibility/2006">
          <mc:Choice Requires="x14">
            <control shapeId="144437" r:id="rId55" name="Option Button 53">
              <controlPr defaultSize="0" autoFill="0" autoLine="0" autoPict="0">
                <anchor moveWithCells="1">
                  <from>
                    <xdr:col>1</xdr:col>
                    <xdr:colOff>438150</xdr:colOff>
                    <xdr:row>58</xdr:row>
                    <xdr:rowOff>31750</xdr:rowOff>
                  </from>
                  <to>
                    <xdr:col>1</xdr:col>
                    <xdr:colOff>990600</xdr:colOff>
                    <xdr:row>58</xdr:row>
                    <xdr:rowOff>184150</xdr:rowOff>
                  </to>
                </anchor>
              </controlPr>
            </control>
          </mc:Choice>
        </mc:AlternateContent>
        <mc:AlternateContent xmlns:mc="http://schemas.openxmlformats.org/markup-compatibility/2006">
          <mc:Choice Requires="x14">
            <control shapeId="144438" r:id="rId56" name="Option Button 54">
              <controlPr defaultSize="0" autoFill="0" autoLine="0" autoPict="0">
                <anchor moveWithCells="1">
                  <from>
                    <xdr:col>1</xdr:col>
                    <xdr:colOff>438150</xdr:colOff>
                    <xdr:row>59</xdr:row>
                    <xdr:rowOff>31750</xdr:rowOff>
                  </from>
                  <to>
                    <xdr:col>1</xdr:col>
                    <xdr:colOff>990600</xdr:colOff>
                    <xdr:row>59</xdr:row>
                    <xdr:rowOff>184150</xdr:rowOff>
                  </to>
                </anchor>
              </controlPr>
            </control>
          </mc:Choice>
        </mc:AlternateContent>
        <mc:AlternateContent xmlns:mc="http://schemas.openxmlformats.org/markup-compatibility/2006">
          <mc:Choice Requires="x14">
            <control shapeId="144439" r:id="rId57" name="Option Button 55">
              <controlPr defaultSize="0" autoFill="0" autoLine="0" autoPict="0">
                <anchor moveWithCells="1">
                  <from>
                    <xdr:col>1</xdr:col>
                    <xdr:colOff>438150</xdr:colOff>
                    <xdr:row>60</xdr:row>
                    <xdr:rowOff>31750</xdr:rowOff>
                  </from>
                  <to>
                    <xdr:col>1</xdr:col>
                    <xdr:colOff>990600</xdr:colOff>
                    <xdr:row>60</xdr:row>
                    <xdr:rowOff>184150</xdr:rowOff>
                  </to>
                </anchor>
              </controlPr>
            </control>
          </mc:Choice>
        </mc:AlternateContent>
        <mc:AlternateContent xmlns:mc="http://schemas.openxmlformats.org/markup-compatibility/2006">
          <mc:Choice Requires="x14">
            <control shapeId="144440" r:id="rId58" name="Option Button 56">
              <controlPr defaultSize="0" autoFill="0" autoLine="0" autoPict="0">
                <anchor moveWithCells="1">
                  <from>
                    <xdr:col>1</xdr:col>
                    <xdr:colOff>438150</xdr:colOff>
                    <xdr:row>61</xdr:row>
                    <xdr:rowOff>31750</xdr:rowOff>
                  </from>
                  <to>
                    <xdr:col>1</xdr:col>
                    <xdr:colOff>990600</xdr:colOff>
                    <xdr:row>61</xdr:row>
                    <xdr:rowOff>184150</xdr:rowOff>
                  </to>
                </anchor>
              </controlPr>
            </control>
          </mc:Choice>
        </mc:AlternateContent>
        <mc:AlternateContent xmlns:mc="http://schemas.openxmlformats.org/markup-compatibility/2006">
          <mc:Choice Requires="x14">
            <control shapeId="144441" r:id="rId59" name="Option Button 57">
              <controlPr defaultSize="0" autoFill="0" autoLine="0" autoPict="0">
                <anchor moveWithCells="1">
                  <from>
                    <xdr:col>1</xdr:col>
                    <xdr:colOff>438150</xdr:colOff>
                    <xdr:row>62</xdr:row>
                    <xdr:rowOff>31750</xdr:rowOff>
                  </from>
                  <to>
                    <xdr:col>1</xdr:col>
                    <xdr:colOff>990600</xdr:colOff>
                    <xdr:row>62</xdr:row>
                    <xdr:rowOff>184150</xdr:rowOff>
                  </to>
                </anchor>
              </controlPr>
            </control>
          </mc:Choice>
        </mc:AlternateContent>
        <mc:AlternateContent xmlns:mc="http://schemas.openxmlformats.org/markup-compatibility/2006">
          <mc:Choice Requires="x14">
            <control shapeId="144442" r:id="rId60" name="Option Button 58">
              <controlPr defaultSize="0" autoFill="0" autoLine="0" autoPict="0">
                <anchor moveWithCells="1">
                  <from>
                    <xdr:col>1</xdr:col>
                    <xdr:colOff>438150</xdr:colOff>
                    <xdr:row>63</xdr:row>
                    <xdr:rowOff>31750</xdr:rowOff>
                  </from>
                  <to>
                    <xdr:col>1</xdr:col>
                    <xdr:colOff>984250</xdr:colOff>
                    <xdr:row>63</xdr:row>
                    <xdr:rowOff>184150</xdr:rowOff>
                  </to>
                </anchor>
              </controlPr>
            </control>
          </mc:Choice>
        </mc:AlternateContent>
        <mc:AlternateContent xmlns:mc="http://schemas.openxmlformats.org/markup-compatibility/2006">
          <mc:Choice Requires="x14">
            <control shapeId="144443" r:id="rId61" name="Option Button 59">
              <controlPr defaultSize="0" autoFill="0" autoLine="0" autoPict="0">
                <anchor moveWithCells="1">
                  <from>
                    <xdr:col>1</xdr:col>
                    <xdr:colOff>438150</xdr:colOff>
                    <xdr:row>64</xdr:row>
                    <xdr:rowOff>31750</xdr:rowOff>
                  </from>
                  <to>
                    <xdr:col>1</xdr:col>
                    <xdr:colOff>990600</xdr:colOff>
                    <xdr:row>64</xdr:row>
                    <xdr:rowOff>184150</xdr:rowOff>
                  </to>
                </anchor>
              </controlPr>
            </control>
          </mc:Choice>
        </mc:AlternateContent>
        <mc:AlternateContent xmlns:mc="http://schemas.openxmlformats.org/markup-compatibility/2006">
          <mc:Choice Requires="x14">
            <control shapeId="144444" r:id="rId62" name="Option Button 60">
              <controlPr defaultSize="0" autoFill="0" autoLine="0" autoPict="0">
                <anchor moveWithCells="1">
                  <from>
                    <xdr:col>1</xdr:col>
                    <xdr:colOff>438150</xdr:colOff>
                    <xdr:row>65</xdr:row>
                    <xdr:rowOff>31750</xdr:rowOff>
                  </from>
                  <to>
                    <xdr:col>1</xdr:col>
                    <xdr:colOff>990600</xdr:colOff>
                    <xdr:row>65</xdr:row>
                    <xdr:rowOff>184150</xdr:rowOff>
                  </to>
                </anchor>
              </controlPr>
            </control>
          </mc:Choice>
        </mc:AlternateContent>
        <mc:AlternateContent xmlns:mc="http://schemas.openxmlformats.org/markup-compatibility/2006">
          <mc:Choice Requires="x14">
            <control shapeId="144445" r:id="rId63" name="Option Button 61">
              <controlPr defaultSize="0" autoFill="0" autoLine="0" autoPict="0">
                <anchor moveWithCells="1">
                  <from>
                    <xdr:col>1</xdr:col>
                    <xdr:colOff>438150</xdr:colOff>
                    <xdr:row>66</xdr:row>
                    <xdr:rowOff>31750</xdr:rowOff>
                  </from>
                  <to>
                    <xdr:col>1</xdr:col>
                    <xdr:colOff>990600</xdr:colOff>
                    <xdr:row>66</xdr:row>
                    <xdr:rowOff>184150</xdr:rowOff>
                  </to>
                </anchor>
              </controlPr>
            </control>
          </mc:Choice>
        </mc:AlternateContent>
        <mc:AlternateContent xmlns:mc="http://schemas.openxmlformats.org/markup-compatibility/2006">
          <mc:Choice Requires="x14">
            <control shapeId="144446" r:id="rId64" name="Option Button 62">
              <controlPr defaultSize="0" autoFill="0" autoLine="0" autoPict="0">
                <anchor moveWithCells="1">
                  <from>
                    <xdr:col>1</xdr:col>
                    <xdr:colOff>438150</xdr:colOff>
                    <xdr:row>67</xdr:row>
                    <xdr:rowOff>31750</xdr:rowOff>
                  </from>
                  <to>
                    <xdr:col>1</xdr:col>
                    <xdr:colOff>990600</xdr:colOff>
                    <xdr:row>67</xdr:row>
                    <xdr:rowOff>184150</xdr:rowOff>
                  </to>
                </anchor>
              </controlPr>
            </control>
          </mc:Choice>
        </mc:AlternateContent>
        <mc:AlternateContent xmlns:mc="http://schemas.openxmlformats.org/markup-compatibility/2006">
          <mc:Choice Requires="x14">
            <control shapeId="144447" r:id="rId65" name="Option Button 63">
              <controlPr defaultSize="0" autoFill="0" autoLine="0" autoPict="0">
                <anchor moveWithCells="1">
                  <from>
                    <xdr:col>1</xdr:col>
                    <xdr:colOff>438150</xdr:colOff>
                    <xdr:row>68</xdr:row>
                    <xdr:rowOff>31750</xdr:rowOff>
                  </from>
                  <to>
                    <xdr:col>1</xdr:col>
                    <xdr:colOff>990600</xdr:colOff>
                    <xdr:row>68</xdr:row>
                    <xdr:rowOff>184150</xdr:rowOff>
                  </to>
                </anchor>
              </controlPr>
            </control>
          </mc:Choice>
        </mc:AlternateContent>
        <mc:AlternateContent xmlns:mc="http://schemas.openxmlformats.org/markup-compatibility/2006">
          <mc:Choice Requires="x14">
            <control shapeId="144448" r:id="rId66" name="Option Button 64">
              <controlPr defaultSize="0" autoFill="0" autoLine="0" autoPict="0">
                <anchor moveWithCells="1">
                  <from>
                    <xdr:col>1</xdr:col>
                    <xdr:colOff>438150</xdr:colOff>
                    <xdr:row>69</xdr:row>
                    <xdr:rowOff>31750</xdr:rowOff>
                  </from>
                  <to>
                    <xdr:col>1</xdr:col>
                    <xdr:colOff>990600</xdr:colOff>
                    <xdr:row>69</xdr:row>
                    <xdr:rowOff>184150</xdr:rowOff>
                  </to>
                </anchor>
              </controlPr>
            </control>
          </mc:Choice>
        </mc:AlternateContent>
        <mc:AlternateContent xmlns:mc="http://schemas.openxmlformats.org/markup-compatibility/2006">
          <mc:Choice Requires="x14">
            <control shapeId="144449" r:id="rId67" name="Option Button 65">
              <controlPr defaultSize="0" autoFill="0" autoLine="0" autoPict="0">
                <anchor moveWithCells="1">
                  <from>
                    <xdr:col>1</xdr:col>
                    <xdr:colOff>438150</xdr:colOff>
                    <xdr:row>70</xdr:row>
                    <xdr:rowOff>31750</xdr:rowOff>
                  </from>
                  <to>
                    <xdr:col>1</xdr:col>
                    <xdr:colOff>990600</xdr:colOff>
                    <xdr:row>70</xdr:row>
                    <xdr:rowOff>184150</xdr:rowOff>
                  </to>
                </anchor>
              </controlPr>
            </control>
          </mc:Choice>
        </mc:AlternateContent>
        <mc:AlternateContent xmlns:mc="http://schemas.openxmlformats.org/markup-compatibility/2006">
          <mc:Choice Requires="x14">
            <control shapeId="144450" r:id="rId68" name="Option Button 66">
              <controlPr defaultSize="0" autoFill="0" autoLine="0" autoPict="0">
                <anchor moveWithCells="1">
                  <from>
                    <xdr:col>1</xdr:col>
                    <xdr:colOff>438150</xdr:colOff>
                    <xdr:row>71</xdr:row>
                    <xdr:rowOff>31750</xdr:rowOff>
                  </from>
                  <to>
                    <xdr:col>1</xdr:col>
                    <xdr:colOff>990600</xdr:colOff>
                    <xdr:row>71</xdr:row>
                    <xdr:rowOff>184150</xdr:rowOff>
                  </to>
                </anchor>
              </controlPr>
            </control>
          </mc:Choice>
        </mc:AlternateContent>
        <mc:AlternateContent xmlns:mc="http://schemas.openxmlformats.org/markup-compatibility/2006">
          <mc:Choice Requires="x14">
            <control shapeId="144451" r:id="rId69" name="Option Button 67">
              <controlPr defaultSize="0" autoFill="0" autoLine="0" autoPict="0">
                <anchor moveWithCells="1">
                  <from>
                    <xdr:col>1</xdr:col>
                    <xdr:colOff>438150</xdr:colOff>
                    <xdr:row>72</xdr:row>
                    <xdr:rowOff>31750</xdr:rowOff>
                  </from>
                  <to>
                    <xdr:col>1</xdr:col>
                    <xdr:colOff>990600</xdr:colOff>
                    <xdr:row>72</xdr:row>
                    <xdr:rowOff>184150</xdr:rowOff>
                  </to>
                </anchor>
              </controlPr>
            </control>
          </mc:Choice>
        </mc:AlternateContent>
        <mc:AlternateContent xmlns:mc="http://schemas.openxmlformats.org/markup-compatibility/2006">
          <mc:Choice Requires="x14">
            <control shapeId="144452" r:id="rId70" name="Option Button 68">
              <controlPr defaultSize="0" autoFill="0" autoLine="0" autoPict="0">
                <anchor moveWithCells="1">
                  <from>
                    <xdr:col>1</xdr:col>
                    <xdr:colOff>438150</xdr:colOff>
                    <xdr:row>73</xdr:row>
                    <xdr:rowOff>31750</xdr:rowOff>
                  </from>
                  <to>
                    <xdr:col>1</xdr:col>
                    <xdr:colOff>990600</xdr:colOff>
                    <xdr:row>73</xdr:row>
                    <xdr:rowOff>184150</xdr:rowOff>
                  </to>
                </anchor>
              </controlPr>
            </control>
          </mc:Choice>
        </mc:AlternateContent>
        <mc:AlternateContent xmlns:mc="http://schemas.openxmlformats.org/markup-compatibility/2006">
          <mc:Choice Requires="x14">
            <control shapeId="144453" r:id="rId71" name="Option Button 69">
              <controlPr defaultSize="0" autoFill="0" autoLine="0" autoPict="0">
                <anchor moveWithCells="1">
                  <from>
                    <xdr:col>1</xdr:col>
                    <xdr:colOff>438150</xdr:colOff>
                    <xdr:row>74</xdr:row>
                    <xdr:rowOff>31750</xdr:rowOff>
                  </from>
                  <to>
                    <xdr:col>1</xdr:col>
                    <xdr:colOff>990600</xdr:colOff>
                    <xdr:row>74</xdr:row>
                    <xdr:rowOff>184150</xdr:rowOff>
                  </to>
                </anchor>
              </controlPr>
            </control>
          </mc:Choice>
        </mc:AlternateContent>
        <mc:AlternateContent xmlns:mc="http://schemas.openxmlformats.org/markup-compatibility/2006">
          <mc:Choice Requires="x14">
            <control shapeId="144454" r:id="rId72" name="Option Button 70">
              <controlPr defaultSize="0" autoFill="0" autoLine="0" autoPict="0">
                <anchor moveWithCells="1">
                  <from>
                    <xdr:col>1</xdr:col>
                    <xdr:colOff>438150</xdr:colOff>
                    <xdr:row>75</xdr:row>
                    <xdr:rowOff>31750</xdr:rowOff>
                  </from>
                  <to>
                    <xdr:col>1</xdr:col>
                    <xdr:colOff>990600</xdr:colOff>
                    <xdr:row>75</xdr:row>
                    <xdr:rowOff>184150</xdr:rowOff>
                  </to>
                </anchor>
              </controlPr>
            </control>
          </mc:Choice>
        </mc:AlternateContent>
        <mc:AlternateContent xmlns:mc="http://schemas.openxmlformats.org/markup-compatibility/2006">
          <mc:Choice Requires="x14">
            <control shapeId="144455" r:id="rId73" name="Option Button 71">
              <controlPr defaultSize="0" autoFill="0" autoLine="0" autoPict="0">
                <anchor moveWithCells="1">
                  <from>
                    <xdr:col>1</xdr:col>
                    <xdr:colOff>438150</xdr:colOff>
                    <xdr:row>76</xdr:row>
                    <xdr:rowOff>31750</xdr:rowOff>
                  </from>
                  <to>
                    <xdr:col>1</xdr:col>
                    <xdr:colOff>990600</xdr:colOff>
                    <xdr:row>76</xdr:row>
                    <xdr:rowOff>184150</xdr:rowOff>
                  </to>
                </anchor>
              </controlPr>
            </control>
          </mc:Choice>
        </mc:AlternateContent>
        <mc:AlternateContent xmlns:mc="http://schemas.openxmlformats.org/markup-compatibility/2006">
          <mc:Choice Requires="x14">
            <control shapeId="144456" r:id="rId74" name="Option Button 72">
              <controlPr defaultSize="0" autoFill="0" autoLine="0" autoPict="0">
                <anchor moveWithCells="1">
                  <from>
                    <xdr:col>1</xdr:col>
                    <xdr:colOff>438150</xdr:colOff>
                    <xdr:row>77</xdr:row>
                    <xdr:rowOff>31750</xdr:rowOff>
                  </from>
                  <to>
                    <xdr:col>1</xdr:col>
                    <xdr:colOff>990600</xdr:colOff>
                    <xdr:row>77</xdr:row>
                    <xdr:rowOff>184150</xdr:rowOff>
                  </to>
                </anchor>
              </controlPr>
            </control>
          </mc:Choice>
        </mc:AlternateContent>
        <mc:AlternateContent xmlns:mc="http://schemas.openxmlformats.org/markup-compatibility/2006">
          <mc:Choice Requires="x14">
            <control shapeId="144457" r:id="rId75" name="Option Button 73">
              <controlPr defaultSize="0" autoFill="0" autoLine="0" autoPict="0">
                <anchor moveWithCells="1">
                  <from>
                    <xdr:col>1</xdr:col>
                    <xdr:colOff>438150</xdr:colOff>
                    <xdr:row>78</xdr:row>
                    <xdr:rowOff>31750</xdr:rowOff>
                  </from>
                  <to>
                    <xdr:col>1</xdr:col>
                    <xdr:colOff>990600</xdr:colOff>
                    <xdr:row>78</xdr:row>
                    <xdr:rowOff>184150</xdr:rowOff>
                  </to>
                </anchor>
              </controlPr>
            </control>
          </mc:Choice>
        </mc:AlternateContent>
        <mc:AlternateContent xmlns:mc="http://schemas.openxmlformats.org/markup-compatibility/2006">
          <mc:Choice Requires="x14">
            <control shapeId="144458" r:id="rId76" name="Option Button 74">
              <controlPr defaultSize="0" autoFill="0" autoLine="0" autoPict="0">
                <anchor moveWithCells="1">
                  <from>
                    <xdr:col>1</xdr:col>
                    <xdr:colOff>438150</xdr:colOff>
                    <xdr:row>79</xdr:row>
                    <xdr:rowOff>31750</xdr:rowOff>
                  </from>
                  <to>
                    <xdr:col>1</xdr:col>
                    <xdr:colOff>990600</xdr:colOff>
                    <xdr:row>79</xdr:row>
                    <xdr:rowOff>184150</xdr:rowOff>
                  </to>
                </anchor>
              </controlPr>
            </control>
          </mc:Choice>
        </mc:AlternateContent>
        <mc:AlternateContent xmlns:mc="http://schemas.openxmlformats.org/markup-compatibility/2006">
          <mc:Choice Requires="x14">
            <control shapeId="144459" r:id="rId77" name="Option Button 75">
              <controlPr defaultSize="0" autoFill="0" autoLine="0" autoPict="0">
                <anchor moveWithCells="1">
                  <from>
                    <xdr:col>1</xdr:col>
                    <xdr:colOff>438150</xdr:colOff>
                    <xdr:row>80</xdr:row>
                    <xdr:rowOff>31750</xdr:rowOff>
                  </from>
                  <to>
                    <xdr:col>1</xdr:col>
                    <xdr:colOff>990600</xdr:colOff>
                    <xdr:row>80</xdr:row>
                    <xdr:rowOff>184150</xdr:rowOff>
                  </to>
                </anchor>
              </controlPr>
            </control>
          </mc:Choice>
        </mc:AlternateContent>
        <mc:AlternateContent xmlns:mc="http://schemas.openxmlformats.org/markup-compatibility/2006">
          <mc:Choice Requires="x14">
            <control shapeId="144460" r:id="rId78" name="Option Button 76">
              <controlPr defaultSize="0" autoFill="0" autoLine="0" autoPict="0">
                <anchor moveWithCells="1">
                  <from>
                    <xdr:col>1</xdr:col>
                    <xdr:colOff>438150</xdr:colOff>
                    <xdr:row>81</xdr:row>
                    <xdr:rowOff>31750</xdr:rowOff>
                  </from>
                  <to>
                    <xdr:col>1</xdr:col>
                    <xdr:colOff>990600</xdr:colOff>
                    <xdr:row>81</xdr:row>
                    <xdr:rowOff>184150</xdr:rowOff>
                  </to>
                </anchor>
              </controlPr>
            </control>
          </mc:Choice>
        </mc:AlternateContent>
        <mc:AlternateContent xmlns:mc="http://schemas.openxmlformats.org/markup-compatibility/2006">
          <mc:Choice Requires="x14">
            <control shapeId="144461" r:id="rId79" name="Option Button 77">
              <controlPr defaultSize="0" autoFill="0" autoLine="0" autoPict="0">
                <anchor moveWithCells="1">
                  <from>
                    <xdr:col>1</xdr:col>
                    <xdr:colOff>438150</xdr:colOff>
                    <xdr:row>82</xdr:row>
                    <xdr:rowOff>31750</xdr:rowOff>
                  </from>
                  <to>
                    <xdr:col>1</xdr:col>
                    <xdr:colOff>990600</xdr:colOff>
                    <xdr:row>82</xdr:row>
                    <xdr:rowOff>184150</xdr:rowOff>
                  </to>
                </anchor>
              </controlPr>
            </control>
          </mc:Choice>
        </mc:AlternateContent>
        <mc:AlternateContent xmlns:mc="http://schemas.openxmlformats.org/markup-compatibility/2006">
          <mc:Choice Requires="x14">
            <control shapeId="144462" r:id="rId80" name="Option Button 78">
              <controlPr defaultSize="0" autoFill="0" autoLine="0" autoPict="0">
                <anchor moveWithCells="1">
                  <from>
                    <xdr:col>1</xdr:col>
                    <xdr:colOff>438150</xdr:colOff>
                    <xdr:row>83</xdr:row>
                    <xdr:rowOff>31750</xdr:rowOff>
                  </from>
                  <to>
                    <xdr:col>1</xdr:col>
                    <xdr:colOff>990600</xdr:colOff>
                    <xdr:row>83</xdr:row>
                    <xdr:rowOff>184150</xdr:rowOff>
                  </to>
                </anchor>
              </controlPr>
            </control>
          </mc:Choice>
        </mc:AlternateContent>
        <mc:AlternateContent xmlns:mc="http://schemas.openxmlformats.org/markup-compatibility/2006">
          <mc:Choice Requires="x14">
            <control shapeId="144463" r:id="rId81" name="Option Button 79">
              <controlPr defaultSize="0" autoFill="0" autoLine="0" autoPict="0">
                <anchor moveWithCells="1">
                  <from>
                    <xdr:col>1</xdr:col>
                    <xdr:colOff>438150</xdr:colOff>
                    <xdr:row>84</xdr:row>
                    <xdr:rowOff>31750</xdr:rowOff>
                  </from>
                  <to>
                    <xdr:col>1</xdr:col>
                    <xdr:colOff>990600</xdr:colOff>
                    <xdr:row>84</xdr:row>
                    <xdr:rowOff>184150</xdr:rowOff>
                  </to>
                </anchor>
              </controlPr>
            </control>
          </mc:Choice>
        </mc:AlternateContent>
        <mc:AlternateContent xmlns:mc="http://schemas.openxmlformats.org/markup-compatibility/2006">
          <mc:Choice Requires="x14">
            <control shapeId="144464" r:id="rId82" name="Option Button 80">
              <controlPr defaultSize="0" autoFill="0" autoLine="0" autoPict="0">
                <anchor moveWithCells="1">
                  <from>
                    <xdr:col>1</xdr:col>
                    <xdr:colOff>438150</xdr:colOff>
                    <xdr:row>85</xdr:row>
                    <xdr:rowOff>31750</xdr:rowOff>
                  </from>
                  <to>
                    <xdr:col>1</xdr:col>
                    <xdr:colOff>990600</xdr:colOff>
                    <xdr:row>85</xdr:row>
                    <xdr:rowOff>184150</xdr:rowOff>
                  </to>
                </anchor>
              </controlPr>
            </control>
          </mc:Choice>
        </mc:AlternateContent>
        <mc:AlternateContent xmlns:mc="http://schemas.openxmlformats.org/markup-compatibility/2006">
          <mc:Choice Requires="x14">
            <control shapeId="144465" r:id="rId83" name="Option Button 81">
              <controlPr defaultSize="0" autoFill="0" autoLine="0" autoPict="0">
                <anchor moveWithCells="1">
                  <from>
                    <xdr:col>1</xdr:col>
                    <xdr:colOff>438150</xdr:colOff>
                    <xdr:row>86</xdr:row>
                    <xdr:rowOff>31750</xdr:rowOff>
                  </from>
                  <to>
                    <xdr:col>1</xdr:col>
                    <xdr:colOff>990600</xdr:colOff>
                    <xdr:row>86</xdr:row>
                    <xdr:rowOff>184150</xdr:rowOff>
                  </to>
                </anchor>
              </controlPr>
            </control>
          </mc:Choice>
        </mc:AlternateContent>
        <mc:AlternateContent xmlns:mc="http://schemas.openxmlformats.org/markup-compatibility/2006">
          <mc:Choice Requires="x14">
            <control shapeId="144466" r:id="rId84" name="Option Button 82">
              <controlPr defaultSize="0" autoFill="0" autoLine="0" autoPict="0">
                <anchor moveWithCells="1">
                  <from>
                    <xdr:col>1</xdr:col>
                    <xdr:colOff>438150</xdr:colOff>
                    <xdr:row>87</xdr:row>
                    <xdr:rowOff>31750</xdr:rowOff>
                  </from>
                  <to>
                    <xdr:col>1</xdr:col>
                    <xdr:colOff>990600</xdr:colOff>
                    <xdr:row>87</xdr:row>
                    <xdr:rowOff>184150</xdr:rowOff>
                  </to>
                </anchor>
              </controlPr>
            </control>
          </mc:Choice>
        </mc:AlternateContent>
        <mc:AlternateContent xmlns:mc="http://schemas.openxmlformats.org/markup-compatibility/2006">
          <mc:Choice Requires="x14">
            <control shapeId="144467" r:id="rId85" name="Option Button 83">
              <controlPr defaultSize="0" autoFill="0" autoLine="0" autoPict="0">
                <anchor moveWithCells="1">
                  <from>
                    <xdr:col>1</xdr:col>
                    <xdr:colOff>438150</xdr:colOff>
                    <xdr:row>88</xdr:row>
                    <xdr:rowOff>31750</xdr:rowOff>
                  </from>
                  <to>
                    <xdr:col>1</xdr:col>
                    <xdr:colOff>990600</xdr:colOff>
                    <xdr:row>88</xdr:row>
                    <xdr:rowOff>184150</xdr:rowOff>
                  </to>
                </anchor>
              </controlPr>
            </control>
          </mc:Choice>
        </mc:AlternateContent>
        <mc:AlternateContent xmlns:mc="http://schemas.openxmlformats.org/markup-compatibility/2006">
          <mc:Choice Requires="x14">
            <control shapeId="144468" r:id="rId86" name="Option Button 84">
              <controlPr defaultSize="0" autoFill="0" autoLine="0" autoPict="0">
                <anchor moveWithCells="1">
                  <from>
                    <xdr:col>1</xdr:col>
                    <xdr:colOff>438150</xdr:colOff>
                    <xdr:row>89</xdr:row>
                    <xdr:rowOff>31750</xdr:rowOff>
                  </from>
                  <to>
                    <xdr:col>1</xdr:col>
                    <xdr:colOff>990600</xdr:colOff>
                    <xdr:row>89</xdr:row>
                    <xdr:rowOff>184150</xdr:rowOff>
                  </to>
                </anchor>
              </controlPr>
            </control>
          </mc:Choice>
        </mc:AlternateContent>
        <mc:AlternateContent xmlns:mc="http://schemas.openxmlformats.org/markup-compatibility/2006">
          <mc:Choice Requires="x14">
            <control shapeId="144469" r:id="rId87" name="Option Button 85">
              <controlPr defaultSize="0" autoFill="0" autoLine="0" autoPict="0">
                <anchor moveWithCells="1">
                  <from>
                    <xdr:col>1</xdr:col>
                    <xdr:colOff>438150</xdr:colOff>
                    <xdr:row>90</xdr:row>
                    <xdr:rowOff>31750</xdr:rowOff>
                  </from>
                  <to>
                    <xdr:col>1</xdr:col>
                    <xdr:colOff>990600</xdr:colOff>
                    <xdr:row>90</xdr:row>
                    <xdr:rowOff>184150</xdr:rowOff>
                  </to>
                </anchor>
              </controlPr>
            </control>
          </mc:Choice>
        </mc:AlternateContent>
        <mc:AlternateContent xmlns:mc="http://schemas.openxmlformats.org/markup-compatibility/2006">
          <mc:Choice Requires="x14">
            <control shapeId="144470" r:id="rId88" name="Option Button 86">
              <controlPr defaultSize="0" autoFill="0" autoLine="0" autoPict="0">
                <anchor moveWithCells="1">
                  <from>
                    <xdr:col>1</xdr:col>
                    <xdr:colOff>438150</xdr:colOff>
                    <xdr:row>91</xdr:row>
                    <xdr:rowOff>31750</xdr:rowOff>
                  </from>
                  <to>
                    <xdr:col>1</xdr:col>
                    <xdr:colOff>990600</xdr:colOff>
                    <xdr:row>91</xdr:row>
                    <xdr:rowOff>184150</xdr:rowOff>
                  </to>
                </anchor>
              </controlPr>
            </control>
          </mc:Choice>
        </mc:AlternateContent>
        <mc:AlternateContent xmlns:mc="http://schemas.openxmlformats.org/markup-compatibility/2006">
          <mc:Choice Requires="x14">
            <control shapeId="144471" r:id="rId89" name="Option Button 87">
              <controlPr defaultSize="0" autoFill="0" autoLine="0" autoPict="0">
                <anchor moveWithCells="1">
                  <from>
                    <xdr:col>1</xdr:col>
                    <xdr:colOff>438150</xdr:colOff>
                    <xdr:row>92</xdr:row>
                    <xdr:rowOff>31750</xdr:rowOff>
                  </from>
                  <to>
                    <xdr:col>1</xdr:col>
                    <xdr:colOff>990600</xdr:colOff>
                    <xdr:row>92</xdr:row>
                    <xdr:rowOff>184150</xdr:rowOff>
                  </to>
                </anchor>
              </controlPr>
            </control>
          </mc:Choice>
        </mc:AlternateContent>
        <mc:AlternateContent xmlns:mc="http://schemas.openxmlformats.org/markup-compatibility/2006">
          <mc:Choice Requires="x14">
            <control shapeId="144472" r:id="rId90" name="Option Button 88">
              <controlPr defaultSize="0" autoFill="0" autoLine="0" autoPict="0">
                <anchor moveWithCells="1">
                  <from>
                    <xdr:col>1</xdr:col>
                    <xdr:colOff>438150</xdr:colOff>
                    <xdr:row>93</xdr:row>
                    <xdr:rowOff>31750</xdr:rowOff>
                  </from>
                  <to>
                    <xdr:col>1</xdr:col>
                    <xdr:colOff>990600</xdr:colOff>
                    <xdr:row>93</xdr:row>
                    <xdr:rowOff>184150</xdr:rowOff>
                  </to>
                </anchor>
              </controlPr>
            </control>
          </mc:Choice>
        </mc:AlternateContent>
        <mc:AlternateContent xmlns:mc="http://schemas.openxmlformats.org/markup-compatibility/2006">
          <mc:Choice Requires="x14">
            <control shapeId="144473" r:id="rId91" name="Option Button 89">
              <controlPr defaultSize="0" autoFill="0" autoLine="0" autoPict="0">
                <anchor moveWithCells="1">
                  <from>
                    <xdr:col>1</xdr:col>
                    <xdr:colOff>438150</xdr:colOff>
                    <xdr:row>94</xdr:row>
                    <xdr:rowOff>31750</xdr:rowOff>
                  </from>
                  <to>
                    <xdr:col>1</xdr:col>
                    <xdr:colOff>984250</xdr:colOff>
                    <xdr:row>94</xdr:row>
                    <xdr:rowOff>184150</xdr:rowOff>
                  </to>
                </anchor>
              </controlPr>
            </control>
          </mc:Choice>
        </mc:AlternateContent>
        <mc:AlternateContent xmlns:mc="http://schemas.openxmlformats.org/markup-compatibility/2006">
          <mc:Choice Requires="x14">
            <control shapeId="144474" r:id="rId92" name="Option Button 90">
              <controlPr defaultSize="0" autoFill="0" autoLine="0" autoPict="0">
                <anchor moveWithCells="1">
                  <from>
                    <xdr:col>1</xdr:col>
                    <xdr:colOff>438150</xdr:colOff>
                    <xdr:row>95</xdr:row>
                    <xdr:rowOff>31750</xdr:rowOff>
                  </from>
                  <to>
                    <xdr:col>1</xdr:col>
                    <xdr:colOff>990600</xdr:colOff>
                    <xdr:row>95</xdr:row>
                    <xdr:rowOff>184150</xdr:rowOff>
                  </to>
                </anchor>
              </controlPr>
            </control>
          </mc:Choice>
        </mc:AlternateContent>
        <mc:AlternateContent xmlns:mc="http://schemas.openxmlformats.org/markup-compatibility/2006">
          <mc:Choice Requires="x14">
            <control shapeId="144475" r:id="rId93" name="Option Button 91">
              <controlPr defaultSize="0" autoFill="0" autoLine="0" autoPict="0">
                <anchor moveWithCells="1">
                  <from>
                    <xdr:col>1</xdr:col>
                    <xdr:colOff>438150</xdr:colOff>
                    <xdr:row>96</xdr:row>
                    <xdr:rowOff>31750</xdr:rowOff>
                  </from>
                  <to>
                    <xdr:col>1</xdr:col>
                    <xdr:colOff>990600</xdr:colOff>
                    <xdr:row>96</xdr:row>
                    <xdr:rowOff>184150</xdr:rowOff>
                  </to>
                </anchor>
              </controlPr>
            </control>
          </mc:Choice>
        </mc:AlternateContent>
        <mc:AlternateContent xmlns:mc="http://schemas.openxmlformats.org/markup-compatibility/2006">
          <mc:Choice Requires="x14">
            <control shapeId="144476" r:id="rId94" name="Option Button 92">
              <controlPr defaultSize="0" autoFill="0" autoLine="0" autoPict="0">
                <anchor moveWithCells="1">
                  <from>
                    <xdr:col>1</xdr:col>
                    <xdr:colOff>438150</xdr:colOff>
                    <xdr:row>97</xdr:row>
                    <xdr:rowOff>31750</xdr:rowOff>
                  </from>
                  <to>
                    <xdr:col>1</xdr:col>
                    <xdr:colOff>990600</xdr:colOff>
                    <xdr:row>97</xdr:row>
                    <xdr:rowOff>184150</xdr:rowOff>
                  </to>
                </anchor>
              </controlPr>
            </control>
          </mc:Choice>
        </mc:AlternateContent>
        <mc:AlternateContent xmlns:mc="http://schemas.openxmlformats.org/markup-compatibility/2006">
          <mc:Choice Requires="x14">
            <control shapeId="144477" r:id="rId95" name="Option Button 93">
              <controlPr defaultSize="0" autoFill="0" autoLine="0" autoPict="0">
                <anchor moveWithCells="1">
                  <from>
                    <xdr:col>1</xdr:col>
                    <xdr:colOff>438150</xdr:colOff>
                    <xdr:row>98</xdr:row>
                    <xdr:rowOff>31750</xdr:rowOff>
                  </from>
                  <to>
                    <xdr:col>1</xdr:col>
                    <xdr:colOff>990600</xdr:colOff>
                    <xdr:row>98</xdr:row>
                    <xdr:rowOff>184150</xdr:rowOff>
                  </to>
                </anchor>
              </controlPr>
            </control>
          </mc:Choice>
        </mc:AlternateContent>
        <mc:AlternateContent xmlns:mc="http://schemas.openxmlformats.org/markup-compatibility/2006">
          <mc:Choice Requires="x14">
            <control shapeId="144478" r:id="rId96" name="Option Button 94">
              <controlPr defaultSize="0" autoFill="0" autoLine="0" autoPict="0">
                <anchor moveWithCells="1">
                  <from>
                    <xdr:col>1</xdr:col>
                    <xdr:colOff>438150</xdr:colOff>
                    <xdr:row>99</xdr:row>
                    <xdr:rowOff>31750</xdr:rowOff>
                  </from>
                  <to>
                    <xdr:col>1</xdr:col>
                    <xdr:colOff>990600</xdr:colOff>
                    <xdr:row>99</xdr:row>
                    <xdr:rowOff>184150</xdr:rowOff>
                  </to>
                </anchor>
              </controlPr>
            </control>
          </mc:Choice>
        </mc:AlternateContent>
        <mc:AlternateContent xmlns:mc="http://schemas.openxmlformats.org/markup-compatibility/2006">
          <mc:Choice Requires="x14">
            <control shapeId="144479" r:id="rId97" name="Option Button 95">
              <controlPr defaultSize="0" autoFill="0" autoLine="0" autoPict="0">
                <anchor moveWithCells="1">
                  <from>
                    <xdr:col>1</xdr:col>
                    <xdr:colOff>438150</xdr:colOff>
                    <xdr:row>100</xdr:row>
                    <xdr:rowOff>31750</xdr:rowOff>
                  </from>
                  <to>
                    <xdr:col>1</xdr:col>
                    <xdr:colOff>990600</xdr:colOff>
                    <xdr:row>100</xdr:row>
                    <xdr:rowOff>184150</xdr:rowOff>
                  </to>
                </anchor>
              </controlPr>
            </control>
          </mc:Choice>
        </mc:AlternateContent>
        <mc:AlternateContent xmlns:mc="http://schemas.openxmlformats.org/markup-compatibility/2006">
          <mc:Choice Requires="x14">
            <control shapeId="144480" r:id="rId98" name="Option Button 96">
              <controlPr defaultSize="0" autoFill="0" autoLine="0" autoPict="0">
                <anchor moveWithCells="1">
                  <from>
                    <xdr:col>1</xdr:col>
                    <xdr:colOff>438150</xdr:colOff>
                    <xdr:row>101</xdr:row>
                    <xdr:rowOff>31750</xdr:rowOff>
                  </from>
                  <to>
                    <xdr:col>1</xdr:col>
                    <xdr:colOff>990600</xdr:colOff>
                    <xdr:row>101</xdr:row>
                    <xdr:rowOff>184150</xdr:rowOff>
                  </to>
                </anchor>
              </controlPr>
            </control>
          </mc:Choice>
        </mc:AlternateContent>
        <mc:AlternateContent xmlns:mc="http://schemas.openxmlformats.org/markup-compatibility/2006">
          <mc:Choice Requires="x14">
            <control shapeId="144481" r:id="rId99" name="Option Button 97">
              <controlPr defaultSize="0" autoFill="0" autoLine="0" autoPict="0">
                <anchor moveWithCells="1">
                  <from>
                    <xdr:col>1</xdr:col>
                    <xdr:colOff>438150</xdr:colOff>
                    <xdr:row>102</xdr:row>
                    <xdr:rowOff>31750</xdr:rowOff>
                  </from>
                  <to>
                    <xdr:col>1</xdr:col>
                    <xdr:colOff>990600</xdr:colOff>
                    <xdr:row>102</xdr:row>
                    <xdr:rowOff>184150</xdr:rowOff>
                  </to>
                </anchor>
              </controlPr>
            </control>
          </mc:Choice>
        </mc:AlternateContent>
        <mc:AlternateContent xmlns:mc="http://schemas.openxmlformats.org/markup-compatibility/2006">
          <mc:Choice Requires="x14">
            <control shapeId="144482" r:id="rId100" name="Option Button 98">
              <controlPr defaultSize="0" autoFill="0" autoLine="0" autoPict="0">
                <anchor moveWithCells="1">
                  <from>
                    <xdr:col>1</xdr:col>
                    <xdr:colOff>438150</xdr:colOff>
                    <xdr:row>103</xdr:row>
                    <xdr:rowOff>31750</xdr:rowOff>
                  </from>
                  <to>
                    <xdr:col>1</xdr:col>
                    <xdr:colOff>990600</xdr:colOff>
                    <xdr:row>103</xdr:row>
                    <xdr:rowOff>184150</xdr:rowOff>
                  </to>
                </anchor>
              </controlPr>
            </control>
          </mc:Choice>
        </mc:AlternateContent>
        <mc:AlternateContent xmlns:mc="http://schemas.openxmlformats.org/markup-compatibility/2006">
          <mc:Choice Requires="x14">
            <control shapeId="144483" r:id="rId101" name="Option Button 99">
              <controlPr defaultSize="0" autoFill="0" autoLine="0" autoPict="0">
                <anchor moveWithCells="1">
                  <from>
                    <xdr:col>1</xdr:col>
                    <xdr:colOff>438150</xdr:colOff>
                    <xdr:row>104</xdr:row>
                    <xdr:rowOff>31750</xdr:rowOff>
                  </from>
                  <to>
                    <xdr:col>1</xdr:col>
                    <xdr:colOff>990600</xdr:colOff>
                    <xdr:row>104</xdr:row>
                    <xdr:rowOff>184150</xdr:rowOff>
                  </to>
                </anchor>
              </controlPr>
            </control>
          </mc:Choice>
        </mc:AlternateContent>
        <mc:AlternateContent xmlns:mc="http://schemas.openxmlformats.org/markup-compatibility/2006">
          <mc:Choice Requires="x14">
            <control shapeId="144484" r:id="rId102" name="Option Button 100">
              <controlPr defaultSize="0" autoFill="0" autoLine="0" autoPict="0">
                <anchor moveWithCells="1">
                  <from>
                    <xdr:col>1</xdr:col>
                    <xdr:colOff>438150</xdr:colOff>
                    <xdr:row>105</xdr:row>
                    <xdr:rowOff>31750</xdr:rowOff>
                  </from>
                  <to>
                    <xdr:col>1</xdr:col>
                    <xdr:colOff>990600</xdr:colOff>
                    <xdr:row>105</xdr:row>
                    <xdr:rowOff>184150</xdr:rowOff>
                  </to>
                </anchor>
              </controlPr>
            </control>
          </mc:Choice>
        </mc:AlternateContent>
        <mc:AlternateContent xmlns:mc="http://schemas.openxmlformats.org/markup-compatibility/2006">
          <mc:Choice Requires="x14">
            <control shapeId="144485" r:id="rId103" name="Option Button 101">
              <controlPr defaultSize="0" autoFill="0" autoLine="0" autoPict="0">
                <anchor moveWithCells="1">
                  <from>
                    <xdr:col>1</xdr:col>
                    <xdr:colOff>438150</xdr:colOff>
                    <xdr:row>106</xdr:row>
                    <xdr:rowOff>31750</xdr:rowOff>
                  </from>
                  <to>
                    <xdr:col>1</xdr:col>
                    <xdr:colOff>990600</xdr:colOff>
                    <xdr:row>106</xdr:row>
                    <xdr:rowOff>184150</xdr:rowOff>
                  </to>
                </anchor>
              </controlPr>
            </control>
          </mc:Choice>
        </mc:AlternateContent>
        <mc:AlternateContent xmlns:mc="http://schemas.openxmlformats.org/markup-compatibility/2006">
          <mc:Choice Requires="x14">
            <control shapeId="144486" r:id="rId104" name="Option Button 102">
              <controlPr defaultSize="0" autoFill="0" autoLine="0" autoPict="0">
                <anchor moveWithCells="1">
                  <from>
                    <xdr:col>1</xdr:col>
                    <xdr:colOff>438150</xdr:colOff>
                    <xdr:row>107</xdr:row>
                    <xdr:rowOff>31750</xdr:rowOff>
                  </from>
                  <to>
                    <xdr:col>1</xdr:col>
                    <xdr:colOff>990600</xdr:colOff>
                    <xdr:row>107</xdr:row>
                    <xdr:rowOff>184150</xdr:rowOff>
                  </to>
                </anchor>
              </controlPr>
            </control>
          </mc:Choice>
        </mc:AlternateContent>
        <mc:AlternateContent xmlns:mc="http://schemas.openxmlformats.org/markup-compatibility/2006">
          <mc:Choice Requires="x14">
            <control shapeId="144487" r:id="rId105" name="Option Button 103">
              <controlPr defaultSize="0" autoFill="0" autoLine="0" autoPict="0">
                <anchor moveWithCells="1">
                  <from>
                    <xdr:col>1</xdr:col>
                    <xdr:colOff>438150</xdr:colOff>
                    <xdr:row>108</xdr:row>
                    <xdr:rowOff>31750</xdr:rowOff>
                  </from>
                  <to>
                    <xdr:col>1</xdr:col>
                    <xdr:colOff>990600</xdr:colOff>
                    <xdr:row>108</xdr:row>
                    <xdr:rowOff>184150</xdr:rowOff>
                  </to>
                </anchor>
              </controlPr>
            </control>
          </mc:Choice>
        </mc:AlternateContent>
        <mc:AlternateContent xmlns:mc="http://schemas.openxmlformats.org/markup-compatibility/2006">
          <mc:Choice Requires="x14">
            <control shapeId="144488" r:id="rId106" name="Option Button 104">
              <controlPr defaultSize="0" autoFill="0" autoLine="0" autoPict="0">
                <anchor moveWithCells="1">
                  <from>
                    <xdr:col>1</xdr:col>
                    <xdr:colOff>438150</xdr:colOff>
                    <xdr:row>109</xdr:row>
                    <xdr:rowOff>31750</xdr:rowOff>
                  </from>
                  <to>
                    <xdr:col>1</xdr:col>
                    <xdr:colOff>990600</xdr:colOff>
                    <xdr:row>109</xdr:row>
                    <xdr:rowOff>184150</xdr:rowOff>
                  </to>
                </anchor>
              </controlPr>
            </control>
          </mc:Choice>
        </mc:AlternateContent>
        <mc:AlternateContent xmlns:mc="http://schemas.openxmlformats.org/markup-compatibility/2006">
          <mc:Choice Requires="x14">
            <control shapeId="144489" r:id="rId107" name="Option Button 105">
              <controlPr defaultSize="0" autoFill="0" autoLine="0" autoPict="0">
                <anchor moveWithCells="1">
                  <from>
                    <xdr:col>1</xdr:col>
                    <xdr:colOff>438150</xdr:colOff>
                    <xdr:row>110</xdr:row>
                    <xdr:rowOff>31750</xdr:rowOff>
                  </from>
                  <to>
                    <xdr:col>1</xdr:col>
                    <xdr:colOff>990600</xdr:colOff>
                    <xdr:row>110</xdr:row>
                    <xdr:rowOff>184150</xdr:rowOff>
                  </to>
                </anchor>
              </controlPr>
            </control>
          </mc:Choice>
        </mc:AlternateContent>
        <mc:AlternateContent xmlns:mc="http://schemas.openxmlformats.org/markup-compatibility/2006">
          <mc:Choice Requires="x14">
            <control shapeId="144490" r:id="rId108" name="Option Button 106">
              <controlPr defaultSize="0" autoFill="0" autoLine="0" autoPict="0">
                <anchor moveWithCells="1">
                  <from>
                    <xdr:col>1</xdr:col>
                    <xdr:colOff>438150</xdr:colOff>
                    <xdr:row>111</xdr:row>
                    <xdr:rowOff>31750</xdr:rowOff>
                  </from>
                  <to>
                    <xdr:col>1</xdr:col>
                    <xdr:colOff>990600</xdr:colOff>
                    <xdr:row>111</xdr:row>
                    <xdr:rowOff>184150</xdr:rowOff>
                  </to>
                </anchor>
              </controlPr>
            </control>
          </mc:Choice>
        </mc:AlternateContent>
        <mc:AlternateContent xmlns:mc="http://schemas.openxmlformats.org/markup-compatibility/2006">
          <mc:Choice Requires="x14">
            <control shapeId="144491" r:id="rId109" name="Option Button 107">
              <controlPr defaultSize="0" autoFill="0" autoLine="0" autoPict="0">
                <anchor moveWithCells="1">
                  <from>
                    <xdr:col>1</xdr:col>
                    <xdr:colOff>438150</xdr:colOff>
                    <xdr:row>112</xdr:row>
                    <xdr:rowOff>31750</xdr:rowOff>
                  </from>
                  <to>
                    <xdr:col>1</xdr:col>
                    <xdr:colOff>990600</xdr:colOff>
                    <xdr:row>112</xdr:row>
                    <xdr:rowOff>184150</xdr:rowOff>
                  </to>
                </anchor>
              </controlPr>
            </control>
          </mc:Choice>
        </mc:AlternateContent>
        <mc:AlternateContent xmlns:mc="http://schemas.openxmlformats.org/markup-compatibility/2006">
          <mc:Choice Requires="x14">
            <control shapeId="144492" r:id="rId110" name="Option Button 108">
              <controlPr defaultSize="0" autoFill="0" autoLine="0" autoPict="0">
                <anchor moveWithCells="1">
                  <from>
                    <xdr:col>1</xdr:col>
                    <xdr:colOff>438150</xdr:colOff>
                    <xdr:row>113</xdr:row>
                    <xdr:rowOff>31750</xdr:rowOff>
                  </from>
                  <to>
                    <xdr:col>1</xdr:col>
                    <xdr:colOff>990600</xdr:colOff>
                    <xdr:row>113</xdr:row>
                    <xdr:rowOff>184150</xdr:rowOff>
                  </to>
                </anchor>
              </controlPr>
            </control>
          </mc:Choice>
        </mc:AlternateContent>
        <mc:AlternateContent xmlns:mc="http://schemas.openxmlformats.org/markup-compatibility/2006">
          <mc:Choice Requires="x14">
            <control shapeId="144493" r:id="rId111" name="Option Button 109">
              <controlPr defaultSize="0" autoFill="0" autoLine="0" autoPict="0">
                <anchor moveWithCells="1">
                  <from>
                    <xdr:col>1</xdr:col>
                    <xdr:colOff>438150</xdr:colOff>
                    <xdr:row>114</xdr:row>
                    <xdr:rowOff>31750</xdr:rowOff>
                  </from>
                  <to>
                    <xdr:col>1</xdr:col>
                    <xdr:colOff>990600</xdr:colOff>
                    <xdr:row>114</xdr:row>
                    <xdr:rowOff>184150</xdr:rowOff>
                  </to>
                </anchor>
              </controlPr>
            </control>
          </mc:Choice>
        </mc:AlternateContent>
        <mc:AlternateContent xmlns:mc="http://schemas.openxmlformats.org/markup-compatibility/2006">
          <mc:Choice Requires="x14">
            <control shapeId="144494" r:id="rId112" name="Option Button 110">
              <controlPr defaultSize="0" autoFill="0" autoLine="0" autoPict="0">
                <anchor moveWithCells="1">
                  <from>
                    <xdr:col>1</xdr:col>
                    <xdr:colOff>438150</xdr:colOff>
                    <xdr:row>115</xdr:row>
                    <xdr:rowOff>31750</xdr:rowOff>
                  </from>
                  <to>
                    <xdr:col>1</xdr:col>
                    <xdr:colOff>990600</xdr:colOff>
                    <xdr:row>115</xdr:row>
                    <xdr:rowOff>184150</xdr:rowOff>
                  </to>
                </anchor>
              </controlPr>
            </control>
          </mc:Choice>
        </mc:AlternateContent>
        <mc:AlternateContent xmlns:mc="http://schemas.openxmlformats.org/markup-compatibility/2006">
          <mc:Choice Requires="x14">
            <control shapeId="144495" r:id="rId113" name="Option Button 111">
              <controlPr defaultSize="0" autoFill="0" autoLine="0" autoPict="0">
                <anchor moveWithCells="1">
                  <from>
                    <xdr:col>1</xdr:col>
                    <xdr:colOff>438150</xdr:colOff>
                    <xdr:row>116</xdr:row>
                    <xdr:rowOff>31750</xdr:rowOff>
                  </from>
                  <to>
                    <xdr:col>1</xdr:col>
                    <xdr:colOff>990600</xdr:colOff>
                    <xdr:row>116</xdr:row>
                    <xdr:rowOff>184150</xdr:rowOff>
                  </to>
                </anchor>
              </controlPr>
            </control>
          </mc:Choice>
        </mc:AlternateContent>
        <mc:AlternateContent xmlns:mc="http://schemas.openxmlformats.org/markup-compatibility/2006">
          <mc:Choice Requires="x14">
            <control shapeId="144496" r:id="rId114" name="Option Button 112">
              <controlPr defaultSize="0" autoFill="0" autoLine="0" autoPict="0">
                <anchor moveWithCells="1">
                  <from>
                    <xdr:col>1</xdr:col>
                    <xdr:colOff>438150</xdr:colOff>
                    <xdr:row>117</xdr:row>
                    <xdr:rowOff>31750</xdr:rowOff>
                  </from>
                  <to>
                    <xdr:col>1</xdr:col>
                    <xdr:colOff>990600</xdr:colOff>
                    <xdr:row>117</xdr:row>
                    <xdr:rowOff>184150</xdr:rowOff>
                  </to>
                </anchor>
              </controlPr>
            </control>
          </mc:Choice>
        </mc:AlternateContent>
        <mc:AlternateContent xmlns:mc="http://schemas.openxmlformats.org/markup-compatibility/2006">
          <mc:Choice Requires="x14">
            <control shapeId="144497" r:id="rId115" name="Option Button 113">
              <controlPr defaultSize="0" autoFill="0" autoLine="0" autoPict="0">
                <anchor moveWithCells="1">
                  <from>
                    <xdr:col>1</xdr:col>
                    <xdr:colOff>438150</xdr:colOff>
                    <xdr:row>118</xdr:row>
                    <xdr:rowOff>31750</xdr:rowOff>
                  </from>
                  <to>
                    <xdr:col>1</xdr:col>
                    <xdr:colOff>990600</xdr:colOff>
                    <xdr:row>118</xdr:row>
                    <xdr:rowOff>184150</xdr:rowOff>
                  </to>
                </anchor>
              </controlPr>
            </control>
          </mc:Choice>
        </mc:AlternateContent>
        <mc:AlternateContent xmlns:mc="http://schemas.openxmlformats.org/markup-compatibility/2006">
          <mc:Choice Requires="x14">
            <control shapeId="144498" r:id="rId116" name="Option Button 114">
              <controlPr defaultSize="0" autoFill="0" autoLine="0" autoPict="0">
                <anchor moveWithCells="1">
                  <from>
                    <xdr:col>1</xdr:col>
                    <xdr:colOff>438150</xdr:colOff>
                    <xdr:row>119</xdr:row>
                    <xdr:rowOff>31750</xdr:rowOff>
                  </from>
                  <to>
                    <xdr:col>1</xdr:col>
                    <xdr:colOff>990600</xdr:colOff>
                    <xdr:row>119</xdr:row>
                    <xdr:rowOff>184150</xdr:rowOff>
                  </to>
                </anchor>
              </controlPr>
            </control>
          </mc:Choice>
        </mc:AlternateContent>
        <mc:AlternateContent xmlns:mc="http://schemas.openxmlformats.org/markup-compatibility/2006">
          <mc:Choice Requires="x14">
            <control shapeId="144499" r:id="rId117" name="Option Button 115">
              <controlPr defaultSize="0" autoFill="0" autoLine="0" autoPict="0">
                <anchor moveWithCells="1">
                  <from>
                    <xdr:col>1</xdr:col>
                    <xdr:colOff>438150</xdr:colOff>
                    <xdr:row>120</xdr:row>
                    <xdr:rowOff>31750</xdr:rowOff>
                  </from>
                  <to>
                    <xdr:col>1</xdr:col>
                    <xdr:colOff>990600</xdr:colOff>
                    <xdr:row>120</xdr:row>
                    <xdr:rowOff>184150</xdr:rowOff>
                  </to>
                </anchor>
              </controlPr>
            </control>
          </mc:Choice>
        </mc:AlternateContent>
        <mc:AlternateContent xmlns:mc="http://schemas.openxmlformats.org/markup-compatibility/2006">
          <mc:Choice Requires="x14">
            <control shapeId="144500" r:id="rId118" name="Option Button 116">
              <controlPr defaultSize="0" autoFill="0" autoLine="0" autoPict="0">
                <anchor moveWithCells="1">
                  <from>
                    <xdr:col>1</xdr:col>
                    <xdr:colOff>438150</xdr:colOff>
                    <xdr:row>121</xdr:row>
                    <xdr:rowOff>31750</xdr:rowOff>
                  </from>
                  <to>
                    <xdr:col>1</xdr:col>
                    <xdr:colOff>990600</xdr:colOff>
                    <xdr:row>121</xdr:row>
                    <xdr:rowOff>184150</xdr:rowOff>
                  </to>
                </anchor>
              </controlPr>
            </control>
          </mc:Choice>
        </mc:AlternateContent>
        <mc:AlternateContent xmlns:mc="http://schemas.openxmlformats.org/markup-compatibility/2006">
          <mc:Choice Requires="x14">
            <control shapeId="144501" r:id="rId119" name="Option Button 117">
              <controlPr defaultSize="0" autoFill="0" autoLine="0" autoPict="0">
                <anchor moveWithCells="1">
                  <from>
                    <xdr:col>1</xdr:col>
                    <xdr:colOff>438150</xdr:colOff>
                    <xdr:row>122</xdr:row>
                    <xdr:rowOff>31750</xdr:rowOff>
                  </from>
                  <to>
                    <xdr:col>1</xdr:col>
                    <xdr:colOff>990600</xdr:colOff>
                    <xdr:row>122</xdr:row>
                    <xdr:rowOff>184150</xdr:rowOff>
                  </to>
                </anchor>
              </controlPr>
            </control>
          </mc:Choice>
        </mc:AlternateContent>
        <mc:AlternateContent xmlns:mc="http://schemas.openxmlformats.org/markup-compatibility/2006">
          <mc:Choice Requires="x14">
            <control shapeId="144502" r:id="rId120" name="Option Button 118">
              <controlPr defaultSize="0" autoFill="0" autoLine="0" autoPict="0">
                <anchor moveWithCells="1">
                  <from>
                    <xdr:col>1</xdr:col>
                    <xdr:colOff>438150</xdr:colOff>
                    <xdr:row>123</xdr:row>
                    <xdr:rowOff>31750</xdr:rowOff>
                  </from>
                  <to>
                    <xdr:col>1</xdr:col>
                    <xdr:colOff>990600</xdr:colOff>
                    <xdr:row>123</xdr:row>
                    <xdr:rowOff>184150</xdr:rowOff>
                  </to>
                </anchor>
              </controlPr>
            </control>
          </mc:Choice>
        </mc:AlternateContent>
        <mc:AlternateContent xmlns:mc="http://schemas.openxmlformats.org/markup-compatibility/2006">
          <mc:Choice Requires="x14">
            <control shapeId="144503" r:id="rId121" name="Option Button 119">
              <controlPr defaultSize="0" autoFill="0" autoLine="0" autoPict="0">
                <anchor moveWithCells="1">
                  <from>
                    <xdr:col>1</xdr:col>
                    <xdr:colOff>438150</xdr:colOff>
                    <xdr:row>124</xdr:row>
                    <xdr:rowOff>31750</xdr:rowOff>
                  </from>
                  <to>
                    <xdr:col>1</xdr:col>
                    <xdr:colOff>990600</xdr:colOff>
                    <xdr:row>124</xdr:row>
                    <xdr:rowOff>184150</xdr:rowOff>
                  </to>
                </anchor>
              </controlPr>
            </control>
          </mc:Choice>
        </mc:AlternateContent>
        <mc:AlternateContent xmlns:mc="http://schemas.openxmlformats.org/markup-compatibility/2006">
          <mc:Choice Requires="x14">
            <control shapeId="144504" r:id="rId122" name="Option Button 120">
              <controlPr defaultSize="0" autoFill="0" autoLine="0" autoPict="0">
                <anchor moveWithCells="1">
                  <from>
                    <xdr:col>1</xdr:col>
                    <xdr:colOff>438150</xdr:colOff>
                    <xdr:row>125</xdr:row>
                    <xdr:rowOff>31750</xdr:rowOff>
                  </from>
                  <to>
                    <xdr:col>1</xdr:col>
                    <xdr:colOff>990600</xdr:colOff>
                    <xdr:row>125</xdr:row>
                    <xdr:rowOff>184150</xdr:rowOff>
                  </to>
                </anchor>
              </controlPr>
            </control>
          </mc:Choice>
        </mc:AlternateContent>
        <mc:AlternateContent xmlns:mc="http://schemas.openxmlformats.org/markup-compatibility/2006">
          <mc:Choice Requires="x14">
            <control shapeId="144505" r:id="rId123" name="Option Button 121">
              <controlPr defaultSize="0" autoFill="0" autoLine="0" autoPict="0">
                <anchor moveWithCells="1">
                  <from>
                    <xdr:col>1</xdr:col>
                    <xdr:colOff>438150</xdr:colOff>
                    <xdr:row>126</xdr:row>
                    <xdr:rowOff>31750</xdr:rowOff>
                  </from>
                  <to>
                    <xdr:col>1</xdr:col>
                    <xdr:colOff>990600</xdr:colOff>
                    <xdr:row>126</xdr:row>
                    <xdr:rowOff>184150</xdr:rowOff>
                  </to>
                </anchor>
              </controlPr>
            </control>
          </mc:Choice>
        </mc:AlternateContent>
        <mc:AlternateContent xmlns:mc="http://schemas.openxmlformats.org/markup-compatibility/2006">
          <mc:Choice Requires="x14">
            <control shapeId="144506" r:id="rId124" name="Option Button 122">
              <controlPr defaultSize="0" autoFill="0" autoLine="0" autoPict="0">
                <anchor moveWithCells="1">
                  <from>
                    <xdr:col>1</xdr:col>
                    <xdr:colOff>438150</xdr:colOff>
                    <xdr:row>127</xdr:row>
                    <xdr:rowOff>31750</xdr:rowOff>
                  </from>
                  <to>
                    <xdr:col>1</xdr:col>
                    <xdr:colOff>990600</xdr:colOff>
                    <xdr:row>127</xdr:row>
                    <xdr:rowOff>184150</xdr:rowOff>
                  </to>
                </anchor>
              </controlPr>
            </control>
          </mc:Choice>
        </mc:AlternateContent>
        <mc:AlternateContent xmlns:mc="http://schemas.openxmlformats.org/markup-compatibility/2006">
          <mc:Choice Requires="x14">
            <control shapeId="144507" r:id="rId125" name="Option Button 123">
              <controlPr defaultSize="0" autoFill="0" autoLine="0" autoPict="0">
                <anchor moveWithCells="1">
                  <from>
                    <xdr:col>1</xdr:col>
                    <xdr:colOff>438150</xdr:colOff>
                    <xdr:row>128</xdr:row>
                    <xdr:rowOff>31750</xdr:rowOff>
                  </from>
                  <to>
                    <xdr:col>1</xdr:col>
                    <xdr:colOff>990600</xdr:colOff>
                    <xdr:row>128</xdr:row>
                    <xdr:rowOff>184150</xdr:rowOff>
                  </to>
                </anchor>
              </controlPr>
            </control>
          </mc:Choice>
        </mc:AlternateContent>
        <mc:AlternateContent xmlns:mc="http://schemas.openxmlformats.org/markup-compatibility/2006">
          <mc:Choice Requires="x14">
            <control shapeId="144508" r:id="rId126" name="Option Button 124">
              <controlPr defaultSize="0" autoFill="0" autoLine="0" autoPict="0">
                <anchor moveWithCells="1">
                  <from>
                    <xdr:col>1</xdr:col>
                    <xdr:colOff>438150</xdr:colOff>
                    <xdr:row>129</xdr:row>
                    <xdr:rowOff>31750</xdr:rowOff>
                  </from>
                  <to>
                    <xdr:col>1</xdr:col>
                    <xdr:colOff>990600</xdr:colOff>
                    <xdr:row>129</xdr:row>
                    <xdr:rowOff>184150</xdr:rowOff>
                  </to>
                </anchor>
              </controlPr>
            </control>
          </mc:Choice>
        </mc:AlternateContent>
        <mc:AlternateContent xmlns:mc="http://schemas.openxmlformats.org/markup-compatibility/2006">
          <mc:Choice Requires="x14">
            <control shapeId="144509" r:id="rId127" name="Option Button 125">
              <controlPr defaultSize="0" autoFill="0" autoLine="0" autoPict="0">
                <anchor moveWithCells="1">
                  <from>
                    <xdr:col>1</xdr:col>
                    <xdr:colOff>438150</xdr:colOff>
                    <xdr:row>130</xdr:row>
                    <xdr:rowOff>31750</xdr:rowOff>
                  </from>
                  <to>
                    <xdr:col>1</xdr:col>
                    <xdr:colOff>990600</xdr:colOff>
                    <xdr:row>130</xdr:row>
                    <xdr:rowOff>184150</xdr:rowOff>
                  </to>
                </anchor>
              </controlPr>
            </control>
          </mc:Choice>
        </mc:AlternateContent>
        <mc:AlternateContent xmlns:mc="http://schemas.openxmlformats.org/markup-compatibility/2006">
          <mc:Choice Requires="x14">
            <control shapeId="144510" r:id="rId128" name="Option Button 126">
              <controlPr defaultSize="0" autoFill="0" autoLine="0" autoPict="0">
                <anchor moveWithCells="1">
                  <from>
                    <xdr:col>1</xdr:col>
                    <xdr:colOff>438150</xdr:colOff>
                    <xdr:row>131</xdr:row>
                    <xdr:rowOff>31750</xdr:rowOff>
                  </from>
                  <to>
                    <xdr:col>1</xdr:col>
                    <xdr:colOff>990600</xdr:colOff>
                    <xdr:row>131</xdr:row>
                    <xdr:rowOff>184150</xdr:rowOff>
                  </to>
                </anchor>
              </controlPr>
            </control>
          </mc:Choice>
        </mc:AlternateContent>
        <mc:AlternateContent xmlns:mc="http://schemas.openxmlformats.org/markup-compatibility/2006">
          <mc:Choice Requires="x14">
            <control shapeId="144511" r:id="rId129" name="Option Button 127">
              <controlPr defaultSize="0" autoFill="0" autoLine="0" autoPict="0">
                <anchor moveWithCells="1">
                  <from>
                    <xdr:col>1</xdr:col>
                    <xdr:colOff>438150</xdr:colOff>
                    <xdr:row>132</xdr:row>
                    <xdr:rowOff>31750</xdr:rowOff>
                  </from>
                  <to>
                    <xdr:col>1</xdr:col>
                    <xdr:colOff>990600</xdr:colOff>
                    <xdr:row>132</xdr:row>
                    <xdr:rowOff>184150</xdr:rowOff>
                  </to>
                </anchor>
              </controlPr>
            </control>
          </mc:Choice>
        </mc:AlternateContent>
        <mc:AlternateContent xmlns:mc="http://schemas.openxmlformats.org/markup-compatibility/2006">
          <mc:Choice Requires="x14">
            <control shapeId="144512" r:id="rId130" name="Option Button 128">
              <controlPr defaultSize="0" autoFill="0" autoLine="0" autoPict="0">
                <anchor moveWithCells="1">
                  <from>
                    <xdr:col>1</xdr:col>
                    <xdr:colOff>438150</xdr:colOff>
                    <xdr:row>133</xdr:row>
                    <xdr:rowOff>31750</xdr:rowOff>
                  </from>
                  <to>
                    <xdr:col>1</xdr:col>
                    <xdr:colOff>990600</xdr:colOff>
                    <xdr:row>133</xdr:row>
                    <xdr:rowOff>184150</xdr:rowOff>
                  </to>
                </anchor>
              </controlPr>
            </control>
          </mc:Choice>
        </mc:AlternateContent>
        <mc:AlternateContent xmlns:mc="http://schemas.openxmlformats.org/markup-compatibility/2006">
          <mc:Choice Requires="x14">
            <control shapeId="144513" r:id="rId131" name="Option Button 129">
              <controlPr defaultSize="0" autoFill="0" autoLine="0" autoPict="0">
                <anchor moveWithCells="1">
                  <from>
                    <xdr:col>1</xdr:col>
                    <xdr:colOff>438150</xdr:colOff>
                    <xdr:row>134</xdr:row>
                    <xdr:rowOff>31750</xdr:rowOff>
                  </from>
                  <to>
                    <xdr:col>1</xdr:col>
                    <xdr:colOff>990600</xdr:colOff>
                    <xdr:row>134</xdr:row>
                    <xdr:rowOff>184150</xdr:rowOff>
                  </to>
                </anchor>
              </controlPr>
            </control>
          </mc:Choice>
        </mc:AlternateContent>
        <mc:AlternateContent xmlns:mc="http://schemas.openxmlformats.org/markup-compatibility/2006">
          <mc:Choice Requires="x14">
            <control shapeId="144514" r:id="rId132" name="Option Button 130">
              <controlPr defaultSize="0" autoFill="0" autoLine="0" autoPict="0">
                <anchor moveWithCells="1">
                  <from>
                    <xdr:col>1</xdr:col>
                    <xdr:colOff>438150</xdr:colOff>
                    <xdr:row>135</xdr:row>
                    <xdr:rowOff>31750</xdr:rowOff>
                  </from>
                  <to>
                    <xdr:col>1</xdr:col>
                    <xdr:colOff>990600</xdr:colOff>
                    <xdr:row>135</xdr:row>
                    <xdr:rowOff>184150</xdr:rowOff>
                  </to>
                </anchor>
              </controlPr>
            </control>
          </mc:Choice>
        </mc:AlternateContent>
        <mc:AlternateContent xmlns:mc="http://schemas.openxmlformats.org/markup-compatibility/2006">
          <mc:Choice Requires="x14">
            <control shapeId="144515" r:id="rId133" name="Option Button 131">
              <controlPr defaultSize="0" autoFill="0" autoLine="0" autoPict="0">
                <anchor moveWithCells="1">
                  <from>
                    <xdr:col>1</xdr:col>
                    <xdr:colOff>438150</xdr:colOff>
                    <xdr:row>136</xdr:row>
                    <xdr:rowOff>31750</xdr:rowOff>
                  </from>
                  <to>
                    <xdr:col>1</xdr:col>
                    <xdr:colOff>990600</xdr:colOff>
                    <xdr:row>136</xdr:row>
                    <xdr:rowOff>184150</xdr:rowOff>
                  </to>
                </anchor>
              </controlPr>
            </control>
          </mc:Choice>
        </mc:AlternateContent>
        <mc:AlternateContent xmlns:mc="http://schemas.openxmlformats.org/markup-compatibility/2006">
          <mc:Choice Requires="x14">
            <control shapeId="144516" r:id="rId134" name="Option Button 132">
              <controlPr defaultSize="0" autoFill="0" autoLine="0" autoPict="0">
                <anchor moveWithCells="1">
                  <from>
                    <xdr:col>1</xdr:col>
                    <xdr:colOff>438150</xdr:colOff>
                    <xdr:row>137</xdr:row>
                    <xdr:rowOff>31750</xdr:rowOff>
                  </from>
                  <to>
                    <xdr:col>1</xdr:col>
                    <xdr:colOff>990600</xdr:colOff>
                    <xdr:row>137</xdr:row>
                    <xdr:rowOff>184150</xdr:rowOff>
                  </to>
                </anchor>
              </controlPr>
            </control>
          </mc:Choice>
        </mc:AlternateContent>
        <mc:AlternateContent xmlns:mc="http://schemas.openxmlformats.org/markup-compatibility/2006">
          <mc:Choice Requires="x14">
            <control shapeId="144517" r:id="rId135" name="Option Button 133">
              <controlPr defaultSize="0" autoFill="0" autoLine="0" autoPict="0">
                <anchor moveWithCells="1">
                  <from>
                    <xdr:col>1</xdr:col>
                    <xdr:colOff>438150</xdr:colOff>
                    <xdr:row>138</xdr:row>
                    <xdr:rowOff>31750</xdr:rowOff>
                  </from>
                  <to>
                    <xdr:col>1</xdr:col>
                    <xdr:colOff>990600</xdr:colOff>
                    <xdr:row>138</xdr:row>
                    <xdr:rowOff>184150</xdr:rowOff>
                  </to>
                </anchor>
              </controlPr>
            </control>
          </mc:Choice>
        </mc:AlternateContent>
        <mc:AlternateContent xmlns:mc="http://schemas.openxmlformats.org/markup-compatibility/2006">
          <mc:Choice Requires="x14">
            <control shapeId="144518" r:id="rId136" name="Option Button 134">
              <controlPr defaultSize="0" autoFill="0" autoLine="0" autoPict="0">
                <anchor moveWithCells="1">
                  <from>
                    <xdr:col>1</xdr:col>
                    <xdr:colOff>438150</xdr:colOff>
                    <xdr:row>139</xdr:row>
                    <xdr:rowOff>31750</xdr:rowOff>
                  </from>
                  <to>
                    <xdr:col>1</xdr:col>
                    <xdr:colOff>990600</xdr:colOff>
                    <xdr:row>139</xdr:row>
                    <xdr:rowOff>184150</xdr:rowOff>
                  </to>
                </anchor>
              </controlPr>
            </control>
          </mc:Choice>
        </mc:AlternateContent>
        <mc:AlternateContent xmlns:mc="http://schemas.openxmlformats.org/markup-compatibility/2006">
          <mc:Choice Requires="x14">
            <control shapeId="144519" r:id="rId137" name="Option Button 135">
              <controlPr defaultSize="0" autoFill="0" autoLine="0" autoPict="0">
                <anchor moveWithCells="1">
                  <from>
                    <xdr:col>1</xdr:col>
                    <xdr:colOff>438150</xdr:colOff>
                    <xdr:row>140</xdr:row>
                    <xdr:rowOff>31750</xdr:rowOff>
                  </from>
                  <to>
                    <xdr:col>1</xdr:col>
                    <xdr:colOff>990600</xdr:colOff>
                    <xdr:row>140</xdr:row>
                    <xdr:rowOff>184150</xdr:rowOff>
                  </to>
                </anchor>
              </controlPr>
            </control>
          </mc:Choice>
        </mc:AlternateContent>
        <mc:AlternateContent xmlns:mc="http://schemas.openxmlformats.org/markup-compatibility/2006">
          <mc:Choice Requires="x14">
            <control shapeId="144520" r:id="rId138" name="Option Button 136">
              <controlPr defaultSize="0" autoFill="0" autoLine="0" autoPict="0">
                <anchor moveWithCells="1">
                  <from>
                    <xdr:col>1</xdr:col>
                    <xdr:colOff>438150</xdr:colOff>
                    <xdr:row>141</xdr:row>
                    <xdr:rowOff>31750</xdr:rowOff>
                  </from>
                  <to>
                    <xdr:col>1</xdr:col>
                    <xdr:colOff>990600</xdr:colOff>
                    <xdr:row>141</xdr:row>
                    <xdr:rowOff>184150</xdr:rowOff>
                  </to>
                </anchor>
              </controlPr>
            </control>
          </mc:Choice>
        </mc:AlternateContent>
        <mc:AlternateContent xmlns:mc="http://schemas.openxmlformats.org/markup-compatibility/2006">
          <mc:Choice Requires="x14">
            <control shapeId="144521" r:id="rId139" name="Option Button 137">
              <controlPr defaultSize="0" autoFill="0" autoLine="0" autoPict="0">
                <anchor moveWithCells="1">
                  <from>
                    <xdr:col>1</xdr:col>
                    <xdr:colOff>438150</xdr:colOff>
                    <xdr:row>142</xdr:row>
                    <xdr:rowOff>31750</xdr:rowOff>
                  </from>
                  <to>
                    <xdr:col>1</xdr:col>
                    <xdr:colOff>990600</xdr:colOff>
                    <xdr:row>142</xdr:row>
                    <xdr:rowOff>184150</xdr:rowOff>
                  </to>
                </anchor>
              </controlPr>
            </control>
          </mc:Choice>
        </mc:AlternateContent>
        <mc:AlternateContent xmlns:mc="http://schemas.openxmlformats.org/markup-compatibility/2006">
          <mc:Choice Requires="x14">
            <control shapeId="144522" r:id="rId140" name="Option Button 138">
              <controlPr defaultSize="0" autoFill="0" autoLine="0" autoPict="0">
                <anchor moveWithCells="1">
                  <from>
                    <xdr:col>1</xdr:col>
                    <xdr:colOff>438150</xdr:colOff>
                    <xdr:row>143</xdr:row>
                    <xdr:rowOff>31750</xdr:rowOff>
                  </from>
                  <to>
                    <xdr:col>1</xdr:col>
                    <xdr:colOff>990600</xdr:colOff>
                    <xdr:row>143</xdr:row>
                    <xdr:rowOff>184150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9"/>
  <sheetViews>
    <sheetView showGridLines="0" zoomScale="85" zoomScaleNormal="85" workbookViewId="0"/>
  </sheetViews>
  <sheetFormatPr defaultColWidth="9" defaultRowHeight="16"/>
  <cols>
    <col min="1" max="1" width="2.36328125" style="364" customWidth="1"/>
    <col min="2" max="6" width="9" style="364"/>
    <col min="7" max="8" width="9" style="364" customWidth="1"/>
    <col min="9" max="9" width="9" style="364"/>
    <col min="10" max="10" width="12.6328125" style="364" customWidth="1"/>
    <col min="11" max="15" width="9" style="364"/>
    <col min="16" max="16" width="12.6328125" style="364" customWidth="1"/>
    <col min="17" max="17" width="2.36328125" style="364" customWidth="1"/>
    <col min="18" max="16384" width="9" style="364"/>
  </cols>
  <sheetData>
    <row r="1" spans="1:17" ht="16.5" thickTop="1">
      <c r="A1" s="362"/>
      <c r="B1" s="2869" t="s">
        <v>5570</v>
      </c>
      <c r="C1" s="2869"/>
      <c r="D1" s="2869"/>
      <c r="E1" s="2869"/>
      <c r="F1" s="2869"/>
      <c r="G1" s="2869"/>
      <c r="H1" s="2869"/>
      <c r="I1" s="2869"/>
      <c r="J1" s="2869"/>
      <c r="K1" s="2869"/>
      <c r="L1" s="2869"/>
      <c r="M1" s="2869"/>
      <c r="N1" s="2869"/>
      <c r="O1" s="2869"/>
      <c r="P1" s="2869"/>
      <c r="Q1" s="363"/>
    </row>
    <row r="2" spans="1:17">
      <c r="A2" s="365"/>
      <c r="B2" s="2870"/>
      <c r="C2" s="2870"/>
      <c r="D2" s="2870"/>
      <c r="E2" s="2870"/>
      <c r="F2" s="2870"/>
      <c r="G2" s="2870"/>
      <c r="H2" s="2870"/>
      <c r="I2" s="2870"/>
      <c r="J2" s="2870"/>
      <c r="K2" s="2870"/>
      <c r="L2" s="2870"/>
      <c r="M2" s="2870"/>
      <c r="N2" s="2870"/>
      <c r="O2" s="2870"/>
      <c r="P2" s="2870"/>
      <c r="Q2" s="366"/>
    </row>
    <row r="3" spans="1:17" ht="22">
      <c r="A3" s="365"/>
      <c r="B3" s="367" t="s">
        <v>1012</v>
      </c>
      <c r="C3" s="367"/>
      <c r="D3" s="368"/>
      <c r="E3" s="369"/>
      <c r="F3" s="370"/>
      <c r="G3" s="370"/>
      <c r="H3" s="370"/>
      <c r="I3" s="370"/>
      <c r="J3" s="368"/>
      <c r="K3" s="368"/>
      <c r="L3" s="368"/>
      <c r="M3" s="368"/>
      <c r="N3" s="368"/>
      <c r="O3" s="368"/>
      <c r="P3" s="368"/>
      <c r="Q3" s="366"/>
    </row>
    <row r="4" spans="1:17">
      <c r="A4" s="365"/>
      <c r="B4" s="368"/>
      <c r="C4" s="368"/>
      <c r="D4" s="368"/>
      <c r="E4" s="368"/>
      <c r="F4" s="368"/>
      <c r="G4" s="368"/>
      <c r="H4" s="368"/>
      <c r="I4" s="368"/>
      <c r="J4" s="368"/>
      <c r="K4" s="368"/>
      <c r="L4" s="368"/>
      <c r="M4" s="368"/>
      <c r="N4" s="368"/>
      <c r="O4" s="368"/>
      <c r="P4" s="368"/>
      <c r="Q4" s="366"/>
    </row>
    <row r="5" spans="1:17" ht="16.5" thickBot="1">
      <c r="A5" s="365"/>
      <c r="B5" s="368" t="s">
        <v>1013</v>
      </c>
      <c r="C5" s="368"/>
      <c r="D5" s="368"/>
      <c r="E5" s="368"/>
      <c r="F5" s="368"/>
      <c r="G5" s="368"/>
      <c r="H5" s="368"/>
      <c r="I5" s="368"/>
      <c r="J5" s="368"/>
      <c r="K5" s="368"/>
      <c r="L5" s="368"/>
      <c r="M5" s="368"/>
      <c r="N5" s="368"/>
      <c r="O5" s="368"/>
      <c r="P5" s="368"/>
      <c r="Q5" s="366"/>
    </row>
    <row r="6" spans="1:17" ht="16.5" thickTop="1">
      <c r="A6" s="371"/>
      <c r="B6" s="2871"/>
      <c r="C6" s="2872"/>
      <c r="D6" s="2873"/>
      <c r="E6" s="2871" t="s">
        <v>1014</v>
      </c>
      <c r="F6" s="2872"/>
      <c r="G6" s="2872"/>
      <c r="H6" s="2872"/>
      <c r="I6" s="2872"/>
      <c r="J6" s="2873"/>
      <c r="K6" s="2871" t="s">
        <v>1015</v>
      </c>
      <c r="L6" s="2872"/>
      <c r="M6" s="2872"/>
      <c r="N6" s="2872"/>
      <c r="O6" s="2872"/>
      <c r="P6" s="2873"/>
      <c r="Q6" s="372"/>
    </row>
    <row r="7" spans="1:17">
      <c r="A7" s="371"/>
      <c r="B7" s="2874"/>
      <c r="C7" s="2875"/>
      <c r="D7" s="2876"/>
      <c r="E7" s="2874"/>
      <c r="F7" s="2875"/>
      <c r="G7" s="2875"/>
      <c r="H7" s="2875"/>
      <c r="I7" s="2875"/>
      <c r="J7" s="2876"/>
      <c r="K7" s="2877"/>
      <c r="L7" s="2878"/>
      <c r="M7" s="2878"/>
      <c r="N7" s="2878"/>
      <c r="O7" s="2878"/>
      <c r="P7" s="2879"/>
      <c r="Q7" s="372"/>
    </row>
    <row r="8" spans="1:17">
      <c r="A8" s="371"/>
      <c r="B8" s="2880" t="s">
        <v>1016</v>
      </c>
      <c r="C8" s="2881"/>
      <c r="D8" s="2882"/>
      <c r="E8" s="373" t="s">
        <v>1017</v>
      </c>
      <c r="F8" s="1342"/>
      <c r="G8" s="1342"/>
      <c r="H8" s="1342"/>
      <c r="I8" s="1342"/>
      <c r="J8" s="374"/>
      <c r="K8" s="375" t="s">
        <v>1018</v>
      </c>
      <c r="L8" s="1343"/>
      <c r="M8" s="1343"/>
      <c r="N8" s="1343"/>
      <c r="O8" s="1343"/>
      <c r="P8" s="376"/>
      <c r="Q8" s="366"/>
    </row>
    <row r="9" spans="1:17">
      <c r="A9" s="371"/>
      <c r="B9" s="2883"/>
      <c r="C9" s="2884"/>
      <c r="D9" s="2885"/>
      <c r="E9" s="377" t="s">
        <v>1019</v>
      </c>
      <c r="F9" s="378"/>
      <c r="G9" s="378"/>
      <c r="H9" s="378"/>
      <c r="I9" s="378"/>
      <c r="J9" s="379"/>
      <c r="K9" s="380" t="s">
        <v>4078</v>
      </c>
      <c r="L9" s="381"/>
      <c r="M9" s="381"/>
      <c r="N9" s="381"/>
      <c r="O9" s="381"/>
      <c r="P9" s="382"/>
      <c r="Q9" s="366"/>
    </row>
    <row r="10" spans="1:17">
      <c r="A10" s="371"/>
      <c r="B10" s="2883"/>
      <c r="C10" s="2884"/>
      <c r="D10" s="2885"/>
      <c r="E10" s="377" t="s">
        <v>1020</v>
      </c>
      <c r="F10" s="378"/>
      <c r="G10" s="378"/>
      <c r="H10" s="378"/>
      <c r="I10" s="378"/>
      <c r="J10" s="379"/>
      <c r="K10" s="380" t="s">
        <v>4079</v>
      </c>
      <c r="L10" s="381"/>
      <c r="M10" s="381"/>
      <c r="N10" s="381"/>
      <c r="O10" s="381"/>
      <c r="P10" s="382"/>
      <c r="Q10" s="366"/>
    </row>
    <row r="11" spans="1:17">
      <c r="A11" s="371"/>
      <c r="B11" s="2883"/>
      <c r="C11" s="2884"/>
      <c r="D11" s="2885"/>
      <c r="E11" s="377"/>
      <c r="F11" s="378"/>
      <c r="G11" s="378"/>
      <c r="H11" s="378"/>
      <c r="I11" s="378"/>
      <c r="J11" s="379"/>
      <c r="K11" s="380" t="s">
        <v>4080</v>
      </c>
      <c r="L11" s="381"/>
      <c r="M11" s="381"/>
      <c r="N11" s="381"/>
      <c r="O11" s="381"/>
      <c r="P11" s="382"/>
      <c r="Q11" s="366"/>
    </row>
    <row r="12" spans="1:17">
      <c r="A12" s="371"/>
      <c r="B12" s="2883"/>
      <c r="C12" s="2884"/>
      <c r="D12" s="2885"/>
      <c r="E12" s="377"/>
      <c r="F12" s="378"/>
      <c r="G12" s="378"/>
      <c r="H12" s="378"/>
      <c r="I12" s="378"/>
      <c r="J12" s="379"/>
      <c r="K12" s="380" t="s">
        <v>4081</v>
      </c>
      <c r="L12" s="384"/>
      <c r="M12" s="381"/>
      <c r="N12" s="381"/>
      <c r="O12" s="381"/>
      <c r="P12" s="382"/>
      <c r="Q12" s="366"/>
    </row>
    <row r="13" spans="1:17">
      <c r="A13" s="371"/>
      <c r="B13" s="2883"/>
      <c r="C13" s="2884"/>
      <c r="D13" s="2885"/>
      <c r="E13" s="377"/>
      <c r="F13" s="378"/>
      <c r="G13" s="378"/>
      <c r="H13" s="378"/>
      <c r="I13" s="378"/>
      <c r="J13" s="379"/>
      <c r="K13" s="380" t="s">
        <v>4082</v>
      </c>
      <c r="L13" s="381"/>
      <c r="M13" s="381"/>
      <c r="N13" s="381"/>
      <c r="O13" s="381"/>
      <c r="P13" s="382"/>
      <c r="Q13" s="366"/>
    </row>
    <row r="14" spans="1:17">
      <c r="A14" s="371"/>
      <c r="B14" s="2883"/>
      <c r="C14" s="2884"/>
      <c r="D14" s="2885"/>
      <c r="E14" s="377"/>
      <c r="F14" s="378"/>
      <c r="G14" s="378"/>
      <c r="H14" s="378"/>
      <c r="I14" s="378"/>
      <c r="J14" s="379"/>
      <c r="K14" s="380"/>
      <c r="L14" s="381"/>
      <c r="M14" s="381"/>
      <c r="N14" s="381"/>
      <c r="O14" s="381"/>
      <c r="P14" s="382"/>
      <c r="Q14" s="366"/>
    </row>
    <row r="15" spans="1:17">
      <c r="A15" s="371"/>
      <c r="B15" s="2883"/>
      <c r="C15" s="2884"/>
      <c r="D15" s="2885"/>
      <c r="E15" s="377"/>
      <c r="F15" s="378"/>
      <c r="G15" s="378"/>
      <c r="H15" s="378"/>
      <c r="I15" s="378"/>
      <c r="J15" s="379"/>
      <c r="K15" s="383" t="s">
        <v>1021</v>
      </c>
      <c r="L15" s="381"/>
      <c r="M15" s="381"/>
      <c r="N15" s="381"/>
      <c r="O15" s="381"/>
      <c r="P15" s="382"/>
      <c r="Q15" s="366"/>
    </row>
    <row r="16" spans="1:17">
      <c r="A16" s="371"/>
      <c r="B16" s="2883"/>
      <c r="C16" s="2884"/>
      <c r="D16" s="2885"/>
      <c r="E16" s="377"/>
      <c r="F16" s="378"/>
      <c r="G16" s="378"/>
      <c r="H16" s="378"/>
      <c r="I16" s="378"/>
      <c r="J16" s="379"/>
      <c r="K16" s="383" t="s">
        <v>1022</v>
      </c>
      <c r="L16" s="381"/>
      <c r="M16" s="381"/>
      <c r="N16" s="381"/>
      <c r="O16" s="381"/>
      <c r="P16" s="382"/>
      <c r="Q16" s="366"/>
    </row>
    <row r="17" spans="1:17">
      <c r="A17" s="371"/>
      <c r="B17" s="2883"/>
      <c r="C17" s="2884"/>
      <c r="D17" s="2885"/>
      <c r="E17" s="377"/>
      <c r="F17" s="378"/>
      <c r="G17" s="378"/>
      <c r="H17" s="378"/>
      <c r="I17" s="378"/>
      <c r="J17" s="379"/>
      <c r="K17" s="383" t="s">
        <v>1023</v>
      </c>
      <c r="L17" s="381"/>
      <c r="M17" s="381"/>
      <c r="N17" s="381"/>
      <c r="O17" s="381"/>
      <c r="P17" s="382"/>
      <c r="Q17" s="366"/>
    </row>
    <row r="18" spans="1:17">
      <c r="A18" s="371"/>
      <c r="B18" s="2883"/>
      <c r="C18" s="2884"/>
      <c r="D18" s="2885"/>
      <c r="E18" s="377"/>
      <c r="F18" s="378"/>
      <c r="G18" s="378"/>
      <c r="H18" s="378"/>
      <c r="I18" s="378"/>
      <c r="J18" s="379"/>
      <c r="K18" s="383" t="s">
        <v>1024</v>
      </c>
      <c r="L18" s="381"/>
      <c r="M18" s="381"/>
      <c r="N18" s="381"/>
      <c r="O18" s="381"/>
      <c r="P18" s="382"/>
      <c r="Q18" s="366"/>
    </row>
    <row r="19" spans="1:17" ht="16.5" thickBot="1">
      <c r="A19" s="371"/>
      <c r="B19" s="2886"/>
      <c r="C19" s="2887"/>
      <c r="D19" s="2888"/>
      <c r="E19" s="385"/>
      <c r="F19" s="386"/>
      <c r="G19" s="386"/>
      <c r="H19" s="386"/>
      <c r="I19" s="386"/>
      <c r="J19" s="387"/>
      <c r="K19" s="388" t="s">
        <v>1025</v>
      </c>
      <c r="L19" s="389"/>
      <c r="M19" s="389"/>
      <c r="N19" s="389"/>
      <c r="O19" s="389"/>
      <c r="P19" s="390"/>
      <c r="Q19" s="366"/>
    </row>
    <row r="20" spans="1:17" ht="16.5" thickTop="1">
      <c r="A20" s="365"/>
      <c r="B20" s="368"/>
      <c r="C20" s="368"/>
      <c r="D20" s="368"/>
      <c r="E20" s="368"/>
      <c r="F20" s="368"/>
      <c r="G20" s="368"/>
      <c r="H20" s="368"/>
      <c r="I20" s="368"/>
      <c r="J20" s="368"/>
      <c r="K20" s="368"/>
      <c r="L20" s="368"/>
      <c r="M20" s="368"/>
      <c r="N20" s="368"/>
      <c r="O20" s="368"/>
      <c r="P20" s="368"/>
      <c r="Q20" s="366"/>
    </row>
    <row r="21" spans="1:17" ht="22">
      <c r="A21" s="365"/>
      <c r="B21" s="367" t="s">
        <v>1026</v>
      </c>
      <c r="C21" s="367"/>
      <c r="D21" s="368"/>
      <c r="E21" s="369"/>
      <c r="F21" s="370"/>
      <c r="G21" s="370"/>
      <c r="H21" s="370"/>
      <c r="I21" s="370"/>
      <c r="J21" s="368"/>
      <c r="K21" s="368"/>
      <c r="L21" s="368"/>
      <c r="M21" s="368"/>
      <c r="N21" s="368"/>
      <c r="O21" s="368"/>
      <c r="P21" s="368"/>
      <c r="Q21" s="366"/>
    </row>
    <row r="22" spans="1:17">
      <c r="A22" s="365"/>
      <c r="B22" s="368"/>
      <c r="C22" s="368"/>
      <c r="D22" s="368"/>
      <c r="E22" s="368"/>
      <c r="F22" s="368"/>
      <c r="G22" s="368"/>
      <c r="H22" s="368"/>
      <c r="I22" s="368"/>
      <c r="J22" s="368"/>
      <c r="K22" s="368"/>
      <c r="L22" s="368"/>
      <c r="M22" s="368"/>
      <c r="N22" s="368"/>
      <c r="O22" s="368"/>
      <c r="P22" s="368"/>
      <c r="Q22" s="366"/>
    </row>
    <row r="23" spans="1:17" ht="16.5" thickBot="1">
      <c r="A23" s="365"/>
      <c r="B23" s="368" t="s">
        <v>1027</v>
      </c>
      <c r="C23" s="368"/>
      <c r="D23" s="368"/>
      <c r="E23" s="368"/>
      <c r="F23" s="368"/>
      <c r="G23" s="368"/>
      <c r="H23" s="368"/>
      <c r="I23" s="368"/>
      <c r="J23" s="368"/>
      <c r="K23" s="368"/>
      <c r="L23" s="368"/>
      <c r="M23" s="368"/>
      <c r="N23" s="368"/>
      <c r="O23" s="368"/>
      <c r="P23" s="368"/>
      <c r="Q23" s="366"/>
    </row>
    <row r="24" spans="1:17" ht="16.5" thickTop="1">
      <c r="A24" s="371"/>
      <c r="B24" s="2859" t="s">
        <v>1028</v>
      </c>
      <c r="C24" s="2860"/>
      <c r="D24" s="2861"/>
      <c r="E24" s="2861" t="s">
        <v>1029</v>
      </c>
      <c r="F24" s="2861"/>
      <c r="G24" s="2861"/>
      <c r="H24" s="2861"/>
      <c r="I24" s="2861"/>
      <c r="J24" s="2861"/>
      <c r="K24" s="2861" t="s">
        <v>1030</v>
      </c>
      <c r="L24" s="2861"/>
      <c r="M24" s="2861"/>
      <c r="N24" s="2861"/>
      <c r="O24" s="2865"/>
      <c r="P24" s="2866"/>
      <c r="Q24" s="366"/>
    </row>
    <row r="25" spans="1:17">
      <c r="A25" s="371"/>
      <c r="B25" s="2862"/>
      <c r="C25" s="2863"/>
      <c r="D25" s="2864"/>
      <c r="E25" s="2864"/>
      <c r="F25" s="2864"/>
      <c r="G25" s="2864"/>
      <c r="H25" s="2864"/>
      <c r="I25" s="2864"/>
      <c r="J25" s="2864"/>
      <c r="K25" s="2864"/>
      <c r="L25" s="2864"/>
      <c r="M25" s="2864"/>
      <c r="N25" s="2864"/>
      <c r="O25" s="2867"/>
      <c r="P25" s="2868"/>
      <c r="Q25" s="366"/>
    </row>
    <row r="26" spans="1:17">
      <c r="A26" s="371"/>
      <c r="B26" s="2889" t="s">
        <v>874</v>
      </c>
      <c r="C26" s="2890"/>
      <c r="D26" s="2891"/>
      <c r="E26" s="2892" t="s">
        <v>1031</v>
      </c>
      <c r="F26" s="2892"/>
      <c r="G26" s="2892"/>
      <c r="H26" s="2892"/>
      <c r="I26" s="2892"/>
      <c r="J26" s="2893"/>
      <c r="K26" s="2893" t="s">
        <v>1032</v>
      </c>
      <c r="L26" s="2893"/>
      <c r="M26" s="2893"/>
      <c r="N26" s="2893"/>
      <c r="O26" s="2894"/>
      <c r="P26" s="2895"/>
      <c r="Q26" s="366"/>
    </row>
    <row r="27" spans="1:17">
      <c r="A27" s="371"/>
      <c r="B27" s="2889"/>
      <c r="C27" s="2890"/>
      <c r="D27" s="2891"/>
      <c r="E27" s="2893"/>
      <c r="F27" s="2893"/>
      <c r="G27" s="2893"/>
      <c r="H27" s="2893"/>
      <c r="I27" s="2893"/>
      <c r="J27" s="2893"/>
      <c r="K27" s="2893"/>
      <c r="L27" s="2893"/>
      <c r="M27" s="2893"/>
      <c r="N27" s="2893"/>
      <c r="O27" s="2894"/>
      <c r="P27" s="2895"/>
      <c r="Q27" s="366"/>
    </row>
    <row r="28" spans="1:17">
      <c r="A28" s="371"/>
      <c r="B28" s="2889" t="s">
        <v>1033</v>
      </c>
      <c r="C28" s="2890"/>
      <c r="D28" s="2891"/>
      <c r="E28" s="2892" t="s">
        <v>1034</v>
      </c>
      <c r="F28" s="2892"/>
      <c r="G28" s="2892"/>
      <c r="H28" s="2892"/>
      <c r="I28" s="2892"/>
      <c r="J28" s="2893"/>
      <c r="K28" s="2893" t="s">
        <v>1035</v>
      </c>
      <c r="L28" s="2893"/>
      <c r="M28" s="2893"/>
      <c r="N28" s="2893"/>
      <c r="O28" s="2894"/>
      <c r="P28" s="2895"/>
      <c r="Q28" s="366"/>
    </row>
    <row r="29" spans="1:17">
      <c r="A29" s="371"/>
      <c r="B29" s="2889"/>
      <c r="C29" s="2890"/>
      <c r="D29" s="2891"/>
      <c r="E29" s="2893"/>
      <c r="F29" s="2893"/>
      <c r="G29" s="2893"/>
      <c r="H29" s="2893"/>
      <c r="I29" s="2893"/>
      <c r="J29" s="2893"/>
      <c r="K29" s="2893"/>
      <c r="L29" s="2893"/>
      <c r="M29" s="2893"/>
      <c r="N29" s="2893"/>
      <c r="O29" s="2894"/>
      <c r="P29" s="2895"/>
      <c r="Q29" s="366"/>
    </row>
    <row r="30" spans="1:17">
      <c r="A30" s="371"/>
      <c r="B30" s="2889" t="s">
        <v>1036</v>
      </c>
      <c r="C30" s="2890"/>
      <c r="D30" s="2891"/>
      <c r="E30" s="2893" t="s">
        <v>1037</v>
      </c>
      <c r="F30" s="2893"/>
      <c r="G30" s="2893"/>
      <c r="H30" s="2893"/>
      <c r="I30" s="2893"/>
      <c r="J30" s="2893"/>
      <c r="K30" s="2893" t="s">
        <v>1038</v>
      </c>
      <c r="L30" s="2893"/>
      <c r="M30" s="2893"/>
      <c r="N30" s="2893"/>
      <c r="O30" s="2894"/>
      <c r="P30" s="2895"/>
      <c r="Q30" s="366"/>
    </row>
    <row r="31" spans="1:17">
      <c r="A31" s="371"/>
      <c r="B31" s="2889"/>
      <c r="C31" s="2890"/>
      <c r="D31" s="2891"/>
      <c r="E31" s="2893"/>
      <c r="F31" s="2893"/>
      <c r="G31" s="2893"/>
      <c r="H31" s="2893"/>
      <c r="I31" s="2893"/>
      <c r="J31" s="2893"/>
      <c r="K31" s="2893"/>
      <c r="L31" s="2893"/>
      <c r="M31" s="2893"/>
      <c r="N31" s="2893"/>
      <c r="O31" s="2894"/>
      <c r="P31" s="2895"/>
      <c r="Q31" s="366"/>
    </row>
    <row r="32" spans="1:17">
      <c r="A32" s="371"/>
      <c r="B32" s="2889" t="s">
        <v>1039</v>
      </c>
      <c r="C32" s="2890"/>
      <c r="D32" s="2891"/>
      <c r="E32" s="2893" t="s">
        <v>1040</v>
      </c>
      <c r="F32" s="2893"/>
      <c r="G32" s="2893"/>
      <c r="H32" s="2893"/>
      <c r="I32" s="2893"/>
      <c r="J32" s="2893"/>
      <c r="K32" s="2893" t="s">
        <v>1041</v>
      </c>
      <c r="L32" s="2893"/>
      <c r="M32" s="2893"/>
      <c r="N32" s="2893"/>
      <c r="O32" s="2894"/>
      <c r="P32" s="2895"/>
      <c r="Q32" s="366"/>
    </row>
    <row r="33" spans="1:17">
      <c r="A33" s="371"/>
      <c r="B33" s="2889"/>
      <c r="C33" s="2890"/>
      <c r="D33" s="2891"/>
      <c r="E33" s="2893"/>
      <c r="F33" s="2893"/>
      <c r="G33" s="2893"/>
      <c r="H33" s="2893"/>
      <c r="I33" s="2893"/>
      <c r="J33" s="2893"/>
      <c r="K33" s="2893"/>
      <c r="L33" s="2893"/>
      <c r="M33" s="2893"/>
      <c r="N33" s="2893"/>
      <c r="O33" s="2894"/>
      <c r="P33" s="2895"/>
      <c r="Q33" s="366"/>
    </row>
    <row r="34" spans="1:17">
      <c r="A34" s="371"/>
      <c r="B34" s="2889" t="s">
        <v>1042</v>
      </c>
      <c r="C34" s="2890"/>
      <c r="D34" s="2891"/>
      <c r="E34" s="2893" t="s">
        <v>1043</v>
      </c>
      <c r="F34" s="2893"/>
      <c r="G34" s="2893"/>
      <c r="H34" s="2893"/>
      <c r="I34" s="2893"/>
      <c r="J34" s="2893"/>
      <c r="K34" s="2892" t="s">
        <v>1044</v>
      </c>
      <c r="L34" s="2892"/>
      <c r="M34" s="2893"/>
      <c r="N34" s="2893"/>
      <c r="O34" s="2894"/>
      <c r="P34" s="2895"/>
      <c r="Q34" s="366"/>
    </row>
    <row r="35" spans="1:17">
      <c r="A35" s="371"/>
      <c r="B35" s="2889"/>
      <c r="C35" s="2890"/>
      <c r="D35" s="2891"/>
      <c r="E35" s="2893"/>
      <c r="F35" s="2893"/>
      <c r="G35" s="2893"/>
      <c r="H35" s="2893"/>
      <c r="I35" s="2893"/>
      <c r="J35" s="2893"/>
      <c r="K35" s="2893"/>
      <c r="L35" s="2893"/>
      <c r="M35" s="2893"/>
      <c r="N35" s="2893"/>
      <c r="O35" s="2894"/>
      <c r="P35" s="2895"/>
      <c r="Q35" s="366"/>
    </row>
    <row r="36" spans="1:17">
      <c r="A36" s="371"/>
      <c r="B36" s="2889" t="s">
        <v>1045</v>
      </c>
      <c r="C36" s="2890"/>
      <c r="D36" s="2891"/>
      <c r="E36" s="2892" t="s">
        <v>1046</v>
      </c>
      <c r="F36" s="2892"/>
      <c r="G36" s="2892"/>
      <c r="H36" s="2892"/>
      <c r="I36" s="2892"/>
      <c r="J36" s="2893"/>
      <c r="K36" s="2892" t="s">
        <v>1047</v>
      </c>
      <c r="L36" s="2892"/>
      <c r="M36" s="2893"/>
      <c r="N36" s="2893"/>
      <c r="O36" s="2894"/>
      <c r="P36" s="2895"/>
      <c r="Q36" s="366"/>
    </row>
    <row r="37" spans="1:17">
      <c r="A37" s="371"/>
      <c r="B37" s="2889"/>
      <c r="C37" s="2890"/>
      <c r="D37" s="2891"/>
      <c r="E37" s="2893"/>
      <c r="F37" s="2893"/>
      <c r="G37" s="2893"/>
      <c r="H37" s="2893"/>
      <c r="I37" s="2893"/>
      <c r="J37" s="2893"/>
      <c r="K37" s="2893"/>
      <c r="L37" s="2893"/>
      <c r="M37" s="2893"/>
      <c r="N37" s="2893"/>
      <c r="O37" s="2894"/>
      <c r="P37" s="2895"/>
      <c r="Q37" s="366"/>
    </row>
    <row r="38" spans="1:17">
      <c r="A38" s="371"/>
      <c r="B38" s="2889" t="s">
        <v>1048</v>
      </c>
      <c r="C38" s="2890"/>
      <c r="D38" s="2891"/>
      <c r="E38" s="2892" t="s">
        <v>1049</v>
      </c>
      <c r="F38" s="2892"/>
      <c r="G38" s="2892"/>
      <c r="H38" s="2892"/>
      <c r="I38" s="2892"/>
      <c r="J38" s="2893"/>
      <c r="K38" s="2893" t="s">
        <v>1050</v>
      </c>
      <c r="L38" s="2893"/>
      <c r="M38" s="2893"/>
      <c r="N38" s="2893"/>
      <c r="O38" s="2894"/>
      <c r="P38" s="2895"/>
      <c r="Q38" s="366"/>
    </row>
    <row r="39" spans="1:17">
      <c r="A39" s="371"/>
      <c r="B39" s="2889"/>
      <c r="C39" s="2890"/>
      <c r="D39" s="2891"/>
      <c r="E39" s="2893"/>
      <c r="F39" s="2893"/>
      <c r="G39" s="2893"/>
      <c r="H39" s="2893"/>
      <c r="I39" s="2893"/>
      <c r="J39" s="2893"/>
      <c r="K39" s="2893"/>
      <c r="L39" s="2893"/>
      <c r="M39" s="2893"/>
      <c r="N39" s="2893"/>
      <c r="O39" s="2894"/>
      <c r="P39" s="2895"/>
      <c r="Q39" s="366"/>
    </row>
    <row r="40" spans="1:17">
      <c r="A40" s="371"/>
      <c r="B40" s="2889" t="s">
        <v>5571</v>
      </c>
      <c r="C40" s="2890"/>
      <c r="D40" s="2891"/>
      <c r="E40" s="2892" t="s">
        <v>5572</v>
      </c>
      <c r="F40" s="2892"/>
      <c r="G40" s="2892"/>
      <c r="H40" s="2892"/>
      <c r="I40" s="2892"/>
      <c r="J40" s="2893"/>
      <c r="K40" s="2892" t="s">
        <v>5573</v>
      </c>
      <c r="L40" s="2892"/>
      <c r="M40" s="2892"/>
      <c r="N40" s="2892"/>
      <c r="O40" s="2910"/>
      <c r="P40" s="2911"/>
      <c r="Q40" s="366"/>
    </row>
    <row r="41" spans="1:17">
      <c r="A41" s="371"/>
      <c r="B41" s="2889"/>
      <c r="C41" s="2890"/>
      <c r="D41" s="2891"/>
      <c r="E41" s="2893"/>
      <c r="F41" s="2893"/>
      <c r="G41" s="2893"/>
      <c r="H41" s="2893"/>
      <c r="I41" s="2893"/>
      <c r="J41" s="2893"/>
      <c r="K41" s="2892"/>
      <c r="L41" s="2892"/>
      <c r="M41" s="2892"/>
      <c r="N41" s="2892"/>
      <c r="O41" s="2910"/>
      <c r="P41" s="2911"/>
      <c r="Q41" s="366"/>
    </row>
    <row r="42" spans="1:17">
      <c r="A42" s="371"/>
      <c r="B42" s="2896" t="s">
        <v>5663</v>
      </c>
      <c r="C42" s="2897"/>
      <c r="D42" s="2898"/>
      <c r="E42" s="2902" t="s">
        <v>5664</v>
      </c>
      <c r="F42" s="2902"/>
      <c r="G42" s="2902"/>
      <c r="H42" s="2902"/>
      <c r="I42" s="2902"/>
      <c r="J42" s="2903"/>
      <c r="K42" s="2902" t="s">
        <v>5665</v>
      </c>
      <c r="L42" s="2902"/>
      <c r="M42" s="2902"/>
      <c r="N42" s="2902"/>
      <c r="O42" s="2905"/>
      <c r="P42" s="2906"/>
      <c r="Q42" s="366"/>
    </row>
    <row r="43" spans="1:17" ht="16.5" thickBot="1">
      <c r="A43" s="371"/>
      <c r="B43" s="2899"/>
      <c r="C43" s="2900"/>
      <c r="D43" s="2901"/>
      <c r="E43" s="2904"/>
      <c r="F43" s="2904"/>
      <c r="G43" s="2904"/>
      <c r="H43" s="2904"/>
      <c r="I43" s="2904"/>
      <c r="J43" s="2904"/>
      <c r="K43" s="2907"/>
      <c r="L43" s="2907"/>
      <c r="M43" s="2907"/>
      <c r="N43" s="2907"/>
      <c r="O43" s="2908"/>
      <c r="P43" s="2909"/>
      <c r="Q43" s="366"/>
    </row>
    <row r="44" spans="1:17" ht="16.5" thickTop="1">
      <c r="A44" s="365"/>
      <c r="B44" s="370" t="s">
        <v>1051</v>
      </c>
      <c r="C44" s="370"/>
      <c r="D44" s="368"/>
      <c r="E44" s="368"/>
      <c r="F44" s="368"/>
      <c r="G44" s="368"/>
      <c r="H44" s="368"/>
      <c r="I44" s="368"/>
      <c r="J44" s="368"/>
      <c r="K44" s="368"/>
      <c r="L44" s="368"/>
      <c r="M44" s="368"/>
      <c r="N44" s="368"/>
      <c r="O44" s="368"/>
      <c r="P44" s="368"/>
      <c r="Q44" s="366"/>
    </row>
    <row r="45" spans="1:17">
      <c r="A45" s="365"/>
      <c r="B45" s="368"/>
      <c r="C45" s="368"/>
      <c r="D45" s="368"/>
      <c r="E45" s="368"/>
      <c r="F45" s="368"/>
      <c r="G45" s="368"/>
      <c r="H45" s="368"/>
      <c r="I45" s="368"/>
      <c r="J45" s="368"/>
      <c r="K45" s="368"/>
      <c r="L45" s="368"/>
      <c r="M45" s="368"/>
      <c r="N45" s="368"/>
      <c r="O45" s="368"/>
      <c r="P45" s="368"/>
      <c r="Q45" s="366"/>
    </row>
    <row r="46" spans="1:17">
      <c r="A46" s="365"/>
      <c r="B46" s="368"/>
      <c r="C46" s="368"/>
      <c r="D46" s="368"/>
      <c r="E46" s="368"/>
      <c r="F46" s="368"/>
      <c r="G46" s="368"/>
      <c r="H46" s="368"/>
      <c r="I46" s="368"/>
      <c r="J46" s="368"/>
      <c r="K46" s="368"/>
      <c r="L46" s="368"/>
      <c r="M46" s="368"/>
      <c r="N46" s="368"/>
      <c r="O46" s="368"/>
      <c r="P46" s="368"/>
      <c r="Q46" s="366"/>
    </row>
    <row r="47" spans="1:17" ht="22">
      <c r="A47" s="365"/>
      <c r="B47" s="367" t="s">
        <v>5574</v>
      </c>
      <c r="C47" s="367"/>
      <c r="D47" s="368"/>
      <c r="E47" s="369"/>
      <c r="F47" s="370"/>
      <c r="G47" s="370"/>
      <c r="H47" s="370"/>
      <c r="I47" s="370"/>
      <c r="J47" s="368"/>
      <c r="K47" s="368"/>
      <c r="L47" s="368"/>
      <c r="M47" s="368"/>
      <c r="N47" s="368"/>
      <c r="O47" s="368"/>
      <c r="P47" s="368"/>
      <c r="Q47" s="366"/>
    </row>
    <row r="48" spans="1:17">
      <c r="A48" s="365"/>
      <c r="B48" s="368"/>
      <c r="C48" s="368"/>
      <c r="D48" s="368"/>
      <c r="E48" s="368"/>
      <c r="F48" s="368"/>
      <c r="G48" s="368"/>
      <c r="H48" s="368"/>
      <c r="I48" s="368"/>
      <c r="J48" s="368"/>
      <c r="K48" s="368"/>
      <c r="L48" s="368"/>
      <c r="M48" s="368"/>
      <c r="N48" s="368"/>
      <c r="O48" s="368"/>
      <c r="P48" s="368"/>
      <c r="Q48" s="366"/>
    </row>
    <row r="49" spans="1:17">
      <c r="A49" s="365"/>
      <c r="B49" s="1344" t="s">
        <v>5575</v>
      </c>
      <c r="C49" s="368"/>
      <c r="D49" s="368"/>
      <c r="E49" s="368"/>
      <c r="F49" s="368"/>
      <c r="G49" s="368"/>
      <c r="H49" s="368"/>
      <c r="I49" s="368"/>
      <c r="J49" s="368"/>
      <c r="K49" s="368"/>
      <c r="L49" s="368"/>
      <c r="M49" s="368"/>
      <c r="N49" s="368"/>
      <c r="O49" s="368"/>
      <c r="P49" s="368"/>
      <c r="Q49" s="366"/>
    </row>
    <row r="50" spans="1:17">
      <c r="A50" s="365"/>
      <c r="B50" s="1344" t="s">
        <v>5576</v>
      </c>
      <c r="C50" s="368"/>
      <c r="D50" s="368"/>
      <c r="E50" s="368"/>
      <c r="F50" s="368"/>
      <c r="G50" s="368"/>
      <c r="H50" s="368"/>
      <c r="I50" s="368"/>
      <c r="J50" s="368"/>
      <c r="K50" s="368"/>
      <c r="L50" s="368"/>
      <c r="M50" s="368"/>
      <c r="N50" s="368"/>
      <c r="O50" s="368"/>
      <c r="P50" s="368"/>
      <c r="Q50" s="366"/>
    </row>
    <row r="51" spans="1:17">
      <c r="A51" s="365"/>
      <c r="B51" s="368"/>
      <c r="C51" s="368"/>
      <c r="D51" s="368"/>
      <c r="E51" s="368"/>
      <c r="F51" s="368"/>
      <c r="G51" s="368"/>
      <c r="H51" s="368"/>
      <c r="I51" s="368"/>
      <c r="J51" s="368"/>
      <c r="K51" s="368"/>
      <c r="L51" s="368"/>
      <c r="M51" s="368"/>
      <c r="N51" s="368"/>
      <c r="O51" s="368"/>
      <c r="P51" s="368"/>
      <c r="Q51" s="366"/>
    </row>
    <row r="52" spans="1:17">
      <c r="A52" s="365"/>
      <c r="B52" s="368"/>
      <c r="C52" s="368"/>
      <c r="D52" s="368"/>
      <c r="E52" s="368"/>
      <c r="F52" s="368"/>
      <c r="G52" s="368"/>
      <c r="H52" s="368"/>
      <c r="I52" s="368"/>
      <c r="J52" s="368"/>
      <c r="K52" s="368"/>
      <c r="L52" s="368"/>
      <c r="M52" s="368"/>
      <c r="N52" s="368"/>
      <c r="O52" s="368"/>
      <c r="P52" s="368"/>
      <c r="Q52" s="366"/>
    </row>
    <row r="53" spans="1:17">
      <c r="A53" s="365"/>
      <c r="B53" s="394" t="s">
        <v>1053</v>
      </c>
      <c r="C53" s="368"/>
      <c r="D53" s="368"/>
      <c r="E53" s="368"/>
      <c r="F53" s="368"/>
      <c r="G53" s="368"/>
      <c r="H53" s="368"/>
      <c r="I53" s="368"/>
      <c r="J53" s="368"/>
      <c r="K53" s="368"/>
      <c r="L53" s="368"/>
      <c r="M53" s="368"/>
      <c r="N53" s="368"/>
      <c r="O53" s="368"/>
      <c r="P53" s="368"/>
      <c r="Q53" s="366"/>
    </row>
    <row r="54" spans="1:17">
      <c r="A54" s="365"/>
      <c r="B54" s="394" t="s">
        <v>5577</v>
      </c>
      <c r="C54" s="368"/>
      <c r="D54" s="368"/>
      <c r="E54" s="368"/>
      <c r="F54" s="368"/>
      <c r="G54" s="368"/>
      <c r="H54" s="368"/>
      <c r="I54" s="368"/>
      <c r="J54" s="368"/>
      <c r="K54" s="368"/>
      <c r="L54" s="368"/>
      <c r="M54" s="368"/>
      <c r="N54" s="368"/>
      <c r="O54" s="368"/>
      <c r="P54" s="368"/>
      <c r="Q54" s="366"/>
    </row>
    <row r="55" spans="1:17">
      <c r="A55" s="365"/>
      <c r="B55" s="394" t="s">
        <v>5578</v>
      </c>
      <c r="C55" s="368"/>
      <c r="D55" s="368"/>
      <c r="E55" s="368"/>
      <c r="F55" s="368"/>
      <c r="G55" s="368"/>
      <c r="H55" s="368"/>
      <c r="I55" s="368"/>
      <c r="J55" s="368"/>
      <c r="K55" s="368"/>
      <c r="L55" s="368"/>
      <c r="M55" s="368"/>
      <c r="N55" s="368"/>
      <c r="O55" s="368"/>
      <c r="P55" s="368"/>
      <c r="Q55" s="366"/>
    </row>
    <row r="56" spans="1:17">
      <c r="A56" s="365"/>
      <c r="B56" s="394" t="s">
        <v>5579</v>
      </c>
      <c r="C56" s="368"/>
      <c r="D56" s="368"/>
      <c r="E56" s="368"/>
      <c r="F56" s="368"/>
      <c r="G56" s="368"/>
      <c r="H56" s="368"/>
      <c r="I56" s="368"/>
      <c r="J56" s="368"/>
      <c r="K56" s="368"/>
      <c r="L56" s="368"/>
      <c r="M56" s="368"/>
      <c r="N56" s="368"/>
      <c r="O56" s="368"/>
      <c r="P56" s="368"/>
      <c r="Q56" s="366"/>
    </row>
    <row r="57" spans="1:17">
      <c r="A57" s="365"/>
      <c r="B57" s="368"/>
      <c r="C57" s="368"/>
      <c r="D57" s="368"/>
      <c r="E57" s="368"/>
      <c r="F57" s="368"/>
      <c r="G57" s="368"/>
      <c r="H57" s="368"/>
      <c r="I57" s="368"/>
      <c r="J57" s="368"/>
      <c r="K57" s="368"/>
      <c r="L57" s="368"/>
      <c r="M57" s="368"/>
      <c r="N57" s="368"/>
      <c r="O57" s="368"/>
      <c r="P57" s="368"/>
      <c r="Q57" s="366"/>
    </row>
    <row r="58" spans="1:17" ht="16.5" thickBot="1">
      <c r="A58" s="391"/>
      <c r="B58" s="392"/>
      <c r="C58" s="392"/>
      <c r="D58" s="392"/>
      <c r="E58" s="392"/>
      <c r="F58" s="392"/>
      <c r="G58" s="392"/>
      <c r="H58" s="392"/>
      <c r="I58" s="392"/>
      <c r="J58" s="392"/>
      <c r="K58" s="392"/>
      <c r="L58" s="392"/>
      <c r="M58" s="392"/>
      <c r="N58" s="392"/>
      <c r="O58" s="392"/>
      <c r="P58" s="392"/>
      <c r="Q58" s="393"/>
    </row>
    <row r="59" spans="1:17" ht="16.5" thickTop="1"/>
  </sheetData>
  <sheetProtection algorithmName="SHA-512" hashValue="rPrnb9ZIk55GEg1bogvk7nPuNxg/QWVIhvnyYMZlVMy0Swhyc8DfQT+ykdFLwS9mENe0Mkc9Mq2JaCaig1y9Qg==" saltValue="99x4UGZAzWCyCtQQkMGJOA==" spinCount="100000" sheet="1" objects="1" scenarios="1" selectLockedCells="1" selectUnlockedCells="1"/>
  <mergeCells count="35">
    <mergeCell ref="B42:D43"/>
    <mergeCell ref="E42:J43"/>
    <mergeCell ref="K42:P43"/>
    <mergeCell ref="B38:D39"/>
    <mergeCell ref="E38:J39"/>
    <mergeCell ref="K38:P39"/>
    <mergeCell ref="B40:D41"/>
    <mergeCell ref="E40:J41"/>
    <mergeCell ref="K40:P41"/>
    <mergeCell ref="B34:D35"/>
    <mergeCell ref="E34:J35"/>
    <mergeCell ref="K34:P35"/>
    <mergeCell ref="B36:D37"/>
    <mergeCell ref="E36:J37"/>
    <mergeCell ref="K36:P37"/>
    <mergeCell ref="B30:D31"/>
    <mergeCell ref="E30:J31"/>
    <mergeCell ref="K30:P31"/>
    <mergeCell ref="B32:D33"/>
    <mergeCell ref="E32:J33"/>
    <mergeCell ref="K32:P33"/>
    <mergeCell ref="B26:D27"/>
    <mergeCell ref="E26:J27"/>
    <mergeCell ref="K26:P27"/>
    <mergeCell ref="B28:D29"/>
    <mergeCell ref="E28:J29"/>
    <mergeCell ref="K28:P29"/>
    <mergeCell ref="B24:D25"/>
    <mergeCell ref="E24:J25"/>
    <mergeCell ref="K24:P25"/>
    <mergeCell ref="B1:P2"/>
    <mergeCell ref="B6:D7"/>
    <mergeCell ref="E6:J7"/>
    <mergeCell ref="K6:P7"/>
    <mergeCell ref="B8:D19"/>
  </mergeCells>
  <phoneticPr fontId="3"/>
  <pageMargins left="0.7" right="0.7" top="0.75" bottom="0.75" header="0.3" footer="0.3"/>
  <pageSetup paperSize="9" scale="60"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CC00FF"/>
    <pageSetUpPr fitToPage="1"/>
  </sheetPr>
  <dimension ref="A1:CB263"/>
  <sheetViews>
    <sheetView showGridLines="0" tabSelected="1" zoomScale="85" zoomScaleNormal="85" zoomScaleSheetLayoutView="75" workbookViewId="0">
      <selection activeCell="L99" sqref="L99:U100"/>
    </sheetView>
  </sheetViews>
  <sheetFormatPr defaultColWidth="3.36328125" defaultRowHeight="18.649999999999999" customHeight="1"/>
  <cols>
    <col min="1" max="1" width="3.36328125" style="186"/>
    <col min="2" max="2" width="3.36328125" style="251"/>
    <col min="3" max="3" width="3.36328125" style="190"/>
    <col min="4" max="28" width="3.36328125" style="187"/>
    <col min="29" max="37" width="3.36328125" style="188"/>
    <col min="38" max="46" width="3.36328125" style="187"/>
    <col min="47" max="47" width="3.26953125" style="179" customWidth="1"/>
    <col min="48" max="55" width="6.6328125" style="166" hidden="1" customWidth="1"/>
    <col min="56" max="57" width="3.36328125" style="166" hidden="1" customWidth="1"/>
    <col min="58" max="58" width="3.36328125" style="158" hidden="1" customWidth="1"/>
    <col min="59" max="60" width="3.08984375" style="158" hidden="1" customWidth="1"/>
    <col min="61" max="63" width="3.36328125" style="158" hidden="1" customWidth="1"/>
    <col min="64" max="64" width="15.453125" style="158" hidden="1" customWidth="1"/>
    <col min="65" max="65" width="18.6328125" style="158" hidden="1" customWidth="1"/>
    <col min="66" max="66" width="14.6328125" style="158" hidden="1" customWidth="1"/>
    <col min="67" max="67" width="11.6328125" style="158" hidden="1" customWidth="1"/>
    <col min="68" max="68" width="8.6328125" style="158" hidden="1" customWidth="1"/>
    <col min="69" max="69" width="3.7265625" style="158" hidden="1" customWidth="1"/>
    <col min="70" max="70" width="8.6328125" style="158" hidden="1" customWidth="1"/>
    <col min="71" max="71" width="3.36328125" style="297" hidden="1" customWidth="1"/>
    <col min="72" max="74" width="3.36328125" style="158" customWidth="1"/>
    <col min="75" max="77" width="3.36328125" style="153" customWidth="1"/>
    <col min="78" max="80" width="3.36328125" style="161" customWidth="1"/>
    <col min="81" max="16384" width="3.36328125" style="162"/>
  </cols>
  <sheetData>
    <row r="1" spans="1:80" s="154" customFormat="1" ht="18.649999999999999" customHeight="1" thickBot="1">
      <c r="A1" s="179"/>
      <c r="B1" s="247"/>
      <c r="C1" s="149"/>
      <c r="D1" s="149"/>
      <c r="E1" s="149"/>
      <c r="F1" s="149"/>
      <c r="G1" s="149"/>
      <c r="H1" s="149"/>
      <c r="I1" s="149"/>
      <c r="J1" s="149"/>
      <c r="K1" s="149"/>
      <c r="L1" s="149"/>
      <c r="M1" s="149"/>
      <c r="N1" s="149"/>
      <c r="O1" s="149"/>
      <c r="P1" s="149"/>
      <c r="Q1" s="149"/>
      <c r="R1" s="149"/>
      <c r="S1" s="149"/>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50"/>
      <c r="AV1" s="151"/>
      <c r="AW1" s="151"/>
      <c r="AX1" s="151"/>
      <c r="AY1" s="151"/>
      <c r="AZ1" s="152" t="s">
        <v>324</v>
      </c>
      <c r="BA1" s="151" t="s">
        <v>1950</v>
      </c>
      <c r="BB1" s="151"/>
      <c r="BC1" s="152"/>
      <c r="BD1" s="151"/>
      <c r="BE1" s="151"/>
      <c r="BF1" s="152"/>
      <c r="BG1" s="152" t="s">
        <v>786</v>
      </c>
      <c r="BH1" s="152"/>
      <c r="BI1" s="152"/>
      <c r="BJ1" s="152"/>
      <c r="BK1" s="152"/>
      <c r="BL1" s="152" t="s">
        <v>787</v>
      </c>
      <c r="BM1" s="151" t="s">
        <v>1099</v>
      </c>
      <c r="BN1" s="152" t="s">
        <v>1100</v>
      </c>
      <c r="BO1" s="152" t="s">
        <v>1183</v>
      </c>
      <c r="BP1" s="152" t="s">
        <v>1951</v>
      </c>
      <c r="BQ1" s="152"/>
      <c r="BR1" s="152" t="s">
        <v>3278</v>
      </c>
      <c r="BS1" s="294"/>
      <c r="BT1" s="152"/>
      <c r="BU1" s="152"/>
      <c r="BV1" s="152"/>
      <c r="BW1" s="153"/>
      <c r="BX1" s="153"/>
      <c r="BY1" s="153"/>
      <c r="BZ1" s="153"/>
      <c r="CA1" s="153"/>
      <c r="CB1" s="153"/>
    </row>
    <row r="2" spans="1:80" s="154" customFormat="1" ht="18.649999999999999" customHeight="1" thickTop="1" thickBot="1">
      <c r="A2" s="179"/>
      <c r="B2" s="248"/>
      <c r="C2" s="155"/>
      <c r="D2" s="155"/>
      <c r="E2" s="155"/>
      <c r="F2" s="155"/>
      <c r="G2" s="155"/>
      <c r="H2" s="155"/>
      <c r="I2" s="155"/>
      <c r="J2" s="155"/>
      <c r="K2" s="155"/>
      <c r="L2" s="155"/>
      <c r="M2" s="155"/>
      <c r="N2" s="155"/>
      <c r="O2" s="155"/>
      <c r="P2" s="155"/>
      <c r="Q2" s="155"/>
      <c r="R2" s="155"/>
      <c r="S2" s="155"/>
      <c r="T2" s="155"/>
      <c r="U2" s="155"/>
      <c r="V2" s="155"/>
      <c r="W2" s="155"/>
      <c r="X2" s="155"/>
      <c r="Y2" s="155"/>
      <c r="Z2" s="155"/>
      <c r="AA2" s="155"/>
      <c r="AB2" s="155"/>
      <c r="AC2" s="155"/>
      <c r="AD2" s="155"/>
      <c r="AE2" s="155"/>
      <c r="AF2" s="155"/>
      <c r="AG2" s="155"/>
      <c r="AH2" s="155"/>
      <c r="AI2" s="155"/>
      <c r="AJ2" s="155"/>
      <c r="AK2" s="155"/>
      <c r="AL2" s="155"/>
      <c r="AM2" s="155"/>
      <c r="AN2" s="155"/>
      <c r="AO2" s="155"/>
      <c r="AP2" s="155"/>
      <c r="AQ2" s="155"/>
      <c r="AR2" s="155"/>
      <c r="AS2" s="155"/>
      <c r="AT2" s="156"/>
      <c r="AU2" s="157"/>
      <c r="AV2" s="151" t="b">
        <f>記入シート2!AV43</f>
        <v>0</v>
      </c>
      <c r="AW2" s="151" t="s">
        <v>2025</v>
      </c>
      <c r="AX2" s="151"/>
      <c r="AY2" s="151"/>
      <c r="AZ2" s="158" t="s">
        <v>325</v>
      </c>
      <c r="BA2" s="151" t="s">
        <v>1933</v>
      </c>
      <c r="BB2" s="151"/>
      <c r="BC2" s="151"/>
      <c r="BD2" s="151"/>
      <c r="BE2" s="151"/>
      <c r="BF2" s="152"/>
      <c r="BG2" s="152" t="s">
        <v>788</v>
      </c>
      <c r="BH2" s="152" t="s">
        <v>788</v>
      </c>
      <c r="BI2" s="152"/>
      <c r="BJ2" s="152"/>
      <c r="BK2" s="152"/>
      <c r="BL2" s="152" t="s">
        <v>777</v>
      </c>
      <c r="BM2" s="151" t="s">
        <v>1101</v>
      </c>
      <c r="BN2" s="152" t="s">
        <v>1105</v>
      </c>
      <c r="BO2" s="152" t="s">
        <v>1101</v>
      </c>
      <c r="BP2" s="152" t="s">
        <v>1457</v>
      </c>
      <c r="BQ2" s="152" t="s">
        <v>788</v>
      </c>
      <c r="BR2" s="152" t="str">
        <f>""</f>
        <v/>
      </c>
      <c r="BS2" s="294"/>
      <c r="BT2" s="152"/>
      <c r="BU2" s="152"/>
      <c r="BV2" s="152"/>
      <c r="BW2" s="153"/>
      <c r="BX2" s="153"/>
      <c r="BY2" s="153"/>
      <c r="BZ2" s="153"/>
      <c r="CA2" s="153"/>
      <c r="CB2" s="153"/>
    </row>
    <row r="3" spans="1:80" s="154" customFormat="1" ht="18.649999999999999" customHeight="1" thickTop="1">
      <c r="A3" s="159"/>
      <c r="B3" s="256"/>
      <c r="C3" s="1819" t="s">
        <v>5684</v>
      </c>
      <c r="D3" s="1820"/>
      <c r="E3" s="1820"/>
      <c r="F3" s="1820"/>
      <c r="G3" s="1820"/>
      <c r="H3" s="1820"/>
      <c r="I3" s="1820"/>
      <c r="J3" s="1820"/>
      <c r="K3" s="1820"/>
      <c r="L3" s="1820"/>
      <c r="M3" s="1820"/>
      <c r="N3" s="1820"/>
      <c r="O3" s="1820"/>
      <c r="P3" s="1820"/>
      <c r="Q3" s="1820"/>
      <c r="R3" s="1820"/>
      <c r="S3" s="1820"/>
      <c r="T3" s="1820"/>
      <c r="U3" s="1820"/>
      <c r="V3" s="1820"/>
      <c r="W3" s="1820"/>
      <c r="X3" s="1820"/>
      <c r="Y3" s="1820"/>
      <c r="Z3" s="1820"/>
      <c r="AA3" s="1820"/>
      <c r="AB3" s="1820"/>
      <c r="AC3" s="1820"/>
      <c r="AD3" s="1820"/>
      <c r="AE3" s="1820"/>
      <c r="AF3" s="1820"/>
      <c r="AG3" s="1820"/>
      <c r="AH3" s="1820"/>
      <c r="AI3" s="1820"/>
      <c r="AJ3" s="1820"/>
      <c r="AK3" s="1820"/>
      <c r="AL3" s="1820"/>
      <c r="AM3" s="1820"/>
      <c r="AN3" s="1820"/>
      <c r="AO3" s="1820"/>
      <c r="AP3" s="1820"/>
      <c r="AQ3" s="1820"/>
      <c r="AR3" s="1820"/>
      <c r="AS3" s="1820"/>
      <c r="AT3" s="1821"/>
      <c r="AU3" s="160"/>
      <c r="AV3" s="151" t="b">
        <f>記入シート2!AV65</f>
        <v>0</v>
      </c>
      <c r="AW3" s="151" t="s">
        <v>2262</v>
      </c>
      <c r="AX3" s="151"/>
      <c r="AY3" s="151"/>
      <c r="AZ3" s="158" t="s">
        <v>331</v>
      </c>
      <c r="BA3" s="151" t="s">
        <v>1927</v>
      </c>
      <c r="BB3" s="151"/>
      <c r="BC3" s="151"/>
      <c r="BD3" s="151"/>
      <c r="BE3" s="151"/>
      <c r="BF3" s="152"/>
      <c r="BG3" s="152" t="s">
        <v>789</v>
      </c>
      <c r="BH3" s="152" t="s">
        <v>790</v>
      </c>
      <c r="BI3" s="152"/>
      <c r="BJ3" s="152"/>
      <c r="BK3" s="152"/>
      <c r="BL3" s="152" t="s">
        <v>1052</v>
      </c>
      <c r="BM3" s="151" t="s">
        <v>1102</v>
      </c>
      <c r="BN3" s="152" t="s">
        <v>1106</v>
      </c>
      <c r="BO3" s="152" t="s">
        <v>1184</v>
      </c>
      <c r="BP3" s="152" t="s">
        <v>1410</v>
      </c>
      <c r="BQ3" s="152" t="s">
        <v>789</v>
      </c>
      <c r="BR3" s="152" t="s">
        <v>3279</v>
      </c>
      <c r="BS3" s="294"/>
      <c r="BT3" s="152"/>
      <c r="BU3" s="152"/>
      <c r="BV3" s="152"/>
      <c r="BW3" s="153"/>
      <c r="BX3" s="153"/>
      <c r="BY3" s="153"/>
      <c r="BZ3" s="153"/>
      <c r="CA3" s="153"/>
      <c r="CB3" s="153"/>
    </row>
    <row r="4" spans="1:80" ht="18.75" customHeight="1" thickBot="1">
      <c r="A4" s="159"/>
      <c r="B4" s="256">
        <f>SUM(B13:B138)</f>
        <v>6</v>
      </c>
      <c r="C4" s="1822"/>
      <c r="D4" s="1823"/>
      <c r="E4" s="1823"/>
      <c r="F4" s="1823"/>
      <c r="G4" s="1823"/>
      <c r="H4" s="1823"/>
      <c r="I4" s="1823"/>
      <c r="J4" s="1823"/>
      <c r="K4" s="1823"/>
      <c r="L4" s="1823"/>
      <c r="M4" s="1823"/>
      <c r="N4" s="1823"/>
      <c r="O4" s="1823"/>
      <c r="P4" s="1823"/>
      <c r="Q4" s="1823"/>
      <c r="R4" s="1823"/>
      <c r="S4" s="1823"/>
      <c r="T4" s="1823"/>
      <c r="U4" s="1823"/>
      <c r="V4" s="1823"/>
      <c r="W4" s="1823"/>
      <c r="X4" s="1823"/>
      <c r="Y4" s="1823"/>
      <c r="Z4" s="1823"/>
      <c r="AA4" s="1823"/>
      <c r="AB4" s="1823"/>
      <c r="AC4" s="1823"/>
      <c r="AD4" s="1823"/>
      <c r="AE4" s="1823"/>
      <c r="AF4" s="1823"/>
      <c r="AG4" s="1823"/>
      <c r="AH4" s="1823"/>
      <c r="AI4" s="1823"/>
      <c r="AJ4" s="1823"/>
      <c r="AK4" s="1823"/>
      <c r="AL4" s="1823"/>
      <c r="AM4" s="1823"/>
      <c r="AN4" s="1823"/>
      <c r="AO4" s="1823"/>
      <c r="AP4" s="1823"/>
      <c r="AQ4" s="1823"/>
      <c r="AR4" s="1823"/>
      <c r="AS4" s="1823"/>
      <c r="AT4" s="1824"/>
      <c r="AU4" s="160"/>
      <c r="AV4" s="151" t="b">
        <f>記入シート2!AV67</f>
        <v>0</v>
      </c>
      <c r="AW4" s="151" t="s">
        <v>2263</v>
      </c>
      <c r="AX4" s="151"/>
      <c r="AY4" s="151"/>
      <c r="AZ4" s="158" t="s">
        <v>337</v>
      </c>
      <c r="BA4" s="151" t="s">
        <v>1929</v>
      </c>
      <c r="BB4" s="151"/>
      <c r="BC4" s="151"/>
      <c r="BD4" s="151"/>
      <c r="BE4" s="151"/>
      <c r="BF4" s="152"/>
      <c r="BG4" s="152" t="s">
        <v>791</v>
      </c>
      <c r="BH4" s="152" t="s">
        <v>792</v>
      </c>
      <c r="BI4" s="152"/>
      <c r="BJ4" s="152"/>
      <c r="BK4" s="152"/>
      <c r="BL4" s="152" t="s">
        <v>2033</v>
      </c>
      <c r="BM4" s="151" t="s">
        <v>1103</v>
      </c>
      <c r="BN4" s="152" t="s">
        <v>1107</v>
      </c>
      <c r="BO4" s="152" t="s">
        <v>1185</v>
      </c>
      <c r="BP4" s="152" t="s">
        <v>1411</v>
      </c>
      <c r="BQ4" s="152" t="s">
        <v>791</v>
      </c>
      <c r="BR4" s="152" t="s">
        <v>3280</v>
      </c>
      <c r="BS4" s="294"/>
      <c r="BT4" s="152"/>
      <c r="BU4" s="152"/>
      <c r="BV4" s="152"/>
    </row>
    <row r="5" spans="1:80" ht="42" customHeight="1" thickTop="1">
      <c r="A5" s="921"/>
      <c r="B5" s="256"/>
      <c r="C5" s="1833" t="s">
        <v>5635</v>
      </c>
      <c r="D5" s="1833"/>
      <c r="E5" s="1833"/>
      <c r="F5" s="1833"/>
      <c r="G5" s="1833"/>
      <c r="H5" s="1833"/>
      <c r="I5" s="1833"/>
      <c r="J5" s="1833"/>
      <c r="K5" s="1833"/>
      <c r="L5" s="1833"/>
      <c r="M5" s="1833"/>
      <c r="N5" s="1833"/>
      <c r="O5" s="1833"/>
      <c r="P5" s="1833"/>
      <c r="Q5" s="1833"/>
      <c r="R5" s="1833"/>
      <c r="S5" s="1833"/>
      <c r="T5" s="1833"/>
      <c r="U5" s="1833"/>
      <c r="V5" s="1833"/>
      <c r="W5" s="1833"/>
      <c r="X5" s="1833"/>
      <c r="Y5" s="1833"/>
      <c r="Z5" s="1833"/>
      <c r="AA5" s="1833"/>
      <c r="AB5" s="1833"/>
      <c r="AC5" s="1833"/>
      <c r="AD5" s="1833"/>
      <c r="AE5" s="1833"/>
      <c r="AF5" s="1833"/>
      <c r="AG5" s="1833"/>
      <c r="AH5" s="1833"/>
      <c r="AI5" s="1833"/>
      <c r="AJ5" s="1833"/>
      <c r="AK5" s="1833"/>
      <c r="AL5" s="1833"/>
      <c r="AM5" s="1833"/>
      <c r="AN5" s="1833"/>
      <c r="AO5" s="1833"/>
      <c r="AP5" s="1833"/>
      <c r="AQ5" s="1833"/>
      <c r="AR5" s="1833"/>
      <c r="AS5" s="1833"/>
      <c r="AT5" s="1833"/>
      <c r="AU5" s="160"/>
      <c r="AV5" s="151" t="b">
        <f>記入シート2!AV42</f>
        <v>0</v>
      </c>
      <c r="AW5" s="151" t="s">
        <v>3637</v>
      </c>
      <c r="AX5" s="151"/>
      <c r="AY5" s="151"/>
      <c r="AZ5" s="158" t="s">
        <v>345</v>
      </c>
      <c r="BA5" s="151" t="s">
        <v>1927</v>
      </c>
      <c r="BB5" s="151"/>
      <c r="BC5" s="151"/>
      <c r="BD5" s="151"/>
      <c r="BE5" s="151"/>
      <c r="BF5" s="152"/>
      <c r="BG5" s="152" t="s">
        <v>793</v>
      </c>
      <c r="BH5" s="152" t="s">
        <v>794</v>
      </c>
      <c r="BI5" s="152"/>
      <c r="BJ5" s="152"/>
      <c r="BK5" s="152"/>
      <c r="BL5" s="152" t="s">
        <v>2034</v>
      </c>
      <c r="BM5" s="151" t="s">
        <v>1104</v>
      </c>
      <c r="BN5" s="152" t="s">
        <v>1108</v>
      </c>
      <c r="BO5" s="152" t="s">
        <v>1186</v>
      </c>
      <c r="BP5" s="152" t="s">
        <v>1412</v>
      </c>
      <c r="BQ5" s="152" t="s">
        <v>793</v>
      </c>
      <c r="BR5" s="152" t="s">
        <v>3281</v>
      </c>
      <c r="BS5" s="294"/>
      <c r="BT5" s="152"/>
      <c r="BU5" s="152"/>
      <c r="BV5" s="152"/>
    </row>
    <row r="6" spans="1:80" ht="42" customHeight="1">
      <c r="A6" s="921"/>
      <c r="B6" s="256"/>
      <c r="C6" s="1834"/>
      <c r="D6" s="1834"/>
      <c r="E6" s="1834"/>
      <c r="F6" s="1834"/>
      <c r="G6" s="1834"/>
      <c r="H6" s="1834"/>
      <c r="I6" s="1834"/>
      <c r="J6" s="1834"/>
      <c r="K6" s="1834"/>
      <c r="L6" s="1834"/>
      <c r="M6" s="1834"/>
      <c r="N6" s="1834"/>
      <c r="O6" s="1834"/>
      <c r="P6" s="1834"/>
      <c r="Q6" s="1834"/>
      <c r="R6" s="1834"/>
      <c r="S6" s="1834"/>
      <c r="T6" s="1834"/>
      <c r="U6" s="1834"/>
      <c r="V6" s="1834"/>
      <c r="W6" s="1834"/>
      <c r="X6" s="1834"/>
      <c r="Y6" s="1834"/>
      <c r="Z6" s="1834"/>
      <c r="AA6" s="1834"/>
      <c r="AB6" s="1834"/>
      <c r="AC6" s="1834"/>
      <c r="AD6" s="1834"/>
      <c r="AE6" s="1834"/>
      <c r="AF6" s="1834"/>
      <c r="AG6" s="1834"/>
      <c r="AH6" s="1834"/>
      <c r="AI6" s="1834"/>
      <c r="AJ6" s="1834"/>
      <c r="AK6" s="1834"/>
      <c r="AL6" s="1834"/>
      <c r="AM6" s="1834"/>
      <c r="AN6" s="1834"/>
      <c r="AO6" s="1834"/>
      <c r="AP6" s="1834"/>
      <c r="AQ6" s="1834"/>
      <c r="AR6" s="1834"/>
      <c r="AS6" s="1834"/>
      <c r="AT6" s="1834"/>
      <c r="AU6" s="160"/>
      <c r="AV6" s="706" t="b">
        <f>記入シート2!AV78</f>
        <v>0</v>
      </c>
      <c r="AW6" s="151" t="s">
        <v>5480</v>
      </c>
      <c r="AX6" s="151"/>
      <c r="AY6" s="151"/>
      <c r="AZ6" s="158" t="s">
        <v>350</v>
      </c>
      <c r="BA6" s="151" t="s">
        <v>1926</v>
      </c>
      <c r="BB6" s="151"/>
      <c r="BC6" s="151"/>
      <c r="BD6" s="151"/>
      <c r="BE6" s="151"/>
      <c r="BF6" s="152"/>
      <c r="BG6" s="152" t="s">
        <v>795</v>
      </c>
      <c r="BH6" s="152" t="s">
        <v>796</v>
      </c>
      <c r="BI6" s="152"/>
      <c r="BJ6" s="152"/>
      <c r="BK6" s="152"/>
      <c r="BL6" s="152" t="s">
        <v>2035</v>
      </c>
      <c r="BM6" s="152"/>
      <c r="BN6" s="152"/>
      <c r="BO6" s="152" t="s">
        <v>1187</v>
      </c>
      <c r="BP6" s="152" t="s">
        <v>1413</v>
      </c>
      <c r="BQ6" s="152" t="s">
        <v>795</v>
      </c>
      <c r="BR6" s="152" t="s">
        <v>3282</v>
      </c>
      <c r="BS6" s="294"/>
      <c r="BT6" s="152"/>
      <c r="BU6" s="152"/>
      <c r="BV6" s="152"/>
    </row>
    <row r="7" spans="1:80" ht="42" customHeight="1">
      <c r="A7" s="921"/>
      <c r="B7" s="256"/>
      <c r="C7" s="1834"/>
      <c r="D7" s="1834"/>
      <c r="E7" s="1834"/>
      <c r="F7" s="1834"/>
      <c r="G7" s="1834"/>
      <c r="H7" s="1834"/>
      <c r="I7" s="1834"/>
      <c r="J7" s="1834"/>
      <c r="K7" s="1834"/>
      <c r="L7" s="1834"/>
      <c r="M7" s="1834"/>
      <c r="N7" s="1834"/>
      <c r="O7" s="1834"/>
      <c r="P7" s="1834"/>
      <c r="Q7" s="1834"/>
      <c r="R7" s="1834"/>
      <c r="S7" s="1834"/>
      <c r="T7" s="1834"/>
      <c r="U7" s="1834"/>
      <c r="V7" s="1834"/>
      <c r="W7" s="1834"/>
      <c r="X7" s="1834"/>
      <c r="Y7" s="1834"/>
      <c r="Z7" s="1834"/>
      <c r="AA7" s="1834"/>
      <c r="AB7" s="1834"/>
      <c r="AC7" s="1834"/>
      <c r="AD7" s="1834"/>
      <c r="AE7" s="1834"/>
      <c r="AF7" s="1834"/>
      <c r="AG7" s="1834"/>
      <c r="AH7" s="1834"/>
      <c r="AI7" s="1834"/>
      <c r="AJ7" s="1834"/>
      <c r="AK7" s="1834"/>
      <c r="AL7" s="1834"/>
      <c r="AM7" s="1834"/>
      <c r="AN7" s="1834"/>
      <c r="AO7" s="1834"/>
      <c r="AP7" s="1834"/>
      <c r="AQ7" s="1834"/>
      <c r="AR7" s="1834"/>
      <c r="AS7" s="1834"/>
      <c r="AT7" s="1834"/>
      <c r="AU7" s="160"/>
      <c r="AV7" s="151"/>
      <c r="AW7" s="151"/>
      <c r="AX7" s="151"/>
      <c r="AY7" s="151"/>
      <c r="AZ7" s="158" t="s">
        <v>352</v>
      </c>
      <c r="BA7" s="151" t="s">
        <v>1930</v>
      </c>
      <c r="BB7" s="151"/>
      <c r="BC7" s="151"/>
      <c r="BD7" s="151"/>
      <c r="BE7" s="151"/>
      <c r="BF7" s="152"/>
      <c r="BG7" s="152" t="s">
        <v>797</v>
      </c>
      <c r="BH7" s="152" t="s">
        <v>798</v>
      </c>
      <c r="BI7" s="152"/>
      <c r="BJ7" s="152"/>
      <c r="BK7" s="152"/>
      <c r="BL7" s="152" t="s">
        <v>2036</v>
      </c>
      <c r="BM7" s="152"/>
      <c r="BN7" s="152"/>
      <c r="BO7" s="152" t="s">
        <v>1188</v>
      </c>
      <c r="BP7" s="152" t="s">
        <v>1414</v>
      </c>
      <c r="BQ7" s="152" t="s">
        <v>797</v>
      </c>
      <c r="BR7" s="152" t="s">
        <v>3283</v>
      </c>
      <c r="BS7" s="294"/>
      <c r="BT7" s="152"/>
      <c r="BU7" s="152"/>
      <c r="BV7" s="152"/>
    </row>
    <row r="8" spans="1:80" ht="15">
      <c r="A8" s="921"/>
      <c r="B8" s="256"/>
      <c r="C8" s="1835" t="s">
        <v>4877</v>
      </c>
      <c r="D8" s="1835"/>
      <c r="E8" s="1835"/>
      <c r="F8" s="1835"/>
      <c r="G8" s="1835"/>
      <c r="H8" s="1835"/>
      <c r="I8" s="1835"/>
      <c r="J8" s="1835"/>
      <c r="K8" s="1835"/>
      <c r="L8" s="1835"/>
      <c r="M8" s="1835"/>
      <c r="N8" s="1835"/>
      <c r="O8" s="1835"/>
      <c r="P8" s="1835"/>
      <c r="Q8" s="1835"/>
      <c r="R8" s="1835"/>
      <c r="S8" s="1835"/>
      <c r="T8" s="1835"/>
      <c r="U8" s="1835"/>
      <c r="V8" s="1835"/>
      <c r="W8" s="1835"/>
      <c r="X8" s="1835"/>
      <c r="Y8" s="1835"/>
      <c r="Z8" s="1835"/>
      <c r="AA8" s="1835"/>
      <c r="AB8" s="1835"/>
      <c r="AC8" s="1835"/>
      <c r="AD8" s="1835"/>
      <c r="AE8" s="1835"/>
      <c r="AF8" s="1835"/>
      <c r="AG8" s="1835"/>
      <c r="AH8" s="1835"/>
      <c r="AI8" s="1835"/>
      <c r="AJ8" s="1835"/>
      <c r="AK8" s="1835"/>
      <c r="AL8" s="1835"/>
      <c r="AM8" s="1835"/>
      <c r="AN8" s="1835"/>
      <c r="AO8" s="1835"/>
      <c r="AP8" s="1835"/>
      <c r="AQ8" s="1835"/>
      <c r="AR8" s="1835"/>
      <c r="AS8" s="1835"/>
      <c r="AT8" s="1835"/>
      <c r="AU8" s="160"/>
      <c r="AV8" s="621" t="str">
        <f>IF(OR($C$3="",$C$3="選択してください。"),"NG","OK")</f>
        <v>OK</v>
      </c>
      <c r="AW8" s="621" t="s">
        <v>3634</v>
      </c>
      <c r="AX8" s="151"/>
      <c r="AY8" s="151"/>
      <c r="AZ8" s="158" t="s">
        <v>355</v>
      </c>
      <c r="BA8" s="151" t="s">
        <v>1930</v>
      </c>
      <c r="BB8" s="151"/>
      <c r="BC8" s="151"/>
      <c r="BD8" s="151"/>
      <c r="BE8" s="151"/>
      <c r="BF8" s="152"/>
      <c r="BG8" s="152" t="s">
        <v>799</v>
      </c>
      <c r="BH8" s="152"/>
      <c r="BI8" s="152"/>
      <c r="BJ8" s="152"/>
      <c r="BK8" s="152"/>
      <c r="BL8" s="152" t="s">
        <v>2037</v>
      </c>
      <c r="BM8" s="152"/>
      <c r="BN8" s="152"/>
      <c r="BO8" s="152" t="s">
        <v>1189</v>
      </c>
      <c r="BP8" s="152" t="s">
        <v>1415</v>
      </c>
      <c r="BQ8" s="152" t="s">
        <v>799</v>
      </c>
      <c r="BR8" s="152" t="s">
        <v>3284</v>
      </c>
      <c r="BS8" s="294"/>
      <c r="BT8" s="152"/>
      <c r="BU8" s="152"/>
      <c r="BV8" s="152"/>
    </row>
    <row r="9" spans="1:80" ht="15">
      <c r="A9" s="921"/>
      <c r="B9" s="256"/>
      <c r="C9" s="1836" t="s">
        <v>4878</v>
      </c>
      <c r="D9" s="1836"/>
      <c r="E9" s="1836"/>
      <c r="F9" s="1836"/>
      <c r="G9" s="1836"/>
      <c r="H9" s="1836"/>
      <c r="I9" s="1836"/>
      <c r="J9" s="1836"/>
      <c r="K9" s="1836"/>
      <c r="L9" s="1836"/>
      <c r="M9" s="1836"/>
      <c r="N9" s="1836"/>
      <c r="O9" s="1836"/>
      <c r="P9" s="1836"/>
      <c r="Q9" s="1836"/>
      <c r="R9" s="1836"/>
      <c r="S9" s="1836"/>
      <c r="T9" s="1836"/>
      <c r="U9" s="1836"/>
      <c r="V9" s="1836"/>
      <c r="W9" s="1836"/>
      <c r="X9" s="1836"/>
      <c r="Y9" s="1836"/>
      <c r="Z9" s="1836"/>
      <c r="AA9" s="1836"/>
      <c r="AB9" s="1836"/>
      <c r="AC9" s="1836"/>
      <c r="AD9" s="1836"/>
      <c r="AE9" s="1836"/>
      <c r="AF9" s="1836"/>
      <c r="AG9" s="1836"/>
      <c r="AH9" s="1836"/>
      <c r="AI9" s="1836"/>
      <c r="AJ9" s="1836"/>
      <c r="AK9" s="1836"/>
      <c r="AL9" s="1836"/>
      <c r="AM9" s="1836"/>
      <c r="AN9" s="1836"/>
      <c r="AO9" s="1836"/>
      <c r="AP9" s="1836"/>
      <c r="AQ9" s="1836"/>
      <c r="AR9" s="1836"/>
      <c r="AS9" s="1836"/>
      <c r="AT9" s="1836"/>
      <c r="AU9" s="160"/>
      <c r="AV9" s="920"/>
      <c r="AW9" s="621" t="s">
        <v>3636</v>
      </c>
      <c r="AX9" s="151"/>
      <c r="AY9" s="151"/>
      <c r="AZ9" s="158" t="s">
        <v>360</v>
      </c>
      <c r="BA9" s="151" t="s">
        <v>1930</v>
      </c>
      <c r="BB9" s="151"/>
      <c r="BC9" s="151"/>
      <c r="BD9" s="151"/>
      <c r="BE9" s="151"/>
      <c r="BF9" s="152"/>
      <c r="BG9" s="152" t="s">
        <v>800</v>
      </c>
      <c r="BH9" s="152"/>
      <c r="BI9" s="152"/>
      <c r="BJ9" s="152"/>
      <c r="BK9" s="152"/>
      <c r="BL9" s="152" t="s">
        <v>2038</v>
      </c>
      <c r="BM9" s="152"/>
      <c r="BN9" s="152"/>
      <c r="BO9" s="152" t="s">
        <v>1190</v>
      </c>
      <c r="BP9" s="152" t="s">
        <v>1416</v>
      </c>
      <c r="BQ9" s="152" t="s">
        <v>800</v>
      </c>
      <c r="BR9" s="152" t="s">
        <v>3285</v>
      </c>
      <c r="BS9" s="294"/>
      <c r="BT9" s="152"/>
      <c r="BU9" s="152"/>
      <c r="BV9" s="152"/>
    </row>
    <row r="10" spans="1:80" ht="15.75" customHeight="1" thickBot="1">
      <c r="A10" s="163"/>
      <c r="B10" s="256"/>
      <c r="C10" s="3009"/>
      <c r="D10" s="3009"/>
      <c r="E10" s="3009"/>
      <c r="F10" s="3009"/>
      <c r="G10" s="3009"/>
      <c r="H10" s="3009"/>
      <c r="I10" s="3009"/>
      <c r="J10" s="3009"/>
      <c r="K10" s="3009"/>
      <c r="L10" s="3009"/>
      <c r="M10" s="3009"/>
      <c r="N10" s="3009"/>
      <c r="O10" s="3009"/>
      <c r="P10" s="3009"/>
      <c r="Q10" s="3009"/>
      <c r="R10" s="3009"/>
      <c r="S10" s="3009"/>
      <c r="T10" s="3009"/>
      <c r="U10" s="3009"/>
      <c r="V10" s="3009"/>
      <c r="W10" s="3009"/>
      <c r="X10" s="3009"/>
      <c r="Y10" s="3009"/>
      <c r="Z10" s="3009"/>
      <c r="AA10" s="3009"/>
      <c r="AB10" s="3009"/>
      <c r="AC10" s="3009"/>
      <c r="AD10" s="3009"/>
      <c r="AE10" s="3009"/>
      <c r="AF10" s="3009"/>
      <c r="AG10" s="3009"/>
      <c r="AH10" s="3009"/>
      <c r="AI10" s="3009"/>
      <c r="AJ10" s="3009"/>
      <c r="AK10" s="3009"/>
      <c r="AL10" s="3009"/>
      <c r="AM10" s="3009"/>
      <c r="AN10" s="3009"/>
      <c r="AO10" s="3009"/>
      <c r="AP10" s="3009"/>
      <c r="AQ10" s="3009"/>
      <c r="AR10" s="3009"/>
      <c r="AS10" s="3009"/>
      <c r="AT10" s="3009"/>
      <c r="AU10" s="160"/>
      <c r="AV10" s="920"/>
      <c r="AW10" s="621" t="s">
        <v>3839</v>
      </c>
      <c r="AX10" s="151"/>
      <c r="AY10" s="151"/>
      <c r="AZ10" s="158" t="s">
        <v>363</v>
      </c>
      <c r="BA10" s="151" t="s">
        <v>1930</v>
      </c>
      <c r="BB10" s="151"/>
      <c r="BC10" s="151"/>
      <c r="BD10" s="151"/>
      <c r="BE10" s="151"/>
      <c r="BF10" s="152"/>
      <c r="BG10" s="152" t="s">
        <v>801</v>
      </c>
      <c r="BH10" s="152"/>
      <c r="BI10" s="152"/>
      <c r="BJ10" s="152"/>
      <c r="BK10" s="152"/>
      <c r="BL10" s="152"/>
      <c r="BM10" s="152"/>
      <c r="BN10" s="152"/>
      <c r="BO10" s="152" t="s">
        <v>1191</v>
      </c>
      <c r="BP10" s="152" t="s">
        <v>1417</v>
      </c>
      <c r="BQ10" s="152" t="s">
        <v>801</v>
      </c>
      <c r="BR10" s="152" t="s">
        <v>3286</v>
      </c>
      <c r="BS10" s="294"/>
      <c r="BT10" s="152"/>
      <c r="BU10" s="152"/>
      <c r="BV10" s="152"/>
    </row>
    <row r="11" spans="1:80" ht="16.5" customHeight="1">
      <c r="A11" s="163"/>
      <c r="B11" s="256"/>
      <c r="C11" s="1825" t="s">
        <v>2087</v>
      </c>
      <c r="D11" s="1826"/>
      <c r="E11" s="1826"/>
      <c r="F11" s="1826"/>
      <c r="G11" s="1826"/>
      <c r="H11" s="1827"/>
      <c r="I11" s="3012" t="s">
        <v>4879</v>
      </c>
      <c r="J11" s="3013"/>
      <c r="K11" s="3013"/>
      <c r="L11" s="3013"/>
      <c r="M11" s="3013"/>
      <c r="N11" s="3013"/>
      <c r="O11" s="3013"/>
      <c r="P11" s="3013"/>
      <c r="Q11" s="3013"/>
      <c r="R11" s="3013"/>
      <c r="S11" s="3013"/>
      <c r="T11" s="3013"/>
      <c r="U11" s="3013"/>
      <c r="V11" s="3013"/>
      <c r="W11" s="3013"/>
      <c r="X11" s="3013"/>
      <c r="Y11" s="3013"/>
      <c r="Z11" s="3013"/>
      <c r="AA11" s="3013"/>
      <c r="AB11" s="3013"/>
      <c r="AC11" s="3013"/>
      <c r="AD11" s="3013"/>
      <c r="AE11" s="3013"/>
      <c r="AF11" s="3013"/>
      <c r="AG11" s="3013"/>
      <c r="AH11" s="3013"/>
      <c r="AI11" s="3013"/>
      <c r="AJ11" s="3013"/>
      <c r="AK11" s="3013"/>
      <c r="AL11" s="3013"/>
      <c r="AM11" s="3013"/>
      <c r="AN11" s="3013"/>
      <c r="AO11" s="3013"/>
      <c r="AP11" s="3013"/>
      <c r="AQ11" s="3013"/>
      <c r="AR11" s="3013"/>
      <c r="AS11" s="3013"/>
      <c r="AT11" s="3014"/>
      <c r="AU11" s="160"/>
      <c r="AV11" s="920"/>
      <c r="AW11" s="621"/>
      <c r="AX11" s="621" t="s">
        <v>3841</v>
      </c>
      <c r="AY11" s="151"/>
      <c r="AZ11" s="158" t="s">
        <v>365</v>
      </c>
      <c r="BA11" s="151" t="s">
        <v>1928</v>
      </c>
      <c r="BB11" s="151"/>
      <c r="BC11" s="151"/>
      <c r="BD11" s="151"/>
      <c r="BE11" s="151"/>
      <c r="BF11" s="164"/>
      <c r="BG11" s="164" t="s">
        <v>802</v>
      </c>
      <c r="BH11" s="164"/>
      <c r="BI11" s="164"/>
      <c r="BJ11" s="164"/>
      <c r="BK11" s="164"/>
      <c r="BL11" s="164"/>
      <c r="BM11" s="164"/>
      <c r="BN11" s="164"/>
      <c r="BO11" s="152" t="s">
        <v>1192</v>
      </c>
      <c r="BP11" s="164" t="s">
        <v>1418</v>
      </c>
      <c r="BQ11" s="152" t="s">
        <v>802</v>
      </c>
      <c r="BR11" s="152" t="s">
        <v>3287</v>
      </c>
      <c r="BS11" s="295"/>
      <c r="BT11" s="152"/>
      <c r="BU11" s="152"/>
      <c r="BV11" s="152"/>
    </row>
    <row r="12" spans="1:80" ht="16.5" customHeight="1">
      <c r="A12" s="148"/>
      <c r="B12" s="256"/>
      <c r="C12" s="1482"/>
      <c r="D12" s="1483"/>
      <c r="E12" s="1483"/>
      <c r="F12" s="1483"/>
      <c r="G12" s="1483"/>
      <c r="H12" s="1484"/>
      <c r="I12" s="2957" t="s">
        <v>4880</v>
      </c>
      <c r="J12" s="1474"/>
      <c r="K12" s="1474"/>
      <c r="L12" s="1474"/>
      <c r="M12" s="1474"/>
      <c r="N12" s="1474"/>
      <c r="O12" s="1474"/>
      <c r="P12" s="1474"/>
      <c r="Q12" s="1474"/>
      <c r="R12" s="1474"/>
      <c r="S12" s="1474"/>
      <c r="T12" s="1474"/>
      <c r="U12" s="1474"/>
      <c r="V12" s="1474"/>
      <c r="W12" s="1474"/>
      <c r="X12" s="1474"/>
      <c r="Y12" s="1474"/>
      <c r="Z12" s="1474"/>
      <c r="AA12" s="1474"/>
      <c r="AB12" s="1474"/>
      <c r="AC12" s="1474"/>
      <c r="AD12" s="1474"/>
      <c r="AE12" s="1474"/>
      <c r="AF12" s="1474"/>
      <c r="AG12" s="1474"/>
      <c r="AH12" s="1474"/>
      <c r="AI12" s="1474"/>
      <c r="AJ12" s="1474"/>
      <c r="AK12" s="1474"/>
      <c r="AL12" s="1474"/>
      <c r="AM12" s="1474"/>
      <c r="AN12" s="1474"/>
      <c r="AO12" s="1474"/>
      <c r="AP12" s="1474"/>
      <c r="AQ12" s="1474"/>
      <c r="AR12" s="1474"/>
      <c r="AS12" s="1474"/>
      <c r="AT12" s="2958"/>
      <c r="AU12" s="160"/>
      <c r="AV12" s="627">
        <v>1</v>
      </c>
      <c r="AW12" s="706" t="s">
        <v>2093</v>
      </c>
      <c r="AX12" s="151"/>
      <c r="AY12" s="151"/>
      <c r="AZ12" s="158" t="s">
        <v>369</v>
      </c>
      <c r="BA12" s="151" t="s">
        <v>1931</v>
      </c>
      <c r="BB12" s="151"/>
      <c r="BC12" s="151"/>
      <c r="BD12" s="151"/>
      <c r="BE12" s="151"/>
      <c r="BF12" s="152"/>
      <c r="BG12" s="152" t="s">
        <v>790</v>
      </c>
      <c r="BH12" s="152"/>
      <c r="BI12" s="152"/>
      <c r="BJ12" s="152"/>
      <c r="BK12" s="152"/>
      <c r="BL12" s="152"/>
      <c r="BM12" s="152"/>
      <c r="BN12" s="152"/>
      <c r="BO12" s="164" t="s">
        <v>1193</v>
      </c>
      <c r="BP12" s="152" t="s">
        <v>1419</v>
      </c>
      <c r="BQ12" s="152" t="s">
        <v>790</v>
      </c>
      <c r="BR12" s="152" t="s">
        <v>3288</v>
      </c>
      <c r="BS12" s="294"/>
      <c r="BT12" s="152"/>
      <c r="BU12" s="152"/>
      <c r="BV12" s="152"/>
    </row>
    <row r="13" spans="1:80" s="154" customFormat="1" ht="16.5" hidden="1" customHeight="1">
      <c r="A13" s="778" t="s">
        <v>1234</v>
      </c>
      <c r="B13" s="256">
        <f>IF(OR(AV8="NG",AV12=0,AV13=0,AV18=FALSE,AV21=0),1,0)</f>
        <v>1</v>
      </c>
      <c r="C13" s="1482"/>
      <c r="D13" s="1483"/>
      <c r="E13" s="1483"/>
      <c r="F13" s="1483"/>
      <c r="G13" s="1483"/>
      <c r="H13" s="1484"/>
      <c r="I13" s="3015"/>
      <c r="J13" s="3016"/>
      <c r="K13" s="3016"/>
      <c r="L13" s="3016"/>
      <c r="M13" s="3016"/>
      <c r="N13" s="3016"/>
      <c r="O13" s="3016"/>
      <c r="P13" s="3016"/>
      <c r="Q13" s="3016"/>
      <c r="R13" s="3016"/>
      <c r="S13" s="3016"/>
      <c r="T13" s="3016"/>
      <c r="U13" s="3016"/>
      <c r="V13" s="3016"/>
      <c r="W13" s="3016"/>
      <c r="X13" s="3016"/>
      <c r="Y13" s="3016"/>
      <c r="Z13" s="3016"/>
      <c r="AA13" s="3016"/>
      <c r="AB13" s="3016"/>
      <c r="AC13" s="3016"/>
      <c r="AD13" s="3016"/>
      <c r="AE13" s="3016"/>
      <c r="AF13" s="3016"/>
      <c r="AG13" s="3016"/>
      <c r="AH13" s="3016"/>
      <c r="AI13" s="3016"/>
      <c r="AJ13" s="3016"/>
      <c r="AK13" s="3016"/>
      <c r="AL13" s="3016"/>
      <c r="AM13" s="3016"/>
      <c r="AN13" s="3016"/>
      <c r="AO13" s="3016"/>
      <c r="AP13" s="3016"/>
      <c r="AQ13" s="3016"/>
      <c r="AR13" s="3016"/>
      <c r="AS13" s="3016"/>
      <c r="AT13" s="3017"/>
      <c r="AU13" s="160"/>
      <c r="AV13" s="691">
        <v>0</v>
      </c>
      <c r="AW13" s="706" t="s">
        <v>2088</v>
      </c>
      <c r="AX13" s="151"/>
      <c r="AY13" s="151"/>
      <c r="AZ13" s="158" t="s">
        <v>371</v>
      </c>
      <c r="BA13" s="151" t="s">
        <v>1931</v>
      </c>
      <c r="BB13" s="151"/>
      <c r="BC13" s="151"/>
      <c r="BD13" s="151"/>
      <c r="BE13" s="151"/>
      <c r="BF13" s="164"/>
      <c r="BG13" s="164" t="s">
        <v>803</v>
      </c>
      <c r="BH13" s="164"/>
      <c r="BI13" s="164"/>
      <c r="BJ13" s="164"/>
      <c r="BK13" s="164"/>
      <c r="BL13" s="164"/>
      <c r="BM13" s="164"/>
      <c r="BN13" s="164"/>
      <c r="BO13" s="152" t="s">
        <v>1194</v>
      </c>
      <c r="BP13" s="164" t="s">
        <v>1420</v>
      </c>
      <c r="BQ13" s="152" t="s">
        <v>803</v>
      </c>
      <c r="BR13" s="152" t="s">
        <v>3289</v>
      </c>
      <c r="BS13" s="295"/>
      <c r="BT13" s="152"/>
      <c r="BU13" s="152"/>
      <c r="BV13" s="152"/>
      <c r="BW13" s="153"/>
      <c r="BX13" s="153"/>
      <c r="BY13" s="153"/>
      <c r="BZ13" s="153"/>
      <c r="CA13" s="153"/>
      <c r="CB13" s="153"/>
    </row>
    <row r="14" spans="1:80" s="154" customFormat="1" ht="16" hidden="1">
      <c r="A14" s="778" t="s">
        <v>2260</v>
      </c>
      <c r="B14" s="256"/>
      <c r="C14" s="1482"/>
      <c r="D14" s="1483"/>
      <c r="E14" s="1483"/>
      <c r="F14" s="1483"/>
      <c r="G14" s="1483"/>
      <c r="H14" s="1484"/>
      <c r="I14" s="3010"/>
      <c r="J14" s="1808"/>
      <c r="K14" s="1808"/>
      <c r="L14" s="1808"/>
      <c r="M14" s="1808"/>
      <c r="N14" s="1808"/>
      <c r="O14" s="1808"/>
      <c r="P14" s="1808"/>
      <c r="Q14" s="1808"/>
      <c r="R14" s="1808"/>
      <c r="S14" s="1808"/>
      <c r="T14" s="1808"/>
      <c r="U14" s="1808"/>
      <c r="V14" s="1808"/>
      <c r="W14" s="1808"/>
      <c r="X14" s="1808"/>
      <c r="Y14" s="1808"/>
      <c r="Z14" s="1808"/>
      <c r="AA14" s="1808"/>
      <c r="AB14" s="1808"/>
      <c r="AC14" s="1808"/>
      <c r="AD14" s="1808"/>
      <c r="AE14" s="1808"/>
      <c r="AF14" s="1808"/>
      <c r="AG14" s="1808"/>
      <c r="AH14" s="1808"/>
      <c r="AI14" s="1808"/>
      <c r="AJ14" s="1808"/>
      <c r="AK14" s="1808"/>
      <c r="AL14" s="1808"/>
      <c r="AM14" s="1808"/>
      <c r="AN14" s="1808"/>
      <c r="AO14" s="1808"/>
      <c r="AP14" s="1808"/>
      <c r="AQ14" s="1808"/>
      <c r="AR14" s="1808"/>
      <c r="AS14" s="1808"/>
      <c r="AT14" s="3011"/>
      <c r="AU14" s="160"/>
      <c r="AV14" s="166"/>
      <c r="AW14" s="151"/>
      <c r="AX14" s="151"/>
      <c r="AY14" s="151"/>
      <c r="AZ14" s="158" t="s">
        <v>373</v>
      </c>
      <c r="BA14" s="151" t="s">
        <v>1931</v>
      </c>
      <c r="BB14" s="151"/>
      <c r="BC14" s="151"/>
      <c r="BD14" s="151"/>
      <c r="BE14" s="151"/>
      <c r="BF14" s="152"/>
      <c r="BG14" s="152" t="s">
        <v>1</v>
      </c>
      <c r="BH14" s="152"/>
      <c r="BI14" s="152"/>
      <c r="BJ14" s="152"/>
      <c r="BK14" s="152" t="s">
        <v>2039</v>
      </c>
      <c r="BL14" s="152"/>
      <c r="BM14" s="152"/>
      <c r="BN14" s="152"/>
      <c r="BO14" s="164" t="s">
        <v>1195</v>
      </c>
      <c r="BP14" s="152" t="s">
        <v>1421</v>
      </c>
      <c r="BQ14" s="152" t="s">
        <v>1</v>
      </c>
      <c r="BR14" s="152" t="s">
        <v>3290</v>
      </c>
      <c r="BS14" s="294"/>
      <c r="BT14" s="152"/>
      <c r="BU14" s="152"/>
      <c r="BV14" s="152"/>
      <c r="BW14" s="153"/>
      <c r="BX14" s="153"/>
      <c r="BY14" s="153"/>
      <c r="BZ14" s="153"/>
      <c r="CA14" s="153"/>
      <c r="CB14" s="153"/>
    </row>
    <row r="15" spans="1:80" s="154" customFormat="1" ht="16" hidden="1">
      <c r="A15" s="778" t="s">
        <v>2260</v>
      </c>
      <c r="B15" s="256"/>
      <c r="C15" s="1482"/>
      <c r="D15" s="1483"/>
      <c r="E15" s="1483"/>
      <c r="F15" s="1483"/>
      <c r="G15" s="1483"/>
      <c r="H15" s="1484"/>
      <c r="I15" s="2957"/>
      <c r="J15" s="1474"/>
      <c r="K15" s="1474"/>
      <c r="L15" s="1474"/>
      <c r="M15" s="1474"/>
      <c r="N15" s="1474"/>
      <c r="O15" s="1474"/>
      <c r="P15" s="1474"/>
      <c r="Q15" s="1474"/>
      <c r="R15" s="1474"/>
      <c r="S15" s="1474"/>
      <c r="T15" s="1474"/>
      <c r="U15" s="1474"/>
      <c r="V15" s="1474"/>
      <c r="W15" s="1474"/>
      <c r="X15" s="1474"/>
      <c r="Y15" s="1474"/>
      <c r="Z15" s="1474"/>
      <c r="AA15" s="1474"/>
      <c r="AB15" s="1474"/>
      <c r="AC15" s="1474"/>
      <c r="AD15" s="1474"/>
      <c r="AE15" s="1474"/>
      <c r="AF15" s="1474"/>
      <c r="AG15" s="1474"/>
      <c r="AH15" s="1474"/>
      <c r="AI15" s="1474"/>
      <c r="AJ15" s="1474"/>
      <c r="AK15" s="1474"/>
      <c r="AL15" s="1474"/>
      <c r="AM15" s="1474"/>
      <c r="AN15" s="1474"/>
      <c r="AO15" s="1474"/>
      <c r="AP15" s="1474"/>
      <c r="AQ15" s="1474"/>
      <c r="AR15" s="1474"/>
      <c r="AS15" s="1474"/>
      <c r="AT15" s="2958"/>
      <c r="AU15" s="160"/>
      <c r="AV15" s="166"/>
      <c r="AW15" s="151"/>
      <c r="AX15" s="151"/>
      <c r="AY15" s="151"/>
      <c r="AZ15" s="158" t="s">
        <v>374</v>
      </c>
      <c r="BA15" s="151" t="s">
        <v>1932</v>
      </c>
      <c r="BB15" s="151"/>
      <c r="BC15" s="151"/>
      <c r="BD15" s="151"/>
      <c r="BE15" s="151"/>
      <c r="BF15" s="152"/>
      <c r="BG15" s="152" t="s">
        <v>804</v>
      </c>
      <c r="BH15" s="152"/>
      <c r="BI15" s="152"/>
      <c r="BJ15" s="152"/>
      <c r="BK15" s="630" t="s">
        <v>2040</v>
      </c>
      <c r="BL15" s="152" t="s">
        <v>1052</v>
      </c>
      <c r="BM15" s="152"/>
      <c r="BN15" s="152"/>
      <c r="BO15" s="152" t="s">
        <v>1196</v>
      </c>
      <c r="BP15" s="152" t="s">
        <v>1422</v>
      </c>
      <c r="BQ15" s="152" t="s">
        <v>804</v>
      </c>
      <c r="BR15" s="152" t="s">
        <v>3291</v>
      </c>
      <c r="BS15" s="294"/>
      <c r="BT15" s="152"/>
      <c r="BU15" s="152"/>
      <c r="BV15" s="152"/>
      <c r="BW15" s="153"/>
      <c r="BX15" s="153"/>
      <c r="BY15" s="153"/>
      <c r="BZ15" s="153"/>
      <c r="CA15" s="153"/>
      <c r="CB15" s="153"/>
    </row>
    <row r="16" spans="1:80" ht="16">
      <c r="A16" s="148"/>
      <c r="B16" s="256"/>
      <c r="C16" s="1482"/>
      <c r="D16" s="1483"/>
      <c r="E16" s="1483"/>
      <c r="F16" s="1483"/>
      <c r="G16" s="1483"/>
      <c r="H16" s="1484"/>
      <c r="I16" s="2959" t="s">
        <v>2095</v>
      </c>
      <c r="J16" s="1395"/>
      <c r="K16" s="1395"/>
      <c r="L16" s="1395"/>
      <c r="M16" s="1395"/>
      <c r="N16" s="1395"/>
      <c r="O16" s="1395"/>
      <c r="P16" s="1395"/>
      <c r="Q16" s="1395"/>
      <c r="R16" s="1395"/>
      <c r="S16" s="1395"/>
      <c r="T16" s="1395"/>
      <c r="U16" s="1395"/>
      <c r="V16" s="1395"/>
      <c r="W16" s="1395"/>
      <c r="X16" s="1395"/>
      <c r="Y16" s="1395"/>
      <c r="Z16" s="1395"/>
      <c r="AA16" s="1395"/>
      <c r="AB16" s="1395"/>
      <c r="AC16" s="1395"/>
      <c r="AD16" s="1395"/>
      <c r="AE16" s="1395"/>
      <c r="AF16" s="1395"/>
      <c r="AG16" s="1395"/>
      <c r="AH16" s="1395"/>
      <c r="AI16" s="1395"/>
      <c r="AJ16" s="1395"/>
      <c r="AK16" s="1395"/>
      <c r="AL16" s="1395"/>
      <c r="AM16" s="1395"/>
      <c r="AN16" s="1395"/>
      <c r="AO16" s="1395"/>
      <c r="AP16" s="1395"/>
      <c r="AQ16" s="1395"/>
      <c r="AR16" s="1395"/>
      <c r="AS16" s="1395"/>
      <c r="AT16" s="1396"/>
      <c r="AU16" s="160"/>
      <c r="AW16" s="151"/>
      <c r="AX16" s="151"/>
      <c r="AY16" s="151"/>
      <c r="AZ16" s="158" t="s">
        <v>760</v>
      </c>
      <c r="BA16" s="151" t="s">
        <v>1931</v>
      </c>
      <c r="BB16" s="151"/>
      <c r="BC16" s="151"/>
      <c r="BD16" s="151"/>
      <c r="BE16" s="151"/>
      <c r="BF16" s="152"/>
      <c r="BG16" s="152" t="s">
        <v>805</v>
      </c>
      <c r="BH16" s="152"/>
      <c r="BI16" s="152"/>
      <c r="BJ16" s="152"/>
      <c r="BK16" s="630" t="s">
        <v>791</v>
      </c>
      <c r="BL16" s="152" t="s">
        <v>2033</v>
      </c>
      <c r="BM16" s="152"/>
      <c r="BN16" s="152"/>
      <c r="BO16" s="152" t="s">
        <v>1197</v>
      </c>
      <c r="BP16" s="152" t="s">
        <v>1423</v>
      </c>
      <c r="BQ16" s="152" t="s">
        <v>805</v>
      </c>
      <c r="BR16" s="152" t="s">
        <v>3292</v>
      </c>
      <c r="BS16" s="294"/>
      <c r="BT16" s="152"/>
      <c r="BU16" s="152"/>
      <c r="BV16" s="152"/>
    </row>
    <row r="17" spans="1:80" ht="30" customHeight="1" thickBot="1">
      <c r="A17" s="148"/>
      <c r="B17" s="256"/>
      <c r="C17" s="1495"/>
      <c r="D17" s="1496"/>
      <c r="E17" s="1496"/>
      <c r="F17" s="1496"/>
      <c r="G17" s="1496"/>
      <c r="H17" s="1497"/>
      <c r="I17" s="785" t="s">
        <v>1181</v>
      </c>
      <c r="J17" s="167"/>
      <c r="K17" s="688"/>
      <c r="L17" s="688"/>
      <c r="M17" s="688"/>
      <c r="N17" s="688"/>
      <c r="O17" s="689"/>
      <c r="P17" s="690"/>
      <c r="Q17" s="704"/>
      <c r="R17" s="704"/>
      <c r="S17" s="704"/>
      <c r="T17" s="704"/>
      <c r="U17" s="704"/>
      <c r="V17" s="704"/>
      <c r="W17" s="704"/>
      <c r="X17" s="704"/>
      <c r="Y17" s="704"/>
      <c r="Z17" s="704"/>
      <c r="AA17" s="704"/>
      <c r="AB17" s="704"/>
      <c r="AC17" s="704"/>
      <c r="AD17" s="704"/>
      <c r="AE17" s="704"/>
      <c r="AF17" s="704"/>
      <c r="AG17" s="704"/>
      <c r="AH17" s="704"/>
      <c r="AI17" s="704"/>
      <c r="AJ17" s="704"/>
      <c r="AK17" s="704"/>
      <c r="AL17" s="704"/>
      <c r="AM17" s="704"/>
      <c r="AN17" s="704"/>
      <c r="AO17" s="704"/>
      <c r="AP17" s="704"/>
      <c r="AQ17" s="704"/>
      <c r="AR17" s="704"/>
      <c r="AS17" s="704"/>
      <c r="AT17" s="705"/>
      <c r="AU17" s="160"/>
      <c r="AW17" s="151"/>
      <c r="AX17" s="151"/>
      <c r="AY17" s="151"/>
      <c r="AZ17" s="158" t="s">
        <v>965</v>
      </c>
      <c r="BA17" s="151" t="s">
        <v>1933</v>
      </c>
      <c r="BB17" s="151"/>
      <c r="BC17" s="151"/>
      <c r="BD17" s="151"/>
      <c r="BE17" s="151"/>
      <c r="BF17" s="152"/>
      <c r="BG17" s="152" t="s">
        <v>806</v>
      </c>
      <c r="BH17" s="152"/>
      <c r="BI17" s="152"/>
      <c r="BJ17" s="152"/>
      <c r="BK17" s="630" t="s">
        <v>793</v>
      </c>
      <c r="BL17" s="152" t="s">
        <v>2034</v>
      </c>
      <c r="BM17" s="152"/>
      <c r="BN17" s="152"/>
      <c r="BO17" s="152" t="s">
        <v>1198</v>
      </c>
      <c r="BP17" s="152" t="s">
        <v>1424</v>
      </c>
      <c r="BQ17" s="152" t="s">
        <v>806</v>
      </c>
      <c r="BR17" s="152" t="s">
        <v>3293</v>
      </c>
      <c r="BS17" s="294"/>
      <c r="BT17" s="152"/>
      <c r="BU17" s="152"/>
      <c r="BV17" s="152"/>
    </row>
    <row r="18" spans="1:80" ht="18" customHeight="1">
      <c r="A18" s="148"/>
      <c r="B18" s="256"/>
      <c r="C18" s="1482" t="s">
        <v>2086</v>
      </c>
      <c r="D18" s="1483"/>
      <c r="E18" s="1483"/>
      <c r="F18" s="1483"/>
      <c r="G18" s="1483"/>
      <c r="H18" s="1484"/>
      <c r="I18" s="701"/>
      <c r="J18" s="679"/>
      <c r="K18" s="679"/>
      <c r="L18" s="1474" t="s">
        <v>2091</v>
      </c>
      <c r="M18" s="1474"/>
      <c r="N18" s="1474"/>
      <c r="O18" s="1474"/>
      <c r="P18" s="693"/>
      <c r="Q18" s="693"/>
      <c r="R18" s="693"/>
      <c r="S18" s="1806" t="s">
        <v>2092</v>
      </c>
      <c r="T18" s="1806"/>
      <c r="U18" s="1806"/>
      <c r="V18" s="1806"/>
      <c r="W18" s="693"/>
      <c r="X18" s="693"/>
      <c r="Y18" s="693"/>
      <c r="Z18" s="693"/>
      <c r="AA18" s="702"/>
      <c r="AB18" s="703"/>
      <c r="AC18" s="693"/>
      <c r="AD18" s="693"/>
      <c r="AE18" s="1808" t="s">
        <v>2089</v>
      </c>
      <c r="AF18" s="1808"/>
      <c r="AG18" s="1808"/>
      <c r="AH18" s="1808"/>
      <c r="AI18" s="693"/>
      <c r="AJ18" s="693"/>
      <c r="AK18" s="693"/>
      <c r="AL18" s="1808" t="s">
        <v>2090</v>
      </c>
      <c r="AM18" s="1808"/>
      <c r="AN18" s="1808"/>
      <c r="AO18" s="1808"/>
      <c r="AP18" s="693"/>
      <c r="AQ18" s="693"/>
      <c r="AR18" s="693"/>
      <c r="AS18" s="693"/>
      <c r="AT18" s="694"/>
      <c r="AU18" s="160"/>
      <c r="AV18" s="151" t="b">
        <v>0</v>
      </c>
      <c r="AW18" s="151" t="s">
        <v>2094</v>
      </c>
      <c r="AX18" s="151"/>
      <c r="AY18" s="151"/>
      <c r="AZ18" s="166" t="s">
        <v>375</v>
      </c>
      <c r="BA18" s="151" t="s">
        <v>1933</v>
      </c>
      <c r="BB18" s="151"/>
      <c r="BC18" s="151"/>
      <c r="BD18" s="151"/>
      <c r="BE18" s="151"/>
      <c r="BF18" s="152"/>
      <c r="BG18" s="152" t="s">
        <v>807</v>
      </c>
      <c r="BH18" s="152"/>
      <c r="BI18" s="152"/>
      <c r="BJ18" s="152"/>
      <c r="BK18" s="630" t="s">
        <v>795</v>
      </c>
      <c r="BL18" s="152" t="s">
        <v>2035</v>
      </c>
      <c r="BM18" s="152"/>
      <c r="BN18" s="152"/>
      <c r="BO18" s="152" t="s">
        <v>1199</v>
      </c>
      <c r="BP18" s="152" t="s">
        <v>1425</v>
      </c>
      <c r="BQ18" s="152" t="s">
        <v>807</v>
      </c>
      <c r="BR18" s="152" t="s">
        <v>3294</v>
      </c>
      <c r="BS18" s="294"/>
      <c r="BT18" s="152"/>
      <c r="BU18" s="152"/>
      <c r="BV18" s="152"/>
    </row>
    <row r="19" spans="1:80" ht="18" customHeight="1" thickBot="1">
      <c r="A19" s="148"/>
      <c r="B19" s="256"/>
      <c r="C19" s="1495"/>
      <c r="D19" s="1496"/>
      <c r="E19" s="1496"/>
      <c r="F19" s="1496"/>
      <c r="G19" s="1496"/>
      <c r="H19" s="1497"/>
      <c r="I19" s="695"/>
      <c r="J19" s="680"/>
      <c r="K19" s="680"/>
      <c r="L19" s="1475"/>
      <c r="M19" s="1475"/>
      <c r="N19" s="1475"/>
      <c r="O19" s="1475"/>
      <c r="P19" s="696"/>
      <c r="Q19" s="697"/>
      <c r="R19" s="697"/>
      <c r="S19" s="1807"/>
      <c r="T19" s="1807"/>
      <c r="U19" s="1807"/>
      <c r="V19" s="1807"/>
      <c r="W19" s="697"/>
      <c r="X19" s="697"/>
      <c r="Y19" s="697"/>
      <c r="Z19" s="697"/>
      <c r="AA19" s="698"/>
      <c r="AB19" s="700"/>
      <c r="AC19" s="697"/>
      <c r="AD19" s="697"/>
      <c r="AE19" s="1809"/>
      <c r="AF19" s="1809"/>
      <c r="AG19" s="1809"/>
      <c r="AH19" s="1809"/>
      <c r="AI19" s="697"/>
      <c r="AJ19" s="697"/>
      <c r="AK19" s="697"/>
      <c r="AL19" s="1809"/>
      <c r="AM19" s="1809"/>
      <c r="AN19" s="1809"/>
      <c r="AO19" s="1809"/>
      <c r="AP19" s="697"/>
      <c r="AQ19" s="697"/>
      <c r="AR19" s="697"/>
      <c r="AS19" s="697"/>
      <c r="AT19" s="699"/>
      <c r="AU19" s="160"/>
      <c r="AV19" s="151"/>
      <c r="AW19" s="151"/>
      <c r="AX19" s="151"/>
      <c r="AY19" s="151"/>
      <c r="BA19" s="151"/>
      <c r="BB19" s="151"/>
      <c r="BC19" s="151"/>
      <c r="BD19" s="151"/>
      <c r="BE19" s="151"/>
      <c r="BF19" s="152"/>
      <c r="BG19" s="152" t="s">
        <v>808</v>
      </c>
      <c r="BH19" s="152"/>
      <c r="BI19" s="152"/>
      <c r="BJ19" s="152"/>
      <c r="BK19" s="630" t="s">
        <v>797</v>
      </c>
      <c r="BL19" s="152" t="s">
        <v>2041</v>
      </c>
      <c r="BM19" s="152"/>
      <c r="BN19" s="152"/>
      <c r="BO19" s="152" t="s">
        <v>1200</v>
      </c>
      <c r="BP19" s="152" t="s">
        <v>1426</v>
      </c>
      <c r="BQ19" s="152" t="s">
        <v>808</v>
      </c>
      <c r="BR19" s="152" t="s">
        <v>3295</v>
      </c>
      <c r="BS19" s="294"/>
      <c r="BT19" s="152"/>
      <c r="BU19" s="152"/>
      <c r="BV19" s="152"/>
    </row>
    <row r="20" spans="1:80" ht="18.649999999999999" customHeight="1">
      <c r="A20" s="148"/>
      <c r="B20" s="249"/>
      <c r="C20" s="1551" t="s">
        <v>1072</v>
      </c>
      <c r="D20" s="1552"/>
      <c r="E20" s="1552"/>
      <c r="F20" s="1552"/>
      <c r="G20" s="1552"/>
      <c r="H20" s="1553"/>
      <c r="I20" s="1810" t="s">
        <v>1074</v>
      </c>
      <c r="J20" s="1811"/>
      <c r="K20" s="1811"/>
      <c r="L20" s="1811"/>
      <c r="M20" s="1811"/>
      <c r="N20" s="1811"/>
      <c r="O20" s="1811"/>
      <c r="P20" s="1811"/>
      <c r="Q20" s="1811"/>
      <c r="R20" s="1811"/>
      <c r="S20" s="1811"/>
      <c r="T20" s="1811"/>
      <c r="U20" s="1811"/>
      <c r="V20" s="1811"/>
      <c r="W20" s="1811"/>
      <c r="X20" s="1811"/>
      <c r="Y20" s="1811"/>
      <c r="Z20" s="1811"/>
      <c r="AA20" s="1811"/>
      <c r="AB20" s="1811"/>
      <c r="AC20" s="1811"/>
      <c r="AD20" s="1811"/>
      <c r="AE20" s="1811"/>
      <c r="AF20" s="1811"/>
      <c r="AG20" s="1811"/>
      <c r="AH20" s="1811"/>
      <c r="AI20" s="1811"/>
      <c r="AJ20" s="1811"/>
      <c r="AK20" s="1811"/>
      <c r="AL20" s="1811"/>
      <c r="AM20" s="1811"/>
      <c r="AN20" s="676"/>
      <c r="AO20" s="1816" t="s">
        <v>1096</v>
      </c>
      <c r="AP20" s="1816"/>
      <c r="AQ20" s="1816"/>
      <c r="AR20" s="1782" t="s">
        <v>1176</v>
      </c>
      <c r="AS20" s="1782"/>
      <c r="AT20" s="1783"/>
      <c r="AU20" s="160"/>
      <c r="AV20" s="151"/>
      <c r="AW20" s="151"/>
      <c r="AX20" s="151"/>
      <c r="AY20" s="151"/>
      <c r="BA20" s="151"/>
      <c r="BB20" s="151"/>
      <c r="BC20" s="151"/>
      <c r="BD20" s="151"/>
      <c r="BE20" s="151"/>
      <c r="BF20" s="152"/>
      <c r="BG20" s="152" t="s">
        <v>809</v>
      </c>
      <c r="BH20" s="152"/>
      <c r="BI20" s="152"/>
      <c r="BJ20" s="152"/>
      <c r="BK20" s="630" t="s">
        <v>799</v>
      </c>
      <c r="BL20" s="152" t="s">
        <v>2041</v>
      </c>
      <c r="BM20" s="152"/>
      <c r="BN20" s="152"/>
      <c r="BO20" s="152" t="s">
        <v>1201</v>
      </c>
      <c r="BP20" s="152" t="s">
        <v>1427</v>
      </c>
      <c r="BQ20" s="152" t="s">
        <v>809</v>
      </c>
      <c r="BR20" s="152" t="s">
        <v>3296</v>
      </c>
      <c r="BS20" s="294"/>
      <c r="BT20" s="152"/>
      <c r="BU20" s="152"/>
      <c r="BV20" s="152"/>
    </row>
    <row r="21" spans="1:80" ht="18.649999999999999" customHeight="1">
      <c r="A21" s="148"/>
      <c r="B21" s="249"/>
      <c r="C21" s="1409"/>
      <c r="D21" s="1410"/>
      <c r="E21" s="1410"/>
      <c r="F21" s="1410"/>
      <c r="G21" s="1410"/>
      <c r="H21" s="1411"/>
      <c r="I21" s="1812"/>
      <c r="J21" s="1813"/>
      <c r="K21" s="1813"/>
      <c r="L21" s="1813"/>
      <c r="M21" s="1813"/>
      <c r="N21" s="1813"/>
      <c r="O21" s="1813"/>
      <c r="P21" s="1813"/>
      <c r="Q21" s="1813"/>
      <c r="R21" s="1813"/>
      <c r="S21" s="1813"/>
      <c r="T21" s="1813"/>
      <c r="U21" s="1813"/>
      <c r="V21" s="1813"/>
      <c r="W21" s="1813"/>
      <c r="X21" s="1813"/>
      <c r="Y21" s="1813"/>
      <c r="Z21" s="1813"/>
      <c r="AA21" s="1813"/>
      <c r="AB21" s="1813"/>
      <c r="AC21" s="1813"/>
      <c r="AD21" s="1813"/>
      <c r="AE21" s="1813"/>
      <c r="AF21" s="1813"/>
      <c r="AG21" s="1813"/>
      <c r="AH21" s="1813"/>
      <c r="AI21" s="1813"/>
      <c r="AJ21" s="1813"/>
      <c r="AK21" s="1813"/>
      <c r="AL21" s="1813"/>
      <c r="AM21" s="1813"/>
      <c r="AN21" s="677" t="s">
        <v>1175</v>
      </c>
      <c r="AO21" s="1817"/>
      <c r="AP21" s="1817"/>
      <c r="AQ21" s="1817"/>
      <c r="AR21" s="1784"/>
      <c r="AS21" s="1784"/>
      <c r="AT21" s="1785"/>
      <c r="AU21" s="160"/>
      <c r="AV21" s="627">
        <v>0</v>
      </c>
      <c r="AW21" s="151" t="s">
        <v>2097</v>
      </c>
      <c r="AX21" s="151"/>
      <c r="AY21" s="151"/>
      <c r="BA21" s="151"/>
      <c r="BB21" s="151"/>
      <c r="BC21" s="151"/>
      <c r="BD21" s="151"/>
      <c r="BE21" s="151"/>
      <c r="BF21" s="152"/>
      <c r="BG21" s="152" t="s">
        <v>810</v>
      </c>
      <c r="BH21" s="152"/>
      <c r="BI21" s="152"/>
      <c r="BJ21" s="152"/>
      <c r="BK21" s="630" t="s">
        <v>800</v>
      </c>
      <c r="BL21" s="152" t="s">
        <v>2041</v>
      </c>
      <c r="BM21" s="152"/>
      <c r="BN21" s="152"/>
      <c r="BO21" s="152" t="s">
        <v>1202</v>
      </c>
      <c r="BP21" s="152" t="s">
        <v>1428</v>
      </c>
      <c r="BQ21" s="152" t="s">
        <v>810</v>
      </c>
      <c r="BR21" s="152" t="s">
        <v>3297</v>
      </c>
      <c r="BS21" s="294"/>
      <c r="BT21" s="152"/>
      <c r="BU21" s="152"/>
      <c r="BV21" s="152"/>
    </row>
    <row r="22" spans="1:80" ht="18.649999999999999" customHeight="1" thickBot="1">
      <c r="A22" s="148"/>
      <c r="B22" s="249"/>
      <c r="C22" s="1412"/>
      <c r="D22" s="1413"/>
      <c r="E22" s="1413"/>
      <c r="F22" s="1413"/>
      <c r="G22" s="1413"/>
      <c r="H22" s="1414"/>
      <c r="I22" s="1814"/>
      <c r="J22" s="1815"/>
      <c r="K22" s="1815"/>
      <c r="L22" s="1815"/>
      <c r="M22" s="1815"/>
      <c r="N22" s="1815"/>
      <c r="O22" s="1815"/>
      <c r="P22" s="1815"/>
      <c r="Q22" s="1815"/>
      <c r="R22" s="1815"/>
      <c r="S22" s="1815"/>
      <c r="T22" s="1815"/>
      <c r="U22" s="1815"/>
      <c r="V22" s="1815"/>
      <c r="W22" s="1815"/>
      <c r="X22" s="1815"/>
      <c r="Y22" s="1815"/>
      <c r="Z22" s="1815"/>
      <c r="AA22" s="1815"/>
      <c r="AB22" s="1815"/>
      <c r="AC22" s="1815"/>
      <c r="AD22" s="1815"/>
      <c r="AE22" s="1815"/>
      <c r="AF22" s="1815"/>
      <c r="AG22" s="1815"/>
      <c r="AH22" s="1815"/>
      <c r="AI22" s="1815"/>
      <c r="AJ22" s="1815"/>
      <c r="AK22" s="1815"/>
      <c r="AL22" s="1815"/>
      <c r="AM22" s="1815"/>
      <c r="AN22" s="678"/>
      <c r="AO22" s="1818"/>
      <c r="AP22" s="1818"/>
      <c r="AQ22" s="1818"/>
      <c r="AR22" s="1786"/>
      <c r="AS22" s="1786"/>
      <c r="AT22" s="1787"/>
      <c r="AU22" s="160"/>
      <c r="AV22" s="151"/>
      <c r="AW22" s="151"/>
      <c r="AX22" s="151"/>
      <c r="AY22" s="151"/>
      <c r="BA22" s="151"/>
      <c r="BB22" s="151"/>
      <c r="BC22" s="151"/>
      <c r="BD22" s="151"/>
      <c r="BE22" s="151"/>
      <c r="BF22" s="152"/>
      <c r="BG22" s="168" t="s">
        <v>792</v>
      </c>
      <c r="BH22" s="152"/>
      <c r="BI22" s="152"/>
      <c r="BJ22" s="152"/>
      <c r="BK22" s="152"/>
      <c r="BL22" s="152"/>
      <c r="BM22" s="152"/>
      <c r="BN22" s="152"/>
      <c r="BO22" s="152" t="s">
        <v>1203</v>
      </c>
      <c r="BP22" s="152" t="s">
        <v>1429</v>
      </c>
      <c r="BQ22" s="152" t="s">
        <v>792</v>
      </c>
      <c r="BR22" s="152" t="s">
        <v>3298</v>
      </c>
      <c r="BS22" s="294"/>
      <c r="BT22" s="152"/>
      <c r="BU22" s="152"/>
      <c r="BV22" s="152"/>
    </row>
    <row r="23" spans="1:80" ht="18.649999999999999" customHeight="1">
      <c r="A23" s="148"/>
      <c r="B23" s="249"/>
      <c r="C23" s="2955" t="str">
        <f>IF(AV18=FALSE,"↑規約をご確認のうえ、申し込みのチェックをお願いいたします。",IF(OR(AV12=0,AV13=0),"↑申込区分の選択をお願いいたします。",IF(AV21=0,"↑特定商取引法、消費者契約法に関するご申告をお願いいたします。",IF(OR(AV27="NG"),"↓フリガナには数字・記号を入れずカナのみご記入下さい。",IF(OR(B27=1,B48=1,B60=1,B104=1,B117=1),"↓未記入の箇所がございます。お手数ですが全て漏れなくご記入下さい。","")))))</f>
        <v>↑規約をご確認のうえ、申し込みのチェックをお願いいたします。</v>
      </c>
      <c r="D23" s="2955"/>
      <c r="E23" s="2955"/>
      <c r="F23" s="2955"/>
      <c r="G23" s="2955"/>
      <c r="H23" s="2955"/>
      <c r="I23" s="2955"/>
      <c r="J23" s="2955"/>
      <c r="K23" s="2955"/>
      <c r="L23" s="2955"/>
      <c r="M23" s="2955"/>
      <c r="N23" s="2955"/>
      <c r="O23" s="2955"/>
      <c r="P23" s="2955"/>
      <c r="Q23" s="2955"/>
      <c r="R23" s="2955"/>
      <c r="S23" s="2955"/>
      <c r="T23" s="2955"/>
      <c r="U23" s="2955"/>
      <c r="V23" s="2955"/>
      <c r="W23" s="2955"/>
      <c r="X23" s="2955"/>
      <c r="Y23" s="2955"/>
      <c r="Z23" s="2955"/>
      <c r="AA23" s="2955"/>
      <c r="AB23" s="2955"/>
      <c r="AC23" s="2955"/>
      <c r="AD23" s="2955"/>
      <c r="AE23" s="2955"/>
      <c r="AF23" s="2955"/>
      <c r="AG23" s="2955"/>
      <c r="AH23" s="2955"/>
      <c r="AI23" s="2955"/>
      <c r="AJ23" s="2955"/>
      <c r="AK23" s="2955"/>
      <c r="AL23" s="2955"/>
      <c r="AM23" s="2955"/>
      <c r="AN23" s="2955"/>
      <c r="AO23" s="2955"/>
      <c r="AP23" s="2955"/>
      <c r="AQ23" s="2955"/>
      <c r="AR23" s="2955"/>
      <c r="AS23" s="2955"/>
      <c r="AT23" s="2955"/>
      <c r="AU23" s="160"/>
      <c r="AV23" s="151"/>
      <c r="AW23" s="151"/>
      <c r="AX23" s="151"/>
      <c r="AY23" s="151"/>
      <c r="BA23" s="151"/>
      <c r="BB23" s="151"/>
      <c r="BC23" s="151"/>
      <c r="BD23" s="151"/>
      <c r="BE23" s="151"/>
      <c r="BF23" s="152"/>
      <c r="BG23" s="152" t="s">
        <v>811</v>
      </c>
      <c r="BH23" s="152"/>
      <c r="BI23" s="152"/>
      <c r="BJ23" s="152"/>
      <c r="BK23" s="152" t="s">
        <v>2042</v>
      </c>
      <c r="BL23" s="152"/>
      <c r="BM23" s="152"/>
      <c r="BN23" s="152"/>
      <c r="BO23" s="152" t="s">
        <v>1204</v>
      </c>
      <c r="BP23" s="152" t="s">
        <v>1430</v>
      </c>
      <c r="BQ23" s="152" t="s">
        <v>811</v>
      </c>
      <c r="BR23" s="152" t="s">
        <v>3299</v>
      </c>
      <c r="BS23" s="294"/>
      <c r="BT23" s="152"/>
      <c r="BU23" s="152"/>
      <c r="BV23" s="152"/>
    </row>
    <row r="24" spans="1:80" ht="18.649999999999999" customHeight="1">
      <c r="A24" s="148"/>
      <c r="B24" s="249"/>
      <c r="C24" s="2956"/>
      <c r="D24" s="2956"/>
      <c r="E24" s="2956"/>
      <c r="F24" s="2956"/>
      <c r="G24" s="2956"/>
      <c r="H24" s="2956"/>
      <c r="I24" s="2956"/>
      <c r="J24" s="2956"/>
      <c r="K24" s="2956"/>
      <c r="L24" s="2956"/>
      <c r="M24" s="2956"/>
      <c r="N24" s="2956"/>
      <c r="O24" s="2956"/>
      <c r="P24" s="2956"/>
      <c r="Q24" s="2956"/>
      <c r="R24" s="2956"/>
      <c r="S24" s="2956"/>
      <c r="T24" s="2956"/>
      <c r="U24" s="2956"/>
      <c r="V24" s="2956"/>
      <c r="W24" s="2956"/>
      <c r="X24" s="2956"/>
      <c r="Y24" s="2956"/>
      <c r="Z24" s="2956"/>
      <c r="AA24" s="2956"/>
      <c r="AB24" s="2956"/>
      <c r="AC24" s="2956"/>
      <c r="AD24" s="2956"/>
      <c r="AE24" s="2956"/>
      <c r="AF24" s="2956"/>
      <c r="AG24" s="2956"/>
      <c r="AH24" s="2956"/>
      <c r="AI24" s="2956"/>
      <c r="AJ24" s="2956"/>
      <c r="AK24" s="2956"/>
      <c r="AL24" s="2956"/>
      <c r="AM24" s="2956"/>
      <c r="AN24" s="2956"/>
      <c r="AO24" s="2956"/>
      <c r="AP24" s="2956"/>
      <c r="AQ24" s="2956"/>
      <c r="AR24" s="2956"/>
      <c r="AS24" s="2956"/>
      <c r="AT24" s="2956"/>
      <c r="AU24" s="160"/>
      <c r="AV24" s="151"/>
      <c r="AW24" s="151"/>
      <c r="AX24" s="151"/>
      <c r="AY24" s="151"/>
      <c r="BA24" s="151"/>
      <c r="BB24" s="151"/>
      <c r="BC24" s="151"/>
      <c r="BD24" s="151"/>
      <c r="BE24" s="151"/>
      <c r="BF24" s="152"/>
      <c r="BG24" s="152" t="s">
        <v>812</v>
      </c>
      <c r="BH24" s="152"/>
      <c r="BI24" s="152"/>
      <c r="BJ24" s="152"/>
      <c r="BK24" s="630" t="s">
        <v>2040</v>
      </c>
      <c r="BL24" s="152" t="s">
        <v>2043</v>
      </c>
      <c r="BM24" s="152"/>
      <c r="BN24" s="152"/>
      <c r="BO24" s="152" t="s">
        <v>1205</v>
      </c>
      <c r="BP24" s="152" t="s">
        <v>1431</v>
      </c>
      <c r="BQ24" s="152" t="s">
        <v>812</v>
      </c>
      <c r="BR24" s="152" t="s">
        <v>3300</v>
      </c>
      <c r="BS24" s="294"/>
      <c r="BT24" s="152"/>
      <c r="BU24" s="152"/>
      <c r="BV24" s="152"/>
    </row>
    <row r="25" spans="1:80" ht="18.649999999999999" customHeight="1">
      <c r="A25" s="148"/>
      <c r="B25" s="249"/>
      <c r="C25" s="169"/>
      <c r="D25" s="163"/>
      <c r="E25" s="163"/>
      <c r="F25" s="163"/>
      <c r="G25" s="163"/>
      <c r="H25" s="163"/>
      <c r="I25" s="163"/>
      <c r="J25" s="163"/>
      <c r="K25" s="163"/>
      <c r="L25" s="163"/>
      <c r="M25" s="1474" t="s">
        <v>945</v>
      </c>
      <c r="N25" s="1474"/>
      <c r="O25" s="1474"/>
      <c r="P25" s="1474"/>
      <c r="Q25" s="1474"/>
      <c r="R25" s="1474"/>
      <c r="S25" s="1474"/>
      <c r="T25" s="1474"/>
      <c r="U25" s="1474"/>
      <c r="V25" s="1474"/>
      <c r="W25" s="1474"/>
      <c r="X25" s="1474"/>
      <c r="Y25" s="1474"/>
      <c r="Z25" s="1474"/>
      <c r="AA25" s="1474"/>
      <c r="AB25" s="1474"/>
      <c r="AC25" s="1474"/>
      <c r="AD25" s="1474"/>
      <c r="AE25" s="1474"/>
      <c r="AF25" s="1474"/>
      <c r="AG25" s="1474"/>
      <c r="AH25" s="1474"/>
      <c r="AI25" s="1474"/>
      <c r="AJ25" s="1474"/>
      <c r="AK25" s="1474"/>
      <c r="AL25" s="1474"/>
      <c r="AM25" s="1474"/>
      <c r="AN25" s="1474"/>
      <c r="AO25" s="1474"/>
      <c r="AP25" s="1474"/>
      <c r="AQ25" s="1474"/>
      <c r="AR25" s="1474"/>
      <c r="AS25" s="1474"/>
      <c r="AT25" s="1474"/>
      <c r="AU25" s="160"/>
      <c r="AV25" s="151"/>
      <c r="AW25" s="151"/>
      <c r="AX25" s="151"/>
      <c r="AY25" s="151"/>
      <c r="BA25" s="151"/>
      <c r="BB25" s="151"/>
      <c r="BC25" s="151"/>
      <c r="BD25" s="151"/>
      <c r="BE25" s="151"/>
      <c r="BF25" s="152"/>
      <c r="BG25" s="152" t="s">
        <v>813</v>
      </c>
      <c r="BH25" s="152"/>
      <c r="BI25" s="152"/>
      <c r="BJ25" s="152"/>
      <c r="BK25" s="630" t="s">
        <v>791</v>
      </c>
      <c r="BL25" s="152" t="s">
        <v>2044</v>
      </c>
      <c r="BM25" s="152"/>
      <c r="BN25" s="152"/>
      <c r="BO25" s="152" t="s">
        <v>1206</v>
      </c>
      <c r="BP25" s="152" t="s">
        <v>1432</v>
      </c>
      <c r="BQ25" s="152" t="s">
        <v>813</v>
      </c>
      <c r="BR25" s="152" t="s">
        <v>3301</v>
      </c>
      <c r="BS25" s="294"/>
      <c r="BT25" s="152"/>
      <c r="BU25" s="152"/>
      <c r="BV25" s="152"/>
    </row>
    <row r="26" spans="1:80" ht="18.649999999999999" customHeight="1" thickBot="1">
      <c r="A26" s="148"/>
      <c r="B26" s="249"/>
      <c r="C26" s="169"/>
      <c r="D26" s="148"/>
      <c r="E26" s="148"/>
      <c r="F26" s="148"/>
      <c r="G26" s="148"/>
      <c r="H26" s="148"/>
      <c r="I26" s="148"/>
      <c r="J26" s="148"/>
      <c r="K26" s="148"/>
      <c r="L26" s="148"/>
      <c r="M26" s="1474"/>
      <c r="N26" s="1474"/>
      <c r="O26" s="1474"/>
      <c r="P26" s="1474"/>
      <c r="Q26" s="1474"/>
      <c r="R26" s="1474"/>
      <c r="S26" s="1474"/>
      <c r="T26" s="1474"/>
      <c r="U26" s="1474"/>
      <c r="V26" s="1474"/>
      <c r="W26" s="1474"/>
      <c r="X26" s="1474"/>
      <c r="Y26" s="1474"/>
      <c r="Z26" s="1474"/>
      <c r="AA26" s="1474"/>
      <c r="AB26" s="1474"/>
      <c r="AC26" s="1474"/>
      <c r="AD26" s="1474"/>
      <c r="AE26" s="1474"/>
      <c r="AF26" s="1474"/>
      <c r="AG26" s="1474"/>
      <c r="AH26" s="1474"/>
      <c r="AI26" s="1474"/>
      <c r="AJ26" s="1474"/>
      <c r="AK26" s="1474"/>
      <c r="AL26" s="1474"/>
      <c r="AM26" s="1474"/>
      <c r="AN26" s="1474"/>
      <c r="AO26" s="1474"/>
      <c r="AP26" s="1474"/>
      <c r="AQ26" s="1474"/>
      <c r="AR26" s="1474"/>
      <c r="AS26" s="1474"/>
      <c r="AT26" s="1474"/>
      <c r="AU26" s="160"/>
      <c r="AV26" s="151"/>
      <c r="AW26" s="151"/>
      <c r="AX26" s="151"/>
      <c r="AY26" s="151"/>
      <c r="BA26" s="151"/>
      <c r="BB26" s="151"/>
      <c r="BC26" s="151"/>
      <c r="BD26" s="151"/>
      <c r="BE26" s="151"/>
      <c r="BF26" s="152"/>
      <c r="BG26" s="152"/>
      <c r="BH26" s="152"/>
      <c r="BI26" s="152"/>
      <c r="BJ26" s="152"/>
      <c r="BK26" s="630" t="s">
        <v>793</v>
      </c>
      <c r="BL26" s="152" t="s">
        <v>2034</v>
      </c>
      <c r="BM26" s="152"/>
      <c r="BN26" s="152"/>
      <c r="BO26" s="152" t="s">
        <v>1207</v>
      </c>
      <c r="BP26" s="152" t="s">
        <v>1433</v>
      </c>
      <c r="BQ26" s="152" t="s">
        <v>3326</v>
      </c>
      <c r="BR26" s="152" t="s">
        <v>3302</v>
      </c>
      <c r="BS26" s="294"/>
      <c r="BT26" s="152"/>
      <c r="BU26" s="152"/>
      <c r="BV26" s="152"/>
    </row>
    <row r="27" spans="1:80" ht="18" customHeight="1">
      <c r="A27" s="148"/>
      <c r="B27" s="249">
        <f>IF(OR(AV21=0,I27="",I28="",O34="",W34="",AE34="",J35="",M35="",I36="",N36="",V36="",AD36="",I38="",O38="",T38="",K39="",N39="",Q39="",AA39="",AN39="",I40="",I43="",X43="",AV27="NG",AV31="NG",AV32="NG",AV36="00",AV43="NG"),1,0)</f>
        <v>1</v>
      </c>
      <c r="C27" s="1476" t="s">
        <v>390</v>
      </c>
      <c r="D27" s="1477"/>
      <c r="E27" s="1477"/>
      <c r="F27" s="1477"/>
      <c r="G27" s="1477"/>
      <c r="H27" s="1478"/>
      <c r="I27" s="2949"/>
      <c r="J27" s="2950"/>
      <c r="K27" s="2950"/>
      <c r="L27" s="2950"/>
      <c r="M27" s="2950"/>
      <c r="N27" s="2950"/>
      <c r="O27" s="2950"/>
      <c r="P27" s="2950"/>
      <c r="Q27" s="2950"/>
      <c r="R27" s="2950"/>
      <c r="S27" s="2950"/>
      <c r="T27" s="2950"/>
      <c r="U27" s="2950"/>
      <c r="V27" s="2950"/>
      <c r="W27" s="2950"/>
      <c r="X27" s="2950"/>
      <c r="Y27" s="2950"/>
      <c r="Z27" s="2950"/>
      <c r="AA27" s="2950"/>
      <c r="AB27" s="2950"/>
      <c r="AC27" s="2950"/>
      <c r="AD27" s="2950"/>
      <c r="AE27" s="2950"/>
      <c r="AF27" s="2950"/>
      <c r="AG27" s="2950"/>
      <c r="AH27" s="2950"/>
      <c r="AI27" s="2950"/>
      <c r="AJ27" s="2950"/>
      <c r="AK27" s="2950"/>
      <c r="AL27" s="2950"/>
      <c r="AM27" s="2950"/>
      <c r="AN27" s="2950"/>
      <c r="AO27" s="2950"/>
      <c r="AP27" s="2950"/>
      <c r="AQ27" s="2950"/>
      <c r="AR27" s="2950"/>
      <c r="AS27" s="2950"/>
      <c r="AT27" s="2951"/>
      <c r="AU27" s="160"/>
      <c r="AV27" s="151" t="str">
        <f>IF(ISERROR(FIND({"１","２","３","４","５","６","７","８","９","０","1","2","3","4","5","6","7","8","9","0","-","―","－","-","・","！","!","@","&amp;","."},I27)),"OK","NG")</f>
        <v>OK</v>
      </c>
      <c r="AW27" s="151"/>
      <c r="AX27" s="151"/>
      <c r="AY27" s="151"/>
      <c r="BA27" s="151"/>
      <c r="BB27" s="151"/>
      <c r="BC27" s="151"/>
      <c r="BD27" s="151"/>
      <c r="BE27" s="151"/>
      <c r="BF27" s="152"/>
      <c r="BG27" s="152"/>
      <c r="BH27" s="152"/>
      <c r="BI27" s="152"/>
      <c r="BJ27" s="152"/>
      <c r="BK27" s="630" t="s">
        <v>795</v>
      </c>
      <c r="BL27" s="152" t="s">
        <v>2044</v>
      </c>
      <c r="BM27" s="152"/>
      <c r="BN27" s="152"/>
      <c r="BO27" s="152" t="s">
        <v>1208</v>
      </c>
      <c r="BP27" s="152" t="s">
        <v>1434</v>
      </c>
      <c r="BQ27" s="152" t="s">
        <v>3327</v>
      </c>
      <c r="BR27" s="152" t="s">
        <v>3303</v>
      </c>
      <c r="BS27" s="294"/>
      <c r="BT27" s="152"/>
      <c r="BU27" s="152"/>
      <c r="BV27" s="152"/>
    </row>
    <row r="28" spans="1:80" ht="18" customHeight="1">
      <c r="A28" s="148"/>
      <c r="B28" s="249"/>
      <c r="C28" s="1771" t="s">
        <v>3567</v>
      </c>
      <c r="D28" s="1793"/>
      <c r="E28" s="1793"/>
      <c r="F28" s="1793"/>
      <c r="G28" s="1793"/>
      <c r="H28" s="1794"/>
      <c r="I28" s="2952"/>
      <c r="J28" s="2953"/>
      <c r="K28" s="2953"/>
      <c r="L28" s="2953"/>
      <c r="M28" s="2953"/>
      <c r="N28" s="2953"/>
      <c r="O28" s="2953"/>
      <c r="P28" s="2953"/>
      <c r="Q28" s="2953"/>
      <c r="R28" s="2953"/>
      <c r="S28" s="2953"/>
      <c r="T28" s="2953"/>
      <c r="U28" s="2953"/>
      <c r="V28" s="2953"/>
      <c r="W28" s="2953"/>
      <c r="X28" s="2953"/>
      <c r="Y28" s="2953"/>
      <c r="Z28" s="2953"/>
      <c r="AA28" s="2953"/>
      <c r="AB28" s="2953"/>
      <c r="AC28" s="2953"/>
      <c r="AD28" s="2953"/>
      <c r="AE28" s="2953"/>
      <c r="AF28" s="2953"/>
      <c r="AG28" s="2953"/>
      <c r="AH28" s="2953"/>
      <c r="AI28" s="2953"/>
      <c r="AJ28" s="2953"/>
      <c r="AK28" s="2953"/>
      <c r="AL28" s="2953"/>
      <c r="AM28" s="2953"/>
      <c r="AN28" s="2953"/>
      <c r="AO28" s="2953"/>
      <c r="AP28" s="2953"/>
      <c r="AQ28" s="2953"/>
      <c r="AR28" s="2953"/>
      <c r="AS28" s="2953"/>
      <c r="AT28" s="2954"/>
      <c r="AU28" s="160"/>
      <c r="AV28" s="151"/>
      <c r="AW28" s="151"/>
      <c r="AX28" s="151"/>
      <c r="AY28" s="151"/>
      <c r="BA28" s="151"/>
      <c r="BB28" s="151"/>
      <c r="BC28" s="151"/>
      <c r="BD28" s="151"/>
      <c r="BE28" s="151"/>
      <c r="BF28" s="152"/>
      <c r="BG28" s="152"/>
      <c r="BH28" s="152"/>
      <c r="BI28" s="152"/>
      <c r="BJ28" s="152"/>
      <c r="BK28" s="630" t="s">
        <v>797</v>
      </c>
      <c r="BL28" s="152" t="s">
        <v>2045</v>
      </c>
      <c r="BM28" s="152"/>
      <c r="BN28" s="152"/>
      <c r="BO28" s="152" t="s">
        <v>1209</v>
      </c>
      <c r="BP28" s="152" t="s">
        <v>1435</v>
      </c>
      <c r="BQ28" s="152" t="s">
        <v>3328</v>
      </c>
      <c r="BR28" s="152" t="s">
        <v>3304</v>
      </c>
      <c r="BS28" s="294"/>
      <c r="BT28" s="152"/>
      <c r="BU28" s="152"/>
      <c r="BV28" s="152"/>
    </row>
    <row r="29" spans="1:80" ht="18" customHeight="1">
      <c r="A29" s="148"/>
      <c r="B29" s="249"/>
      <c r="C29" s="1795"/>
      <c r="D29" s="1796"/>
      <c r="E29" s="1796"/>
      <c r="F29" s="1796"/>
      <c r="G29" s="1796"/>
      <c r="H29" s="1797"/>
      <c r="I29" s="2921"/>
      <c r="J29" s="2922"/>
      <c r="K29" s="2922"/>
      <c r="L29" s="2922"/>
      <c r="M29" s="2922"/>
      <c r="N29" s="2922"/>
      <c r="O29" s="2922"/>
      <c r="P29" s="2922"/>
      <c r="Q29" s="2922"/>
      <c r="R29" s="2922"/>
      <c r="S29" s="2922"/>
      <c r="T29" s="2922"/>
      <c r="U29" s="2922"/>
      <c r="V29" s="2922"/>
      <c r="W29" s="2922"/>
      <c r="X29" s="2922"/>
      <c r="Y29" s="2922"/>
      <c r="Z29" s="2922"/>
      <c r="AA29" s="2922"/>
      <c r="AB29" s="2922"/>
      <c r="AC29" s="2922"/>
      <c r="AD29" s="2922"/>
      <c r="AE29" s="2922"/>
      <c r="AF29" s="2922"/>
      <c r="AG29" s="2922"/>
      <c r="AH29" s="2922"/>
      <c r="AI29" s="2922"/>
      <c r="AJ29" s="2922"/>
      <c r="AK29" s="2922"/>
      <c r="AL29" s="2922"/>
      <c r="AM29" s="2922"/>
      <c r="AN29" s="2922"/>
      <c r="AO29" s="2922"/>
      <c r="AP29" s="2922"/>
      <c r="AQ29" s="2922"/>
      <c r="AR29" s="2922"/>
      <c r="AS29" s="2922"/>
      <c r="AT29" s="2923"/>
      <c r="AU29" s="160"/>
      <c r="AV29" s="151"/>
      <c r="AW29" s="151"/>
      <c r="AX29" s="151"/>
      <c r="AY29" s="151"/>
      <c r="BA29" s="151"/>
      <c r="BB29" s="151"/>
      <c r="BC29" s="151"/>
      <c r="BD29" s="151"/>
      <c r="BE29" s="151"/>
      <c r="BF29" s="152"/>
      <c r="BG29" s="152"/>
      <c r="BH29" s="152"/>
      <c r="BI29" s="152"/>
      <c r="BJ29" s="152"/>
      <c r="BK29" s="630" t="s">
        <v>799</v>
      </c>
      <c r="BL29" s="152" t="s">
        <v>2046</v>
      </c>
      <c r="BM29" s="152"/>
      <c r="BN29" s="152"/>
      <c r="BO29" s="152" t="s">
        <v>1210</v>
      </c>
      <c r="BP29" s="152" t="s">
        <v>1436</v>
      </c>
      <c r="BQ29" s="152" t="s">
        <v>3329</v>
      </c>
      <c r="BR29" s="152" t="s">
        <v>3305</v>
      </c>
      <c r="BS29" s="294"/>
      <c r="BT29" s="152"/>
      <c r="BU29" s="152"/>
      <c r="BV29" s="152"/>
    </row>
    <row r="30" spans="1:80" ht="18" customHeight="1">
      <c r="A30" s="148"/>
      <c r="B30" s="249"/>
      <c r="C30" s="1798"/>
      <c r="D30" s="1799"/>
      <c r="E30" s="1799"/>
      <c r="F30" s="1799"/>
      <c r="G30" s="1799"/>
      <c r="H30" s="1800"/>
      <c r="I30" s="2924"/>
      <c r="J30" s="2925"/>
      <c r="K30" s="2925"/>
      <c r="L30" s="2925"/>
      <c r="M30" s="2925"/>
      <c r="N30" s="2925"/>
      <c r="O30" s="2925"/>
      <c r="P30" s="2925"/>
      <c r="Q30" s="2925"/>
      <c r="R30" s="2925"/>
      <c r="S30" s="2925"/>
      <c r="T30" s="2925"/>
      <c r="U30" s="2925"/>
      <c r="V30" s="2925"/>
      <c r="W30" s="2925"/>
      <c r="X30" s="2925"/>
      <c r="Y30" s="2925"/>
      <c r="Z30" s="2925"/>
      <c r="AA30" s="2925"/>
      <c r="AB30" s="2925"/>
      <c r="AC30" s="2925"/>
      <c r="AD30" s="2925"/>
      <c r="AE30" s="2925"/>
      <c r="AF30" s="2925"/>
      <c r="AG30" s="2925"/>
      <c r="AH30" s="2925"/>
      <c r="AI30" s="2925"/>
      <c r="AJ30" s="2925"/>
      <c r="AK30" s="2925"/>
      <c r="AL30" s="2925"/>
      <c r="AM30" s="2925"/>
      <c r="AN30" s="2925"/>
      <c r="AO30" s="2925"/>
      <c r="AP30" s="2925"/>
      <c r="AQ30" s="2925"/>
      <c r="AR30" s="2925"/>
      <c r="AS30" s="2925"/>
      <c r="AT30" s="2926"/>
      <c r="AU30" s="160"/>
      <c r="AV30" s="151"/>
      <c r="AW30" s="151"/>
      <c r="AX30" s="151"/>
      <c r="AY30" s="151"/>
      <c r="BA30" s="151"/>
      <c r="BB30" s="151"/>
      <c r="BC30" s="151"/>
      <c r="BD30" s="151"/>
      <c r="BE30" s="151"/>
      <c r="BF30" s="152"/>
      <c r="BG30" s="152"/>
      <c r="BH30" s="152"/>
      <c r="BI30" s="152"/>
      <c r="BJ30" s="152"/>
      <c r="BK30" s="630" t="s">
        <v>800</v>
      </c>
      <c r="BL30" s="152" t="s">
        <v>2043</v>
      </c>
      <c r="BM30" s="152"/>
      <c r="BN30" s="152"/>
      <c r="BO30" s="152" t="s">
        <v>1211</v>
      </c>
      <c r="BP30" s="152" t="s">
        <v>1437</v>
      </c>
      <c r="BQ30" s="152" t="s">
        <v>3330</v>
      </c>
      <c r="BR30" s="152" t="s">
        <v>3306</v>
      </c>
      <c r="BS30" s="294"/>
      <c r="BT30" s="152"/>
      <c r="BU30" s="152"/>
      <c r="BV30" s="152"/>
    </row>
    <row r="31" spans="1:80" ht="18" customHeight="1">
      <c r="A31" s="778"/>
      <c r="B31" s="249"/>
      <c r="C31" s="1405" t="s">
        <v>3568</v>
      </c>
      <c r="D31" s="1780"/>
      <c r="E31" s="1780"/>
      <c r="F31" s="1780"/>
      <c r="G31" s="1780"/>
      <c r="H31" s="1781"/>
      <c r="I31" s="2912"/>
      <c r="J31" s="2913"/>
      <c r="K31" s="2913"/>
      <c r="L31" s="2913"/>
      <c r="M31" s="2913"/>
      <c r="N31" s="2913"/>
      <c r="O31" s="2913"/>
      <c r="P31" s="2913"/>
      <c r="Q31" s="2913"/>
      <c r="R31" s="2913"/>
      <c r="S31" s="2913"/>
      <c r="T31" s="2913"/>
      <c r="U31" s="2913"/>
      <c r="V31" s="2913"/>
      <c r="W31" s="2913"/>
      <c r="X31" s="2913"/>
      <c r="Y31" s="1681" t="s">
        <v>3569</v>
      </c>
      <c r="Z31" s="1780"/>
      <c r="AA31" s="1780"/>
      <c r="AB31" s="1780"/>
      <c r="AC31" s="1780"/>
      <c r="AD31" s="1781"/>
      <c r="AE31" s="2918"/>
      <c r="AF31" s="2919"/>
      <c r="AG31" s="2919"/>
      <c r="AH31" s="2919"/>
      <c r="AI31" s="2919"/>
      <c r="AJ31" s="2919"/>
      <c r="AK31" s="2919"/>
      <c r="AL31" s="2919"/>
      <c r="AM31" s="2919"/>
      <c r="AN31" s="2919"/>
      <c r="AO31" s="2919"/>
      <c r="AP31" s="2919"/>
      <c r="AQ31" s="2919"/>
      <c r="AR31" s="2919"/>
      <c r="AS31" s="2919"/>
      <c r="AT31" s="2920"/>
      <c r="AU31" s="160"/>
      <c r="AV31" s="151" t="str">
        <f>IF(AV2=FALSE,"OK",IF(AND(AV2=TRUE,I31&lt;&gt;""),"OK","NG"))</f>
        <v>OK</v>
      </c>
      <c r="AW31" s="151"/>
      <c r="AX31" s="151"/>
      <c r="AY31" s="151"/>
      <c r="BA31" s="151"/>
      <c r="BB31" s="151"/>
      <c r="BC31" s="151"/>
      <c r="BD31" s="151"/>
      <c r="BE31" s="151"/>
      <c r="BF31" s="152"/>
      <c r="BG31" s="152"/>
      <c r="BH31" s="152"/>
      <c r="BI31" s="152"/>
      <c r="BJ31" s="152"/>
      <c r="BK31" s="152"/>
      <c r="BL31" s="152"/>
      <c r="BM31" s="152"/>
      <c r="BN31" s="152"/>
      <c r="BO31" s="152" t="s">
        <v>1212</v>
      </c>
      <c r="BP31" s="152" t="s">
        <v>1438</v>
      </c>
      <c r="BQ31" s="152" t="s">
        <v>3331</v>
      </c>
      <c r="BR31" s="152" t="s">
        <v>3307</v>
      </c>
      <c r="BS31" s="294"/>
      <c r="BT31" s="152"/>
      <c r="BU31" s="152"/>
      <c r="BV31" s="152"/>
    </row>
    <row r="32" spans="1:80" s="154" customFormat="1" ht="18" customHeight="1">
      <c r="A32" s="778"/>
      <c r="B32" s="249"/>
      <c r="C32" s="1482"/>
      <c r="D32" s="1483"/>
      <c r="E32" s="1483"/>
      <c r="F32" s="1483"/>
      <c r="G32" s="1483"/>
      <c r="H32" s="1484"/>
      <c r="I32" s="2914"/>
      <c r="J32" s="2915"/>
      <c r="K32" s="2915"/>
      <c r="L32" s="2915"/>
      <c r="M32" s="2915"/>
      <c r="N32" s="2915"/>
      <c r="O32" s="2915"/>
      <c r="P32" s="2915"/>
      <c r="Q32" s="2915"/>
      <c r="R32" s="2915"/>
      <c r="S32" s="2915"/>
      <c r="T32" s="2915"/>
      <c r="U32" s="2915"/>
      <c r="V32" s="2915"/>
      <c r="W32" s="2915"/>
      <c r="X32" s="2915"/>
      <c r="Y32" s="1534"/>
      <c r="Z32" s="1483"/>
      <c r="AA32" s="1483"/>
      <c r="AB32" s="1483"/>
      <c r="AC32" s="1483"/>
      <c r="AD32" s="1484"/>
      <c r="AE32" s="2921"/>
      <c r="AF32" s="2922"/>
      <c r="AG32" s="2922"/>
      <c r="AH32" s="2922"/>
      <c r="AI32" s="2922"/>
      <c r="AJ32" s="2922"/>
      <c r="AK32" s="2922"/>
      <c r="AL32" s="2922"/>
      <c r="AM32" s="2922"/>
      <c r="AN32" s="2922"/>
      <c r="AO32" s="2922"/>
      <c r="AP32" s="2922"/>
      <c r="AQ32" s="2922"/>
      <c r="AR32" s="2922"/>
      <c r="AS32" s="2922"/>
      <c r="AT32" s="2923"/>
      <c r="AU32" s="160"/>
      <c r="AV32" s="151" t="str">
        <f>IF(AV3=FALSE,"OK",IF(AND(AV3=TRUE,AE31&lt;&gt;""),"OK","NG"))</f>
        <v>OK</v>
      </c>
      <c r="AW32" s="151"/>
      <c r="AX32" s="151"/>
      <c r="AY32" s="151"/>
      <c r="AZ32" s="166"/>
      <c r="BA32" s="151"/>
      <c r="BB32" s="151"/>
      <c r="BC32" s="151"/>
      <c r="BD32" s="151"/>
      <c r="BE32" s="151"/>
      <c r="BF32" s="152"/>
      <c r="BG32" s="152"/>
      <c r="BH32" s="152"/>
      <c r="BI32" s="152"/>
      <c r="BJ32" s="152"/>
      <c r="BK32" s="152"/>
      <c r="BL32" s="152"/>
      <c r="BM32" s="152"/>
      <c r="BN32" s="152"/>
      <c r="BO32" s="152" t="s">
        <v>1213</v>
      </c>
      <c r="BP32" s="152" t="s">
        <v>1439</v>
      </c>
      <c r="BQ32" s="152" t="s">
        <v>794</v>
      </c>
      <c r="BR32" s="152" t="s">
        <v>3308</v>
      </c>
      <c r="BS32" s="294"/>
      <c r="BT32" s="152"/>
      <c r="BU32" s="152"/>
      <c r="BV32" s="152"/>
      <c r="BW32" s="153"/>
      <c r="BX32" s="153"/>
      <c r="BY32" s="153"/>
      <c r="BZ32" s="153"/>
      <c r="CA32" s="153"/>
      <c r="CB32" s="153"/>
    </row>
    <row r="33" spans="1:80" s="154" customFormat="1" ht="18" customHeight="1">
      <c r="A33" s="778"/>
      <c r="B33" s="249"/>
      <c r="C33" s="1461"/>
      <c r="D33" s="1462"/>
      <c r="E33" s="1462"/>
      <c r="F33" s="1462"/>
      <c r="G33" s="1462"/>
      <c r="H33" s="1463"/>
      <c r="I33" s="2916"/>
      <c r="J33" s="2917"/>
      <c r="K33" s="2917"/>
      <c r="L33" s="2917"/>
      <c r="M33" s="2917"/>
      <c r="N33" s="2917"/>
      <c r="O33" s="2917"/>
      <c r="P33" s="2917"/>
      <c r="Q33" s="2917"/>
      <c r="R33" s="2917"/>
      <c r="S33" s="2917"/>
      <c r="T33" s="2917"/>
      <c r="U33" s="2917"/>
      <c r="V33" s="2917"/>
      <c r="W33" s="2917"/>
      <c r="X33" s="2917"/>
      <c r="Y33" s="1535"/>
      <c r="Z33" s="1462"/>
      <c r="AA33" s="1462"/>
      <c r="AB33" s="1462"/>
      <c r="AC33" s="1462"/>
      <c r="AD33" s="1463"/>
      <c r="AE33" s="2924"/>
      <c r="AF33" s="2925"/>
      <c r="AG33" s="2925"/>
      <c r="AH33" s="2925"/>
      <c r="AI33" s="2925"/>
      <c r="AJ33" s="2925"/>
      <c r="AK33" s="2925"/>
      <c r="AL33" s="2925"/>
      <c r="AM33" s="2925"/>
      <c r="AN33" s="2925"/>
      <c r="AO33" s="2925"/>
      <c r="AP33" s="2925"/>
      <c r="AQ33" s="2925"/>
      <c r="AR33" s="2925"/>
      <c r="AS33" s="2925"/>
      <c r="AT33" s="2926"/>
      <c r="AU33" s="160"/>
      <c r="AV33" s="151"/>
      <c r="AW33" s="151"/>
      <c r="AX33" s="151"/>
      <c r="AY33" s="151"/>
      <c r="AZ33" s="166"/>
      <c r="BA33" s="151"/>
      <c r="BB33" s="151"/>
      <c r="BC33" s="151"/>
      <c r="BD33" s="151"/>
      <c r="BE33" s="151"/>
      <c r="BF33" s="152"/>
      <c r="BG33" s="152"/>
      <c r="BH33" s="152"/>
      <c r="BI33" s="152"/>
      <c r="BJ33" s="152"/>
      <c r="BK33" s="152"/>
      <c r="BL33" s="152"/>
      <c r="BM33" s="152"/>
      <c r="BN33" s="152"/>
      <c r="BO33" s="152" t="s">
        <v>1214</v>
      </c>
      <c r="BP33" s="152" t="s">
        <v>1440</v>
      </c>
      <c r="BQ33" s="152" t="s">
        <v>3332</v>
      </c>
      <c r="BR33" s="152" t="s">
        <v>3309</v>
      </c>
      <c r="BS33" s="294"/>
      <c r="BT33" s="152"/>
      <c r="BU33" s="152"/>
      <c r="BV33" s="152"/>
      <c r="BW33" s="153"/>
      <c r="BX33" s="153"/>
      <c r="BY33" s="153"/>
      <c r="BZ33" s="153"/>
      <c r="CA33" s="153"/>
      <c r="CB33" s="153"/>
    </row>
    <row r="34" spans="1:80" s="154" customFormat="1" ht="18" customHeight="1">
      <c r="A34" s="148"/>
      <c r="B34" s="249"/>
      <c r="C34" s="1449" t="s">
        <v>2026</v>
      </c>
      <c r="D34" s="1450"/>
      <c r="E34" s="1450"/>
      <c r="F34" s="1450"/>
      <c r="G34" s="1450"/>
      <c r="H34" s="1451"/>
      <c r="I34" s="501"/>
      <c r="J34" s="1416" t="str">
        <f>VLOOKUP(I36,BO2:BP49,2,FALSE)</f>
        <v>（自動表示）</v>
      </c>
      <c r="K34" s="1416"/>
      <c r="L34" s="1416"/>
      <c r="M34" s="1702"/>
      <c r="N34" s="622"/>
      <c r="O34" s="1677"/>
      <c r="P34" s="1677"/>
      <c r="Q34" s="1677"/>
      <c r="R34" s="1677"/>
      <c r="S34" s="1677"/>
      <c r="T34" s="1677"/>
      <c r="U34" s="1678"/>
      <c r="V34" s="622"/>
      <c r="W34" s="1677"/>
      <c r="X34" s="1677"/>
      <c r="Y34" s="1677"/>
      <c r="Z34" s="1677"/>
      <c r="AA34" s="1677"/>
      <c r="AB34" s="1677"/>
      <c r="AC34" s="1678"/>
      <c r="AD34" s="622"/>
      <c r="AE34" s="1677"/>
      <c r="AF34" s="1677"/>
      <c r="AG34" s="1677"/>
      <c r="AH34" s="1677"/>
      <c r="AI34" s="1677"/>
      <c r="AJ34" s="1677"/>
      <c r="AK34" s="1678"/>
      <c r="AL34" s="622"/>
      <c r="AM34" s="1679"/>
      <c r="AN34" s="1679"/>
      <c r="AO34" s="1679"/>
      <c r="AP34" s="1679"/>
      <c r="AQ34" s="1679"/>
      <c r="AR34" s="1679"/>
      <c r="AS34" s="1679"/>
      <c r="AT34" s="1680"/>
      <c r="AU34" s="160"/>
      <c r="AV34" s="151" t="str">
        <f>IF(ISERROR(FIND({"１","２","３","４","５","６","７","８","９","０","1","2","3","4","5","6","7","8","9","0","-","―","－","-","・","！","!","@","&amp;","."},O34&amp;W34&amp;AE34&amp;AM34)),"OK","NG")</f>
        <v>OK</v>
      </c>
      <c r="AW34" s="151"/>
      <c r="AX34" s="151"/>
      <c r="AY34" s="151"/>
      <c r="AZ34" s="166"/>
      <c r="BA34" s="151"/>
      <c r="BB34" s="151"/>
      <c r="BC34" s="151"/>
      <c r="BD34" s="151"/>
      <c r="BE34" s="151"/>
      <c r="BF34" s="152"/>
      <c r="BG34" s="152"/>
      <c r="BH34" s="152"/>
      <c r="BI34" s="152"/>
      <c r="BJ34" s="152"/>
      <c r="BK34" s="152"/>
      <c r="BL34" s="152"/>
      <c r="BM34" s="152"/>
      <c r="BN34" s="152"/>
      <c r="BO34" s="152" t="s">
        <v>1215</v>
      </c>
      <c r="BP34" s="152" t="s">
        <v>1441</v>
      </c>
      <c r="BQ34" s="152" t="s">
        <v>3333</v>
      </c>
      <c r="BR34" s="152" t="s">
        <v>3310</v>
      </c>
      <c r="BS34" s="294"/>
      <c r="BT34" s="152"/>
      <c r="BU34" s="152"/>
      <c r="BV34" s="152"/>
      <c r="BW34" s="153"/>
      <c r="BX34" s="153"/>
      <c r="BY34" s="153"/>
      <c r="BZ34" s="153"/>
      <c r="CA34" s="153"/>
      <c r="CB34" s="153"/>
    </row>
    <row r="35" spans="1:80" ht="18" customHeight="1">
      <c r="A35" s="148"/>
      <c r="B35" s="249"/>
      <c r="C35" s="1771" t="s">
        <v>946</v>
      </c>
      <c r="D35" s="1772"/>
      <c r="E35" s="1772"/>
      <c r="F35" s="1772"/>
      <c r="G35" s="1772"/>
      <c r="H35" s="1773"/>
      <c r="I35" s="623" t="s">
        <v>2027</v>
      </c>
      <c r="J35" s="1693"/>
      <c r="K35" s="1693"/>
      <c r="L35" s="624" t="s">
        <v>2028</v>
      </c>
      <c r="M35" s="1694"/>
      <c r="N35" s="1694"/>
      <c r="O35" s="624"/>
      <c r="P35" s="624"/>
      <c r="Q35" s="625"/>
      <c r="R35" s="625"/>
      <c r="S35" s="625"/>
      <c r="T35" s="625"/>
      <c r="U35" s="625"/>
      <c r="V35" s="625"/>
      <c r="W35" s="625"/>
      <c r="X35" s="625"/>
      <c r="Y35" s="625"/>
      <c r="Z35" s="625"/>
      <c r="AA35" s="625"/>
      <c r="AB35" s="625"/>
      <c r="AC35" s="625"/>
      <c r="AD35" s="625"/>
      <c r="AE35" s="625"/>
      <c r="AF35" s="625"/>
      <c r="AG35" s="625"/>
      <c r="AH35" s="625"/>
      <c r="AI35" s="625"/>
      <c r="AJ35" s="625"/>
      <c r="AK35" s="625"/>
      <c r="AL35" s="625"/>
      <c r="AM35" s="625"/>
      <c r="AN35" s="625"/>
      <c r="AO35" s="625"/>
      <c r="AP35" s="625"/>
      <c r="AQ35" s="625"/>
      <c r="AR35" s="625"/>
      <c r="AS35" s="625"/>
      <c r="AT35" s="626"/>
      <c r="AU35" s="160"/>
      <c r="AV35" s="151"/>
      <c r="AW35" s="151"/>
      <c r="AX35" s="151"/>
      <c r="AY35" s="151"/>
      <c r="BA35" s="151"/>
      <c r="BB35" s="151"/>
      <c r="BC35" s="151"/>
      <c r="BD35" s="151"/>
      <c r="BE35" s="151"/>
      <c r="BF35" s="152"/>
      <c r="BG35" s="152"/>
      <c r="BH35" s="152"/>
      <c r="BI35" s="152"/>
      <c r="BJ35" s="152"/>
      <c r="BK35" s="152"/>
      <c r="BL35" s="152"/>
      <c r="BM35" s="152"/>
      <c r="BN35" s="152"/>
      <c r="BO35" s="152" t="s">
        <v>1216</v>
      </c>
      <c r="BP35" s="152" t="s">
        <v>1442</v>
      </c>
      <c r="BQ35" s="152" t="s">
        <v>3334</v>
      </c>
      <c r="BR35" s="152" t="s">
        <v>3311</v>
      </c>
      <c r="BS35" s="294"/>
      <c r="BT35" s="152"/>
      <c r="BU35" s="152"/>
      <c r="BV35" s="152"/>
    </row>
    <row r="36" spans="1:80" ht="18" customHeight="1">
      <c r="A36" s="148"/>
      <c r="B36" s="249"/>
      <c r="C36" s="1774"/>
      <c r="D36" s="1775"/>
      <c r="E36" s="1775"/>
      <c r="F36" s="1775"/>
      <c r="G36" s="1775"/>
      <c r="H36" s="1776"/>
      <c r="I36" s="1695" t="s">
        <v>777</v>
      </c>
      <c r="J36" s="1696"/>
      <c r="K36" s="1696"/>
      <c r="L36" s="1696"/>
      <c r="M36" s="1696"/>
      <c r="N36" s="1671"/>
      <c r="O36" s="1671"/>
      <c r="P36" s="1671"/>
      <c r="Q36" s="1671"/>
      <c r="R36" s="1671"/>
      <c r="S36" s="1671"/>
      <c r="T36" s="1671"/>
      <c r="U36" s="1671"/>
      <c r="V36" s="1671"/>
      <c r="W36" s="1671"/>
      <c r="X36" s="1671"/>
      <c r="Y36" s="1671"/>
      <c r="Z36" s="1671"/>
      <c r="AA36" s="1671"/>
      <c r="AB36" s="1671"/>
      <c r="AC36" s="1671"/>
      <c r="AD36" s="1671"/>
      <c r="AE36" s="1671"/>
      <c r="AF36" s="1671"/>
      <c r="AG36" s="1671"/>
      <c r="AH36" s="1671"/>
      <c r="AI36" s="1671"/>
      <c r="AJ36" s="1671"/>
      <c r="AK36" s="1671"/>
      <c r="AL36" s="1671"/>
      <c r="AM36" s="1671"/>
      <c r="AN36" s="1671"/>
      <c r="AO36" s="1671"/>
      <c r="AP36" s="1671"/>
      <c r="AQ36" s="1671"/>
      <c r="AR36" s="1671"/>
      <c r="AS36" s="1671"/>
      <c r="AT36" s="2927"/>
      <c r="AU36" s="160"/>
      <c r="AV36" s="151" t="str">
        <f>LEFT(I36,2)</f>
        <v>00</v>
      </c>
      <c r="AW36" s="151" t="str">
        <f>MID(I36,4,LEN(I36)-3)</f>
        <v>選択して下さい</v>
      </c>
      <c r="AX36" s="151"/>
      <c r="AY36" s="151"/>
      <c r="AZ36" s="151"/>
      <c r="BA36" s="151"/>
      <c r="BB36" s="151"/>
      <c r="BC36" s="151"/>
      <c r="BD36" s="151"/>
      <c r="BE36" s="151"/>
      <c r="BF36" s="152"/>
      <c r="BG36" s="152"/>
      <c r="BH36" s="152"/>
      <c r="BI36" s="152"/>
      <c r="BJ36" s="152"/>
      <c r="BK36" s="152"/>
      <c r="BL36" s="152"/>
      <c r="BM36" s="152"/>
      <c r="BN36" s="152"/>
      <c r="BO36" s="152" t="s">
        <v>1217</v>
      </c>
      <c r="BP36" s="152" t="s">
        <v>1443</v>
      </c>
      <c r="BQ36" s="152" t="s">
        <v>3335</v>
      </c>
      <c r="BR36" s="152" t="s">
        <v>3312</v>
      </c>
      <c r="BS36" s="294"/>
      <c r="BT36" s="152"/>
      <c r="BU36" s="152"/>
      <c r="BV36" s="152"/>
    </row>
    <row r="37" spans="1:80" ht="18" customHeight="1">
      <c r="A37" s="148"/>
      <c r="B37" s="249"/>
      <c r="C37" s="1777"/>
      <c r="D37" s="1778"/>
      <c r="E37" s="1778"/>
      <c r="F37" s="1778"/>
      <c r="G37" s="1778"/>
      <c r="H37" s="1779"/>
      <c r="I37" s="1697"/>
      <c r="J37" s="1698"/>
      <c r="K37" s="1698"/>
      <c r="L37" s="1698"/>
      <c r="M37" s="1698"/>
      <c r="N37" s="1672"/>
      <c r="O37" s="1672"/>
      <c r="P37" s="1672"/>
      <c r="Q37" s="1672"/>
      <c r="R37" s="1672"/>
      <c r="S37" s="1672"/>
      <c r="T37" s="1672"/>
      <c r="U37" s="1672"/>
      <c r="V37" s="1672"/>
      <c r="W37" s="1672"/>
      <c r="X37" s="1672"/>
      <c r="Y37" s="1672"/>
      <c r="Z37" s="1672"/>
      <c r="AA37" s="1672"/>
      <c r="AB37" s="1672"/>
      <c r="AC37" s="1672"/>
      <c r="AD37" s="1672"/>
      <c r="AE37" s="1672"/>
      <c r="AF37" s="1672"/>
      <c r="AG37" s="1672"/>
      <c r="AH37" s="1672"/>
      <c r="AI37" s="1672"/>
      <c r="AJ37" s="1672"/>
      <c r="AK37" s="1672"/>
      <c r="AL37" s="1672"/>
      <c r="AM37" s="1672"/>
      <c r="AN37" s="1672"/>
      <c r="AO37" s="1672"/>
      <c r="AP37" s="1672"/>
      <c r="AQ37" s="1672"/>
      <c r="AR37" s="1672"/>
      <c r="AS37" s="1672"/>
      <c r="AT37" s="2928"/>
      <c r="AU37" s="160"/>
      <c r="AV37" s="151"/>
      <c r="AW37" s="151"/>
      <c r="AX37" s="151"/>
      <c r="AY37" s="151"/>
      <c r="AZ37" s="151"/>
      <c r="BA37" s="151"/>
      <c r="BB37" s="151"/>
      <c r="BC37" s="151"/>
      <c r="BD37" s="151"/>
      <c r="BE37" s="151"/>
      <c r="BF37" s="152"/>
      <c r="BG37" s="152"/>
      <c r="BH37" s="152"/>
      <c r="BI37" s="152"/>
      <c r="BJ37" s="152"/>
      <c r="BK37" s="152"/>
      <c r="BL37" s="152"/>
      <c r="BM37" s="152"/>
      <c r="BN37" s="152"/>
      <c r="BO37" s="152" t="s">
        <v>1218</v>
      </c>
      <c r="BP37" s="152" t="s">
        <v>1444</v>
      </c>
      <c r="BQ37" s="152" t="s">
        <v>3336</v>
      </c>
      <c r="BR37" s="152" t="s">
        <v>3313</v>
      </c>
      <c r="BS37" s="294"/>
      <c r="BT37" s="152"/>
      <c r="BU37" s="152"/>
      <c r="BV37" s="152"/>
    </row>
    <row r="38" spans="1:80" ht="18" customHeight="1">
      <c r="A38" s="148"/>
      <c r="B38" s="249"/>
      <c r="C38" s="1688" t="s">
        <v>398</v>
      </c>
      <c r="D38" s="1689"/>
      <c r="E38" s="1689"/>
      <c r="F38" s="1689"/>
      <c r="G38" s="1689"/>
      <c r="H38" s="1690"/>
      <c r="I38" s="1430"/>
      <c r="J38" s="1431"/>
      <c r="K38" s="1431"/>
      <c r="L38" s="1431"/>
      <c r="M38" s="1431"/>
      <c r="N38" s="442" t="s">
        <v>1231</v>
      </c>
      <c r="O38" s="1431"/>
      <c r="P38" s="1431"/>
      <c r="Q38" s="1431"/>
      <c r="R38" s="1431"/>
      <c r="S38" s="442" t="s">
        <v>1232</v>
      </c>
      <c r="T38" s="1431"/>
      <c r="U38" s="1431"/>
      <c r="V38" s="1431"/>
      <c r="W38" s="1431"/>
      <c r="X38" s="1691"/>
      <c r="Y38" s="1399" t="s">
        <v>399</v>
      </c>
      <c r="Z38" s="1400"/>
      <c r="AA38" s="1400"/>
      <c r="AB38" s="1400"/>
      <c r="AC38" s="1400"/>
      <c r="AD38" s="1401"/>
      <c r="AE38" s="1430"/>
      <c r="AF38" s="1431"/>
      <c r="AG38" s="1431"/>
      <c r="AH38" s="1431"/>
      <c r="AI38" s="1431"/>
      <c r="AJ38" s="442" t="s">
        <v>1231</v>
      </c>
      <c r="AK38" s="1431"/>
      <c r="AL38" s="1431"/>
      <c r="AM38" s="1431"/>
      <c r="AN38" s="1431"/>
      <c r="AO38" s="442" t="s">
        <v>1182</v>
      </c>
      <c r="AP38" s="1431"/>
      <c r="AQ38" s="1431"/>
      <c r="AR38" s="1431"/>
      <c r="AS38" s="1431"/>
      <c r="AT38" s="1432"/>
      <c r="AU38" s="160"/>
      <c r="AV38" s="151" t="str">
        <f>IF(AND(I38&lt;&gt;"",O38&lt;&gt;"",T38&lt;&gt;""),IF(LENB(I38)+LENB(O38)+LENB(T38)&lt;13,"OK","NG"),"OK")</f>
        <v>OK</v>
      </c>
      <c r="AW38" s="151" t="str">
        <f>IF(AND(AE38&lt;&gt;"",AK38&lt;&gt;"",AP38&lt;&gt;""),IF(LENB(AE38)+LENB(AK38)+LENB(AP38)&lt;13,"OK","NG"),"OK")</f>
        <v>OK</v>
      </c>
      <c r="AX38" s="151"/>
      <c r="AY38" s="151"/>
      <c r="AZ38" s="151"/>
      <c r="BA38" s="151"/>
      <c r="BB38" s="151"/>
      <c r="BC38" s="151"/>
      <c r="BD38" s="151"/>
      <c r="BE38" s="151"/>
      <c r="BF38" s="152"/>
      <c r="BG38" s="152"/>
      <c r="BH38" s="152"/>
      <c r="BI38" s="152"/>
      <c r="BJ38" s="152"/>
      <c r="BK38" s="152"/>
      <c r="BL38" s="152"/>
      <c r="BM38" s="152"/>
      <c r="BN38" s="152"/>
      <c r="BO38" s="152" t="s">
        <v>1219</v>
      </c>
      <c r="BP38" s="152" t="s">
        <v>1445</v>
      </c>
      <c r="BQ38" s="152" t="s">
        <v>3337</v>
      </c>
      <c r="BR38" s="152" t="s">
        <v>3314</v>
      </c>
      <c r="BS38" s="294"/>
      <c r="BT38" s="152"/>
      <c r="BU38" s="152"/>
      <c r="BV38" s="152"/>
    </row>
    <row r="39" spans="1:80" ht="18" customHeight="1">
      <c r="A39" s="148"/>
      <c r="B39" s="249"/>
      <c r="C39" s="1688" t="s">
        <v>401</v>
      </c>
      <c r="D39" s="1689"/>
      <c r="E39" s="1689"/>
      <c r="F39" s="1689"/>
      <c r="G39" s="1689"/>
      <c r="H39" s="1690"/>
      <c r="I39" s="1767" t="s">
        <v>380</v>
      </c>
      <c r="J39" s="1768"/>
      <c r="K39" s="1769"/>
      <c r="L39" s="1769"/>
      <c r="M39" s="170" t="s">
        <v>381</v>
      </c>
      <c r="N39" s="1770"/>
      <c r="O39" s="1770"/>
      <c r="P39" s="171" t="s">
        <v>382</v>
      </c>
      <c r="Q39" s="1770"/>
      <c r="R39" s="1770"/>
      <c r="S39" s="1764" t="s">
        <v>383</v>
      </c>
      <c r="T39" s="1765"/>
      <c r="U39" s="1399" t="s">
        <v>402</v>
      </c>
      <c r="V39" s="1400"/>
      <c r="W39" s="1400"/>
      <c r="X39" s="1400"/>
      <c r="Y39" s="1400"/>
      <c r="Z39" s="1401"/>
      <c r="AA39" s="1763"/>
      <c r="AB39" s="1763"/>
      <c r="AC39" s="1763"/>
      <c r="AD39" s="1763"/>
      <c r="AE39" s="1763"/>
      <c r="AF39" s="1764" t="s">
        <v>403</v>
      </c>
      <c r="AG39" s="1765"/>
      <c r="AH39" s="1399" t="s">
        <v>404</v>
      </c>
      <c r="AI39" s="1400"/>
      <c r="AJ39" s="1400"/>
      <c r="AK39" s="1400"/>
      <c r="AL39" s="1400"/>
      <c r="AM39" s="1401"/>
      <c r="AN39" s="1763"/>
      <c r="AO39" s="1763"/>
      <c r="AP39" s="1763"/>
      <c r="AQ39" s="1763"/>
      <c r="AR39" s="1763"/>
      <c r="AS39" s="1764" t="s">
        <v>403</v>
      </c>
      <c r="AT39" s="1766"/>
      <c r="AU39" s="160"/>
      <c r="AV39" s="151"/>
      <c r="AW39" s="151"/>
      <c r="AX39" s="151"/>
      <c r="AY39" s="151"/>
      <c r="BA39" s="151"/>
      <c r="BB39" s="151"/>
      <c r="BC39" s="151"/>
      <c r="BD39" s="151"/>
      <c r="BE39" s="151"/>
      <c r="BF39" s="152"/>
      <c r="BG39" s="152"/>
      <c r="BH39" s="152"/>
      <c r="BI39" s="152"/>
      <c r="BJ39" s="152"/>
      <c r="BK39" s="152"/>
      <c r="BL39" s="152"/>
      <c r="BM39" s="152"/>
      <c r="BN39" s="152"/>
      <c r="BO39" s="152" t="s">
        <v>1220</v>
      </c>
      <c r="BP39" s="152" t="s">
        <v>1446</v>
      </c>
      <c r="BQ39" s="152" t="s">
        <v>3338</v>
      </c>
      <c r="BR39" s="152" t="s">
        <v>3315</v>
      </c>
      <c r="BS39" s="294"/>
      <c r="BT39" s="152"/>
      <c r="BU39" s="152"/>
      <c r="BV39" s="152"/>
    </row>
    <row r="40" spans="1:80" ht="18" customHeight="1">
      <c r="A40" s="148"/>
      <c r="B40" s="249"/>
      <c r="C40" s="1580" t="s">
        <v>817</v>
      </c>
      <c r="D40" s="1493"/>
      <c r="E40" s="1493"/>
      <c r="F40" s="1493"/>
      <c r="G40" s="1493"/>
      <c r="H40" s="1494"/>
      <c r="I40" s="1752"/>
      <c r="J40" s="1753"/>
      <c r="K40" s="1753"/>
      <c r="L40" s="1753"/>
      <c r="M40" s="1753"/>
      <c r="N40" s="1753"/>
      <c r="O40" s="1753"/>
      <c r="P40" s="1753"/>
      <c r="Q40" s="1753"/>
      <c r="R40" s="1753"/>
      <c r="S40" s="1753"/>
      <c r="T40" s="1753"/>
      <c r="U40" s="1753"/>
      <c r="V40" s="1753"/>
      <c r="W40" s="1753"/>
      <c r="X40" s="1753"/>
      <c r="Y40" s="1753"/>
      <c r="Z40" s="1753"/>
      <c r="AA40" s="1753"/>
      <c r="AB40" s="1753"/>
      <c r="AC40" s="1753"/>
      <c r="AD40" s="1753"/>
      <c r="AE40" s="1753"/>
      <c r="AF40" s="1753"/>
      <c r="AG40" s="1753"/>
      <c r="AH40" s="1753"/>
      <c r="AI40" s="1753"/>
      <c r="AJ40" s="1753"/>
      <c r="AK40" s="1753"/>
      <c r="AL40" s="1753"/>
      <c r="AM40" s="1753"/>
      <c r="AN40" s="1753"/>
      <c r="AO40" s="1753"/>
      <c r="AP40" s="1753"/>
      <c r="AQ40" s="1753"/>
      <c r="AR40" s="1753"/>
      <c r="AS40" s="1753"/>
      <c r="AT40" s="1754"/>
      <c r="AU40" s="160"/>
      <c r="AV40" s="151"/>
      <c r="AW40" s="151"/>
      <c r="AX40" s="151"/>
      <c r="AY40" s="151"/>
      <c r="BA40" s="151"/>
      <c r="BB40" s="151"/>
      <c r="BC40" s="151"/>
      <c r="BD40" s="151"/>
      <c r="BE40" s="151"/>
      <c r="BF40" s="152"/>
      <c r="BG40" s="152"/>
      <c r="BH40" s="152"/>
      <c r="BI40" s="152"/>
      <c r="BJ40" s="152"/>
      <c r="BK40" s="152"/>
      <c r="BL40" s="152"/>
      <c r="BM40" s="152"/>
      <c r="BN40" s="152"/>
      <c r="BO40" s="152" t="s">
        <v>1221</v>
      </c>
      <c r="BP40" s="152" t="s">
        <v>1447</v>
      </c>
      <c r="BQ40" s="152" t="s">
        <v>3339</v>
      </c>
      <c r="BR40" s="152" t="s">
        <v>3316</v>
      </c>
      <c r="BS40" s="294"/>
      <c r="BT40" s="152"/>
      <c r="BU40" s="152"/>
      <c r="BV40" s="152"/>
    </row>
    <row r="41" spans="1:80" ht="18" customHeight="1">
      <c r="A41" s="148"/>
      <c r="B41" s="249"/>
      <c r="C41" s="1461"/>
      <c r="D41" s="1462"/>
      <c r="E41" s="1462"/>
      <c r="F41" s="1462"/>
      <c r="G41" s="1462"/>
      <c r="H41" s="1463"/>
      <c r="I41" s="1489"/>
      <c r="J41" s="1490"/>
      <c r="K41" s="1490"/>
      <c r="L41" s="1490"/>
      <c r="M41" s="1490"/>
      <c r="N41" s="1490"/>
      <c r="O41" s="1490"/>
      <c r="P41" s="1490"/>
      <c r="Q41" s="1490"/>
      <c r="R41" s="1490"/>
      <c r="S41" s="1490"/>
      <c r="T41" s="1490"/>
      <c r="U41" s="1490"/>
      <c r="V41" s="1490"/>
      <c r="W41" s="1490"/>
      <c r="X41" s="1490"/>
      <c r="Y41" s="1490"/>
      <c r="Z41" s="1490"/>
      <c r="AA41" s="1490"/>
      <c r="AB41" s="1490"/>
      <c r="AC41" s="1490"/>
      <c r="AD41" s="1490"/>
      <c r="AE41" s="1490"/>
      <c r="AF41" s="1490"/>
      <c r="AG41" s="1490"/>
      <c r="AH41" s="1490"/>
      <c r="AI41" s="1490"/>
      <c r="AJ41" s="1490"/>
      <c r="AK41" s="1490"/>
      <c r="AL41" s="1490"/>
      <c r="AM41" s="1490"/>
      <c r="AN41" s="1490"/>
      <c r="AO41" s="1490"/>
      <c r="AP41" s="1490"/>
      <c r="AQ41" s="1490"/>
      <c r="AR41" s="1490"/>
      <c r="AS41" s="1490"/>
      <c r="AT41" s="1491"/>
      <c r="AU41" s="160"/>
      <c r="AV41" s="151"/>
      <c r="AW41" s="151"/>
      <c r="AX41" s="151"/>
      <c r="AY41" s="151"/>
      <c r="BA41" s="151"/>
      <c r="BB41" s="151"/>
      <c r="BC41" s="151"/>
      <c r="BD41" s="151"/>
      <c r="BE41" s="151"/>
      <c r="BF41" s="152"/>
      <c r="BG41" s="152"/>
      <c r="BH41" s="152"/>
      <c r="BI41" s="152"/>
      <c r="BJ41" s="152"/>
      <c r="BK41" s="152"/>
      <c r="BL41" s="152"/>
      <c r="BM41" s="152"/>
      <c r="BN41" s="152"/>
      <c r="BO41" s="152" t="s">
        <v>1222</v>
      </c>
      <c r="BP41" s="164" t="s">
        <v>1448</v>
      </c>
      <c r="BQ41" s="152" t="s">
        <v>3340</v>
      </c>
      <c r="BR41" s="152" t="s">
        <v>3317</v>
      </c>
      <c r="BS41" s="295"/>
      <c r="BT41" s="152"/>
      <c r="BU41" s="152"/>
      <c r="BV41" s="152"/>
    </row>
    <row r="42" spans="1:80" ht="18.649999999999999" customHeight="1">
      <c r="A42" s="148"/>
      <c r="B42" s="249"/>
      <c r="C42" s="1492" t="s">
        <v>865</v>
      </c>
      <c r="D42" s="1493"/>
      <c r="E42" s="1493"/>
      <c r="F42" s="1493"/>
      <c r="G42" s="1493"/>
      <c r="H42" s="1494"/>
      <c r="I42" s="1755"/>
      <c r="J42" s="1756"/>
      <c r="K42" s="1756"/>
      <c r="L42" s="1756"/>
      <c r="M42" s="1756"/>
      <c r="N42" s="1756"/>
      <c r="O42" s="1756"/>
      <c r="P42" s="1756"/>
      <c r="Q42" s="1756"/>
      <c r="R42" s="1756"/>
      <c r="S42" s="1756"/>
      <c r="T42" s="1756"/>
      <c r="U42" s="1756"/>
      <c r="V42" s="1756"/>
      <c r="W42" s="1756"/>
      <c r="X42" s="1756"/>
      <c r="Y42" s="1756"/>
      <c r="Z42" s="1756"/>
      <c r="AA42" s="1756"/>
      <c r="AB42" s="1756"/>
      <c r="AC42" s="1756"/>
      <c r="AD42" s="1756"/>
      <c r="AE42" s="1756"/>
      <c r="AF42" s="1756"/>
      <c r="AG42" s="1756"/>
      <c r="AH42" s="1756"/>
      <c r="AI42" s="1756"/>
      <c r="AJ42" s="1756"/>
      <c r="AK42" s="1756"/>
      <c r="AL42" s="1756"/>
      <c r="AM42" s="1756"/>
      <c r="AN42" s="1756"/>
      <c r="AO42" s="1756"/>
      <c r="AP42" s="1756"/>
      <c r="AQ42" s="1756"/>
      <c r="AR42" s="1756"/>
      <c r="AS42" s="1756"/>
      <c r="AT42" s="1757"/>
      <c r="AU42" s="160"/>
      <c r="AV42" s="151"/>
      <c r="AW42" s="151"/>
      <c r="AX42" s="151"/>
      <c r="AY42" s="151"/>
      <c r="BA42" s="151"/>
      <c r="BB42" s="151"/>
      <c r="BC42" s="151"/>
      <c r="BD42" s="151"/>
      <c r="BE42" s="151"/>
      <c r="BF42" s="152"/>
      <c r="BG42" s="152"/>
      <c r="BH42" s="152"/>
      <c r="BI42" s="152"/>
      <c r="BJ42" s="152"/>
      <c r="BK42" s="152"/>
      <c r="BL42" s="152"/>
      <c r="BM42" s="152"/>
      <c r="BN42" s="152"/>
      <c r="BO42" s="164" t="s">
        <v>1223</v>
      </c>
      <c r="BP42" s="164" t="s">
        <v>1449</v>
      </c>
      <c r="BQ42" s="152" t="s">
        <v>796</v>
      </c>
      <c r="BR42" s="152" t="s">
        <v>3318</v>
      </c>
      <c r="BS42" s="295"/>
      <c r="BT42" s="152"/>
      <c r="BU42" s="152"/>
      <c r="BV42" s="152"/>
    </row>
    <row r="43" spans="1:80" ht="18.649999999999999" customHeight="1" thickBot="1">
      <c r="A43" s="148"/>
      <c r="B43" s="249"/>
      <c r="C43" s="1713" t="s">
        <v>863</v>
      </c>
      <c r="D43" s="1714"/>
      <c r="E43" s="1714"/>
      <c r="F43" s="1714"/>
      <c r="G43" s="1714"/>
      <c r="H43" s="1715"/>
      <c r="I43" s="1758"/>
      <c r="J43" s="1759"/>
      <c r="K43" s="1759"/>
      <c r="L43" s="1759"/>
      <c r="M43" s="1759"/>
      <c r="N43" s="1759"/>
      <c r="O43" s="1760" t="s">
        <v>814</v>
      </c>
      <c r="P43" s="1760"/>
      <c r="Q43" s="1761"/>
      <c r="R43" s="1762" t="s">
        <v>815</v>
      </c>
      <c r="S43" s="1714"/>
      <c r="T43" s="1714"/>
      <c r="U43" s="1714"/>
      <c r="V43" s="1714"/>
      <c r="W43" s="1715"/>
      <c r="X43" s="1758"/>
      <c r="Y43" s="1759"/>
      <c r="Z43" s="1759"/>
      <c r="AA43" s="1759"/>
      <c r="AB43" s="1759"/>
      <c r="AC43" s="1760" t="s">
        <v>816</v>
      </c>
      <c r="AD43" s="1760"/>
      <c r="AE43" s="1760"/>
      <c r="AF43" s="1762" t="s">
        <v>1075</v>
      </c>
      <c r="AG43" s="1714"/>
      <c r="AH43" s="1714"/>
      <c r="AI43" s="1714"/>
      <c r="AJ43" s="1714"/>
      <c r="AK43" s="1715"/>
      <c r="AL43" s="1716"/>
      <c r="AM43" s="1717"/>
      <c r="AN43" s="1717"/>
      <c r="AO43" s="1717"/>
      <c r="AP43" s="1717"/>
      <c r="AQ43" s="1717"/>
      <c r="AR43" s="1717"/>
      <c r="AS43" s="1717"/>
      <c r="AT43" s="1722"/>
      <c r="AU43" s="160"/>
      <c r="AV43" s="151" t="str">
        <f>IF(OR(LEN(AL43)=13,AV13=2),"OK","NG")</f>
        <v>NG</v>
      </c>
      <c r="AW43" s="151"/>
      <c r="AX43" s="151"/>
      <c r="AY43" s="151"/>
      <c r="AZ43" s="432"/>
      <c r="BA43" s="151"/>
      <c r="BB43" s="151"/>
      <c r="BC43" s="151"/>
      <c r="BD43" s="151"/>
      <c r="BE43" s="151"/>
      <c r="BF43" s="152"/>
      <c r="BG43" s="152"/>
      <c r="BH43" s="152"/>
      <c r="BI43" s="152"/>
      <c r="BJ43" s="152"/>
      <c r="BK43" s="152"/>
      <c r="BL43" s="152"/>
      <c r="BM43" s="152"/>
      <c r="BN43" s="152"/>
      <c r="BO43" s="164" t="s">
        <v>1224</v>
      </c>
      <c r="BP43" s="175" t="s">
        <v>1450</v>
      </c>
      <c r="BQ43" s="152" t="s">
        <v>3341</v>
      </c>
      <c r="BR43" s="152" t="s">
        <v>3319</v>
      </c>
      <c r="BS43" s="296"/>
      <c r="BT43" s="175"/>
      <c r="BU43" s="175"/>
      <c r="BV43" s="175"/>
    </row>
    <row r="44" spans="1:80" ht="18.649999999999999" customHeight="1">
      <c r="A44" s="148"/>
      <c r="B44" s="249"/>
      <c r="C44" s="172"/>
      <c r="D44" s="172"/>
      <c r="E44" s="172"/>
      <c r="F44" s="172"/>
      <c r="G44" s="172"/>
      <c r="H44" s="172"/>
      <c r="I44" s="596"/>
      <c r="J44" s="430"/>
      <c r="K44" s="430"/>
      <c r="L44" s="430"/>
      <c r="M44" s="430"/>
      <c r="N44" s="430"/>
      <c r="O44" s="430"/>
      <c r="P44" s="430"/>
      <c r="Q44" s="430"/>
      <c r="R44" s="430"/>
      <c r="S44" s="430"/>
      <c r="T44" s="430"/>
      <c r="U44" s="430"/>
      <c r="V44" s="430"/>
      <c r="W44" s="430"/>
      <c r="X44" s="404"/>
      <c r="Y44" s="404"/>
      <c r="Z44" s="404"/>
      <c r="AA44" s="1723" t="s">
        <v>1076</v>
      </c>
      <c r="AB44" s="1723"/>
      <c r="AC44" s="1723"/>
      <c r="AD44" s="1723"/>
      <c r="AE44" s="1723"/>
      <c r="AF44" s="1723"/>
      <c r="AG44" s="1723"/>
      <c r="AH44" s="1723"/>
      <c r="AI44" s="1723"/>
      <c r="AJ44" s="1723"/>
      <c r="AK44" s="1723"/>
      <c r="AL44" s="1723"/>
      <c r="AM44" s="1723"/>
      <c r="AN44" s="1723"/>
      <c r="AO44" s="1723"/>
      <c r="AP44" s="1723"/>
      <c r="AQ44" s="1723"/>
      <c r="AR44" s="1723"/>
      <c r="AS44" s="1723"/>
      <c r="AT44" s="1723"/>
      <c r="AU44" s="160"/>
      <c r="AV44" s="151"/>
      <c r="AW44" s="151"/>
      <c r="AX44" s="151"/>
      <c r="AY44" s="151"/>
      <c r="AZ44" s="432"/>
      <c r="BA44" s="151"/>
      <c r="BB44" s="151"/>
      <c r="BC44" s="151"/>
      <c r="BD44" s="151"/>
      <c r="BE44" s="151"/>
      <c r="BF44" s="152"/>
      <c r="BG44" s="152"/>
      <c r="BH44" s="152"/>
      <c r="BI44" s="164"/>
      <c r="BJ44" s="164"/>
      <c r="BK44" s="164"/>
      <c r="BL44" s="164"/>
      <c r="BM44" s="164"/>
      <c r="BN44" s="164"/>
      <c r="BO44" s="175" t="s">
        <v>1225</v>
      </c>
      <c r="BP44" s="152" t="s">
        <v>1451</v>
      </c>
      <c r="BQ44" s="152" t="s">
        <v>3342</v>
      </c>
      <c r="BR44" s="152" t="s">
        <v>3320</v>
      </c>
      <c r="BS44" s="294"/>
      <c r="BT44" s="152"/>
      <c r="BU44" s="152"/>
      <c r="BV44" s="152"/>
    </row>
    <row r="45" spans="1:80" ht="18.649999999999999" customHeight="1">
      <c r="A45" s="148"/>
      <c r="B45" s="249"/>
      <c r="C45" s="172"/>
      <c r="D45" s="172"/>
      <c r="E45" s="172"/>
      <c r="F45" s="172"/>
      <c r="G45" s="172"/>
      <c r="H45" s="172"/>
      <c r="I45" s="597"/>
      <c r="J45" s="430"/>
      <c r="K45" s="430"/>
      <c r="L45" s="430"/>
      <c r="M45" s="430"/>
      <c r="N45" s="430"/>
      <c r="O45" s="430"/>
      <c r="P45" s="430"/>
      <c r="Q45" s="430"/>
      <c r="R45" s="430"/>
      <c r="S45" s="430"/>
      <c r="T45" s="430"/>
      <c r="U45" s="430"/>
      <c r="V45" s="430"/>
      <c r="W45" s="430"/>
      <c r="X45" s="430"/>
      <c r="Y45" s="430"/>
      <c r="Z45" s="430"/>
      <c r="AA45" s="430"/>
      <c r="AB45" s="430"/>
      <c r="AC45" s="430"/>
      <c r="AD45" s="430"/>
      <c r="AE45" s="430"/>
      <c r="AF45" s="430"/>
      <c r="AG45" s="430"/>
      <c r="AH45" s="430"/>
      <c r="AI45" s="430"/>
      <c r="AJ45" s="430"/>
      <c r="AK45" s="430"/>
      <c r="AL45" s="430"/>
      <c r="AM45" s="430"/>
      <c r="AN45" s="430"/>
      <c r="AO45" s="430"/>
      <c r="AP45" s="430"/>
      <c r="AQ45" s="430"/>
      <c r="AR45" s="430"/>
      <c r="AS45" s="430"/>
      <c r="AT45" s="430"/>
      <c r="AU45" s="160"/>
      <c r="AV45" s="151"/>
      <c r="AW45" s="151"/>
      <c r="AX45" s="151"/>
      <c r="AY45" s="151"/>
      <c r="BA45" s="151"/>
      <c r="BB45" s="151"/>
      <c r="BC45" s="151"/>
      <c r="BD45" s="151"/>
      <c r="BE45" s="151"/>
      <c r="BF45" s="152"/>
      <c r="BG45" s="152"/>
      <c r="BH45" s="152"/>
      <c r="BI45" s="164"/>
      <c r="BJ45" s="164"/>
      <c r="BK45" s="164"/>
      <c r="BL45" s="164"/>
      <c r="BM45" s="164"/>
      <c r="BN45" s="164"/>
      <c r="BO45" s="152" t="s">
        <v>1226</v>
      </c>
      <c r="BP45" s="152" t="s">
        <v>1452</v>
      </c>
      <c r="BQ45" s="152" t="s">
        <v>3343</v>
      </c>
      <c r="BR45" s="152" t="s">
        <v>3321</v>
      </c>
      <c r="BS45" s="294"/>
      <c r="BT45" s="152"/>
      <c r="BU45" s="152"/>
      <c r="BV45" s="152"/>
    </row>
    <row r="46" spans="1:80" ht="18.649999999999999" customHeight="1">
      <c r="A46" s="148"/>
      <c r="B46" s="249"/>
      <c r="C46" s="172"/>
      <c r="D46" s="172"/>
      <c r="E46" s="172"/>
      <c r="F46" s="172"/>
      <c r="G46" s="172"/>
      <c r="H46" s="172"/>
      <c r="I46" s="598"/>
      <c r="J46" s="430"/>
      <c r="K46" s="430"/>
      <c r="L46" s="430"/>
      <c r="M46" s="1474" t="s">
        <v>949</v>
      </c>
      <c r="N46" s="1474"/>
      <c r="O46" s="1474"/>
      <c r="P46" s="1474"/>
      <c r="Q46" s="1474"/>
      <c r="R46" s="1474"/>
      <c r="S46" s="1474"/>
      <c r="T46" s="1474"/>
      <c r="U46" s="1474"/>
      <c r="V46" s="1474"/>
      <c r="W46" s="1474"/>
      <c r="X46" s="1474"/>
      <c r="Y46" s="1474"/>
      <c r="Z46" s="1474"/>
      <c r="AA46" s="1474"/>
      <c r="AB46" s="1474"/>
      <c r="AC46" s="1474"/>
      <c r="AD46" s="1474"/>
      <c r="AE46" s="1474"/>
      <c r="AF46" s="1474"/>
      <c r="AG46" s="1474"/>
      <c r="AH46" s="1474"/>
      <c r="AI46" s="1474"/>
      <c r="AJ46" s="1474"/>
      <c r="AK46" s="1474"/>
      <c r="AL46" s="1474"/>
      <c r="AM46" s="1474"/>
      <c r="AN46" s="1474"/>
      <c r="AO46" s="1474"/>
      <c r="AP46" s="1474"/>
      <c r="AQ46" s="1474"/>
      <c r="AR46" s="1474"/>
      <c r="AS46" s="1474"/>
      <c r="AT46" s="1474"/>
      <c r="AU46" s="160"/>
      <c r="AV46" s="151"/>
      <c r="AW46" s="151"/>
      <c r="AX46" s="151"/>
      <c r="AY46" s="151"/>
      <c r="BA46" s="151"/>
      <c r="BB46" s="151"/>
      <c r="BC46" s="151"/>
      <c r="BD46" s="151"/>
      <c r="BE46" s="151"/>
      <c r="BF46" s="152"/>
      <c r="BG46" s="152"/>
      <c r="BH46" s="152"/>
      <c r="BI46" s="175"/>
      <c r="BJ46" s="175"/>
      <c r="BK46" s="175"/>
      <c r="BL46" s="175"/>
      <c r="BM46" s="175"/>
      <c r="BN46" s="175"/>
      <c r="BO46" s="152" t="s">
        <v>1227</v>
      </c>
      <c r="BP46" s="152" t="s">
        <v>1453</v>
      </c>
      <c r="BQ46" s="152" t="s">
        <v>3344</v>
      </c>
      <c r="BR46" s="152" t="s">
        <v>3322</v>
      </c>
      <c r="BS46" s="294"/>
      <c r="BT46" s="152"/>
      <c r="BU46" s="152"/>
      <c r="BV46" s="152"/>
    </row>
    <row r="47" spans="1:80" ht="18.649999999999999" customHeight="1" thickBot="1">
      <c r="A47" s="148"/>
      <c r="B47" s="249"/>
      <c r="C47" s="172"/>
      <c r="D47" s="172"/>
      <c r="E47" s="172"/>
      <c r="F47" s="172"/>
      <c r="G47" s="172"/>
      <c r="H47" s="172"/>
      <c r="I47" s="598"/>
      <c r="J47" s="430"/>
      <c r="K47" s="430"/>
      <c r="L47" s="430"/>
      <c r="M47" s="1474"/>
      <c r="N47" s="1474"/>
      <c r="O47" s="1474"/>
      <c r="P47" s="1474"/>
      <c r="Q47" s="1474"/>
      <c r="R47" s="1475"/>
      <c r="S47" s="1475"/>
      <c r="T47" s="1475"/>
      <c r="U47" s="1475"/>
      <c r="V47" s="1475"/>
      <c r="W47" s="1475"/>
      <c r="X47" s="1475"/>
      <c r="Y47" s="1475"/>
      <c r="Z47" s="1475"/>
      <c r="AA47" s="1475"/>
      <c r="AB47" s="1475"/>
      <c r="AC47" s="1475"/>
      <c r="AD47" s="1475"/>
      <c r="AE47" s="1475"/>
      <c r="AF47" s="1475"/>
      <c r="AG47" s="1475"/>
      <c r="AH47" s="1475"/>
      <c r="AI47" s="1475"/>
      <c r="AJ47" s="1475"/>
      <c r="AK47" s="1475"/>
      <c r="AL47" s="1475"/>
      <c r="AM47" s="1475"/>
      <c r="AN47" s="1475"/>
      <c r="AO47" s="1475"/>
      <c r="AP47" s="1475"/>
      <c r="AQ47" s="1475"/>
      <c r="AR47" s="1475"/>
      <c r="AS47" s="1475"/>
      <c r="AT47" s="1475"/>
      <c r="AU47" s="160"/>
      <c r="AV47" s="151"/>
      <c r="AW47" s="151"/>
      <c r="AX47" s="151"/>
      <c r="AY47" s="151"/>
      <c r="BA47" s="151"/>
      <c r="BB47" s="151"/>
      <c r="BC47" s="151"/>
      <c r="BD47" s="151"/>
      <c r="BE47" s="151"/>
      <c r="BF47" s="152"/>
      <c r="BG47" s="152"/>
      <c r="BH47" s="152"/>
      <c r="BI47" s="152"/>
      <c r="BJ47" s="152"/>
      <c r="BK47" s="152"/>
      <c r="BL47" s="152"/>
      <c r="BM47" s="152"/>
      <c r="BN47" s="152"/>
      <c r="BO47" s="152" t="s">
        <v>1228</v>
      </c>
      <c r="BP47" s="152" t="s">
        <v>1454</v>
      </c>
      <c r="BQ47" s="152" t="s">
        <v>3345</v>
      </c>
      <c r="BR47" s="152" t="s">
        <v>3323</v>
      </c>
      <c r="BS47" s="294"/>
      <c r="BT47" s="152"/>
      <c r="BU47" s="152"/>
      <c r="BV47" s="152"/>
    </row>
    <row r="48" spans="1:80" ht="18" customHeight="1">
      <c r="A48" s="148"/>
      <c r="B48" s="249">
        <f>IF(OR(I48="",O48="",I49="",O49="",X48="",AI49="",AM49="",AQ49="",O51="",W51="",AE51="",J52="",M52="",I53="",N53="",V53="",AD53="",I55="",O55="",T55="",AV48=0,AV53="00"),1,0)</f>
        <v>1</v>
      </c>
      <c r="C48" s="1476" t="s">
        <v>761</v>
      </c>
      <c r="D48" s="1477"/>
      <c r="E48" s="1477"/>
      <c r="F48" s="1477"/>
      <c r="G48" s="1477"/>
      <c r="H48" s="1478"/>
      <c r="I48" s="2929"/>
      <c r="J48" s="2930"/>
      <c r="K48" s="2930"/>
      <c r="L48" s="2930"/>
      <c r="M48" s="2930"/>
      <c r="N48" s="2930"/>
      <c r="O48" s="2930"/>
      <c r="P48" s="2930"/>
      <c r="Q48" s="2930"/>
      <c r="R48" s="2930"/>
      <c r="S48" s="2930"/>
      <c r="T48" s="2986"/>
      <c r="U48" s="1727" t="s">
        <v>406</v>
      </c>
      <c r="V48" s="1728"/>
      <c r="W48" s="1729"/>
      <c r="X48" s="1730"/>
      <c r="Y48" s="1730"/>
      <c r="Z48" s="1730"/>
      <c r="AA48" s="1730"/>
      <c r="AB48" s="1730"/>
      <c r="AC48" s="1731"/>
      <c r="AD48" s="1735" t="s">
        <v>407</v>
      </c>
      <c r="AE48" s="1736"/>
      <c r="AF48" s="1737"/>
      <c r="AG48" s="1738"/>
      <c r="AH48" s="1739"/>
      <c r="AI48" s="420" t="s">
        <v>408</v>
      </c>
      <c r="AJ48" s="1739"/>
      <c r="AK48" s="1739"/>
      <c r="AL48" s="420" t="s">
        <v>409</v>
      </c>
      <c r="AM48" s="173"/>
      <c r="AN48" s="173"/>
      <c r="AO48" s="173"/>
      <c r="AP48" s="173"/>
      <c r="AQ48" s="173"/>
      <c r="AR48" s="173"/>
      <c r="AS48" s="173"/>
      <c r="AT48" s="174"/>
      <c r="AU48" s="160"/>
      <c r="AV48" s="151">
        <v>0</v>
      </c>
      <c r="AW48" s="151"/>
      <c r="AX48" s="151"/>
      <c r="AY48" s="151"/>
      <c r="BA48" s="151"/>
      <c r="BB48" s="151"/>
      <c r="BC48" s="151"/>
      <c r="BD48" s="151"/>
      <c r="BE48" s="151"/>
      <c r="BF48" s="152"/>
      <c r="BG48" s="152"/>
      <c r="BH48" s="152"/>
      <c r="BI48" s="152"/>
      <c r="BJ48" s="152"/>
      <c r="BK48" s="152"/>
      <c r="BL48" s="152"/>
      <c r="BM48" s="152"/>
      <c r="BN48" s="152"/>
      <c r="BO48" s="152" t="s">
        <v>1229</v>
      </c>
      <c r="BP48" s="152" t="s">
        <v>1455</v>
      </c>
      <c r="BQ48" s="152" t="s">
        <v>3346</v>
      </c>
      <c r="BR48" s="852" t="s">
        <v>3324</v>
      </c>
      <c r="BS48" s="294"/>
      <c r="BT48" s="152"/>
      <c r="BU48" s="152"/>
      <c r="BV48" s="152"/>
    </row>
    <row r="49" spans="1:80" ht="18" customHeight="1">
      <c r="A49" s="148"/>
      <c r="B49" s="249"/>
      <c r="C49" s="1482" t="s">
        <v>411</v>
      </c>
      <c r="D49" s="1483"/>
      <c r="E49" s="1483"/>
      <c r="F49" s="1483"/>
      <c r="G49" s="1483"/>
      <c r="H49" s="1484"/>
      <c r="I49" s="2931"/>
      <c r="J49" s="2932"/>
      <c r="K49" s="2932"/>
      <c r="L49" s="2932"/>
      <c r="M49" s="2932"/>
      <c r="N49" s="2932"/>
      <c r="O49" s="2932"/>
      <c r="P49" s="2932"/>
      <c r="Q49" s="2932"/>
      <c r="R49" s="2932"/>
      <c r="S49" s="2932"/>
      <c r="T49" s="2987"/>
      <c r="U49" s="1649"/>
      <c r="V49" s="1650"/>
      <c r="W49" s="1651"/>
      <c r="X49" s="1732"/>
      <c r="Y49" s="1732"/>
      <c r="Z49" s="1732"/>
      <c r="AA49" s="1732"/>
      <c r="AB49" s="1732"/>
      <c r="AC49" s="1733"/>
      <c r="AD49" s="1746" t="s">
        <v>412</v>
      </c>
      <c r="AE49" s="1542"/>
      <c r="AF49" s="1543"/>
      <c r="AG49" s="1747" t="s">
        <v>380</v>
      </c>
      <c r="AH49" s="1747"/>
      <c r="AI49" s="1748"/>
      <c r="AJ49" s="1748"/>
      <c r="AK49" s="1747" t="s">
        <v>381</v>
      </c>
      <c r="AL49" s="1747"/>
      <c r="AM49" s="1749"/>
      <c r="AN49" s="1749"/>
      <c r="AO49" s="1750" t="s">
        <v>413</v>
      </c>
      <c r="AP49" s="1750"/>
      <c r="AQ49" s="1749"/>
      <c r="AR49" s="1749"/>
      <c r="AS49" s="1750" t="s">
        <v>414</v>
      </c>
      <c r="AT49" s="1628"/>
      <c r="AU49" s="160"/>
      <c r="AV49" s="151"/>
      <c r="AW49" s="151"/>
      <c r="AX49" s="151"/>
      <c r="AY49" s="151"/>
      <c r="AZ49" s="176"/>
      <c r="BA49" s="151"/>
      <c r="BB49" s="151"/>
      <c r="BC49" s="151"/>
      <c r="BD49" s="151"/>
      <c r="BE49" s="151"/>
      <c r="BF49" s="152"/>
      <c r="BG49" s="152"/>
      <c r="BH49" s="152"/>
      <c r="BI49" s="152"/>
      <c r="BJ49" s="152"/>
      <c r="BK49" s="152"/>
      <c r="BL49" s="152"/>
      <c r="BM49" s="152"/>
      <c r="BN49" s="152"/>
      <c r="BO49" s="152" t="s">
        <v>1230</v>
      </c>
      <c r="BP49" s="152" t="s">
        <v>1456</v>
      </c>
      <c r="BQ49" s="152" t="s">
        <v>3347</v>
      </c>
      <c r="BR49" s="152" t="s">
        <v>3325</v>
      </c>
      <c r="BS49" s="294"/>
      <c r="BT49" s="152"/>
      <c r="BU49" s="152"/>
      <c r="BV49" s="152"/>
    </row>
    <row r="50" spans="1:80" ht="18" customHeight="1">
      <c r="A50" s="148"/>
      <c r="B50" s="249"/>
      <c r="C50" s="1482"/>
      <c r="D50" s="1483"/>
      <c r="E50" s="1483"/>
      <c r="F50" s="1483"/>
      <c r="G50" s="1483"/>
      <c r="H50" s="1484"/>
      <c r="I50" s="2933"/>
      <c r="J50" s="2934"/>
      <c r="K50" s="2934"/>
      <c r="L50" s="2934"/>
      <c r="M50" s="2934"/>
      <c r="N50" s="2934"/>
      <c r="O50" s="2934"/>
      <c r="P50" s="2934"/>
      <c r="Q50" s="2934"/>
      <c r="R50" s="2934"/>
      <c r="S50" s="2934"/>
      <c r="T50" s="2988"/>
      <c r="U50" s="1544"/>
      <c r="V50" s="1545"/>
      <c r="W50" s="1546"/>
      <c r="X50" s="1540"/>
      <c r="Y50" s="1540"/>
      <c r="Z50" s="1540"/>
      <c r="AA50" s="1540"/>
      <c r="AB50" s="1540"/>
      <c r="AC50" s="1734"/>
      <c r="AD50" s="1544"/>
      <c r="AE50" s="1545"/>
      <c r="AF50" s="1546"/>
      <c r="AG50" s="1747"/>
      <c r="AH50" s="1747"/>
      <c r="AI50" s="1748"/>
      <c r="AJ50" s="1748"/>
      <c r="AK50" s="1747"/>
      <c r="AL50" s="1747"/>
      <c r="AM50" s="1748"/>
      <c r="AN50" s="1748"/>
      <c r="AO50" s="1747"/>
      <c r="AP50" s="1747"/>
      <c r="AQ50" s="1748"/>
      <c r="AR50" s="1748"/>
      <c r="AS50" s="1747"/>
      <c r="AT50" s="1751"/>
      <c r="AU50" s="160"/>
      <c r="AV50" s="151"/>
      <c r="AW50" s="151"/>
      <c r="AX50" s="151"/>
      <c r="AY50" s="151"/>
      <c r="AZ50" s="151"/>
      <c r="BA50" s="151"/>
      <c r="BB50" s="151"/>
      <c r="BC50" s="151"/>
      <c r="BD50" s="151"/>
      <c r="BE50" s="151"/>
      <c r="BF50" s="152"/>
      <c r="BG50" s="152"/>
      <c r="BH50" s="152"/>
      <c r="BI50" s="152"/>
      <c r="BJ50" s="152"/>
      <c r="BK50" s="152"/>
      <c r="BL50" s="152"/>
      <c r="BM50" s="152"/>
      <c r="BN50" s="152"/>
      <c r="BO50" s="152"/>
      <c r="BP50" s="164"/>
      <c r="BQ50" s="164"/>
      <c r="BR50" s="164"/>
      <c r="BS50" s="295"/>
      <c r="BT50" s="152"/>
      <c r="BU50" s="152"/>
      <c r="BV50" s="152"/>
    </row>
    <row r="51" spans="1:80" ht="18" customHeight="1">
      <c r="A51" s="148"/>
      <c r="B51" s="249"/>
      <c r="C51" s="1449" t="s">
        <v>2026</v>
      </c>
      <c r="D51" s="1450"/>
      <c r="E51" s="1450"/>
      <c r="F51" s="1450"/>
      <c r="G51" s="1450"/>
      <c r="H51" s="1451"/>
      <c r="I51" s="501"/>
      <c r="J51" s="1416" t="str">
        <f>VLOOKUP(I53,BO2:BP49,2,FALSE)</f>
        <v>（自動表示）</v>
      </c>
      <c r="K51" s="1416"/>
      <c r="L51" s="1416"/>
      <c r="M51" s="1702"/>
      <c r="N51" s="622"/>
      <c r="O51" s="1677"/>
      <c r="P51" s="1677"/>
      <c r="Q51" s="1677"/>
      <c r="R51" s="1677"/>
      <c r="S51" s="1677"/>
      <c r="T51" s="1677"/>
      <c r="U51" s="1677"/>
      <c r="V51" s="622"/>
      <c r="W51" s="1677"/>
      <c r="X51" s="1677"/>
      <c r="Y51" s="1677"/>
      <c r="Z51" s="1677"/>
      <c r="AA51" s="1677"/>
      <c r="AB51" s="1677"/>
      <c r="AC51" s="1678"/>
      <c r="AD51" s="622"/>
      <c r="AE51" s="1677"/>
      <c r="AF51" s="1677"/>
      <c r="AG51" s="1677"/>
      <c r="AH51" s="1677"/>
      <c r="AI51" s="1677"/>
      <c r="AJ51" s="1677"/>
      <c r="AK51" s="1678"/>
      <c r="AL51" s="622"/>
      <c r="AM51" s="1679"/>
      <c r="AN51" s="1679"/>
      <c r="AO51" s="1679"/>
      <c r="AP51" s="1679"/>
      <c r="AQ51" s="1679"/>
      <c r="AR51" s="1679"/>
      <c r="AS51" s="1679"/>
      <c r="AT51" s="1680"/>
      <c r="AU51" s="160"/>
      <c r="AV51" s="151" t="str">
        <f>IF(ISERROR(FIND({"１","２","３","４","５","６","７","８","９","０","1","2","3","4","5","6","7","8","9","0","-","―","－","-","・","！","!","@","&amp;","."},O51&amp;W51&amp;AE51&amp;AM51)),"OK","NG")</f>
        <v>OK</v>
      </c>
      <c r="AW51" s="151"/>
      <c r="AX51" s="151"/>
      <c r="AY51" s="151"/>
      <c r="AZ51" s="151"/>
      <c r="BA51" s="151"/>
      <c r="BB51" s="151"/>
      <c r="BC51" s="151"/>
      <c r="BD51" s="151"/>
      <c r="BE51" s="151"/>
      <c r="BF51" s="152"/>
      <c r="BG51" s="152"/>
      <c r="BH51" s="152"/>
      <c r="BI51" s="152"/>
      <c r="BJ51" s="152"/>
      <c r="BK51" s="152"/>
      <c r="BL51" s="152"/>
      <c r="BM51" s="152"/>
      <c r="BN51" s="152"/>
      <c r="BO51" s="164"/>
      <c r="BP51" s="164"/>
      <c r="BQ51" s="164"/>
      <c r="BR51" s="164"/>
      <c r="BS51" s="295"/>
      <c r="BT51" s="152"/>
      <c r="BU51" s="152"/>
      <c r="BV51" s="152"/>
    </row>
    <row r="52" spans="1:80" s="154" customFormat="1" ht="18" customHeight="1">
      <c r="A52" s="148"/>
      <c r="B52" s="249"/>
      <c r="C52" s="1458" t="s">
        <v>859</v>
      </c>
      <c r="D52" s="1459"/>
      <c r="E52" s="1459"/>
      <c r="F52" s="1459"/>
      <c r="G52" s="1459"/>
      <c r="H52" s="1460"/>
      <c r="I52" s="623" t="s">
        <v>2027</v>
      </c>
      <c r="J52" s="1693"/>
      <c r="K52" s="1693"/>
      <c r="L52" s="624" t="s">
        <v>2028</v>
      </c>
      <c r="M52" s="1694"/>
      <c r="N52" s="1694"/>
      <c r="O52" s="624"/>
      <c r="P52" s="624"/>
      <c r="Q52" s="625"/>
      <c r="R52" s="625"/>
      <c r="S52" s="625"/>
      <c r="T52" s="625"/>
      <c r="U52" s="625"/>
      <c r="V52" s="625"/>
      <c r="W52" s="625"/>
      <c r="X52" s="625"/>
      <c r="Y52" s="625"/>
      <c r="Z52" s="625"/>
      <c r="AA52" s="625"/>
      <c r="AB52" s="625"/>
      <c r="AC52" s="625"/>
      <c r="AD52" s="625"/>
      <c r="AE52" s="625"/>
      <c r="AF52" s="625"/>
      <c r="AG52" s="625"/>
      <c r="AH52" s="625"/>
      <c r="AI52" s="625"/>
      <c r="AJ52" s="625"/>
      <c r="AK52" s="625"/>
      <c r="AL52" s="625"/>
      <c r="AM52" s="625"/>
      <c r="AN52" s="625"/>
      <c r="AO52" s="625"/>
      <c r="AP52" s="625"/>
      <c r="AQ52" s="625"/>
      <c r="AR52" s="625"/>
      <c r="AS52" s="625"/>
      <c r="AT52" s="626"/>
      <c r="AU52" s="160"/>
      <c r="AV52" s="151"/>
      <c r="AW52" s="151"/>
      <c r="AX52" s="151"/>
      <c r="AY52" s="151"/>
      <c r="AZ52" s="151"/>
      <c r="BA52" s="151"/>
      <c r="BB52" s="151"/>
      <c r="BC52" s="151"/>
      <c r="BD52" s="151"/>
      <c r="BE52" s="151"/>
      <c r="BF52" s="152"/>
      <c r="BG52" s="152"/>
      <c r="BH52" s="152"/>
      <c r="BI52" s="152"/>
      <c r="BJ52" s="152"/>
      <c r="BK52" s="152"/>
      <c r="BL52" s="152"/>
      <c r="BM52" s="152"/>
      <c r="BN52" s="152"/>
      <c r="BO52" s="164"/>
      <c r="BP52" s="158"/>
      <c r="BQ52" s="158"/>
      <c r="BR52" s="158"/>
      <c r="BS52" s="297"/>
      <c r="BT52" s="158"/>
      <c r="BU52" s="158"/>
      <c r="BV52" s="158"/>
      <c r="BW52" s="153"/>
      <c r="BX52" s="153"/>
      <c r="BY52" s="153"/>
      <c r="BZ52" s="153"/>
      <c r="CA52" s="153"/>
      <c r="CB52" s="153"/>
    </row>
    <row r="53" spans="1:80" s="154" customFormat="1" ht="18" customHeight="1">
      <c r="A53" s="148"/>
      <c r="B53" s="249"/>
      <c r="C53" s="1482"/>
      <c r="D53" s="1483"/>
      <c r="E53" s="1483"/>
      <c r="F53" s="1483"/>
      <c r="G53" s="1483"/>
      <c r="H53" s="1484"/>
      <c r="I53" s="1695" t="s">
        <v>777</v>
      </c>
      <c r="J53" s="1696"/>
      <c r="K53" s="1696"/>
      <c r="L53" s="1696"/>
      <c r="M53" s="1696"/>
      <c r="N53" s="1671"/>
      <c r="O53" s="1671"/>
      <c r="P53" s="1671"/>
      <c r="Q53" s="1671"/>
      <c r="R53" s="1671"/>
      <c r="S53" s="1671"/>
      <c r="T53" s="1671"/>
      <c r="U53" s="1671"/>
      <c r="V53" s="1671"/>
      <c r="W53" s="1671"/>
      <c r="X53" s="1671"/>
      <c r="Y53" s="1671"/>
      <c r="Z53" s="1671"/>
      <c r="AA53" s="1671"/>
      <c r="AB53" s="1671"/>
      <c r="AC53" s="1671"/>
      <c r="AD53" s="1671"/>
      <c r="AE53" s="1671"/>
      <c r="AF53" s="1671"/>
      <c r="AG53" s="1671"/>
      <c r="AH53" s="1671"/>
      <c r="AI53" s="1671"/>
      <c r="AJ53" s="1671"/>
      <c r="AK53" s="1671"/>
      <c r="AL53" s="1671"/>
      <c r="AM53" s="1671"/>
      <c r="AN53" s="1671"/>
      <c r="AO53" s="1671"/>
      <c r="AP53" s="1671"/>
      <c r="AQ53" s="1671"/>
      <c r="AR53" s="1671"/>
      <c r="AS53" s="1671"/>
      <c r="AT53" s="2927"/>
      <c r="AU53" s="160"/>
      <c r="AV53" s="151" t="str">
        <f>LEFT(I53,2)</f>
        <v>00</v>
      </c>
      <c r="AW53" s="151" t="str">
        <f>MID(I53,4,LEN(I53)-3)</f>
        <v>選択して下さい</v>
      </c>
      <c r="AX53" s="151"/>
      <c r="AY53" s="151"/>
      <c r="AZ53" s="151"/>
      <c r="BA53" s="151"/>
      <c r="BB53" s="151"/>
      <c r="BC53" s="151"/>
      <c r="BD53" s="151"/>
      <c r="BE53" s="151"/>
      <c r="BF53" s="164"/>
      <c r="BG53" s="164"/>
      <c r="BH53" s="164"/>
      <c r="BI53" s="164"/>
      <c r="BJ53" s="164"/>
      <c r="BK53" s="164"/>
      <c r="BL53" s="164"/>
      <c r="BM53" s="164"/>
      <c r="BN53" s="164"/>
      <c r="BO53" s="158"/>
      <c r="BP53" s="152"/>
      <c r="BQ53" s="152"/>
      <c r="BR53" s="152"/>
      <c r="BS53" s="294"/>
      <c r="BT53" s="178"/>
      <c r="BU53" s="153"/>
      <c r="BV53" s="153"/>
      <c r="BW53" s="153"/>
      <c r="BX53" s="153"/>
      <c r="BY53" s="153"/>
      <c r="BZ53" s="153"/>
      <c r="CA53" s="153"/>
      <c r="CB53" s="153"/>
    </row>
    <row r="54" spans="1:80" s="154" customFormat="1" ht="18" customHeight="1">
      <c r="A54" s="148"/>
      <c r="B54" s="249"/>
      <c r="C54" s="1461"/>
      <c r="D54" s="1462"/>
      <c r="E54" s="1462"/>
      <c r="F54" s="1462"/>
      <c r="G54" s="1462"/>
      <c r="H54" s="1463"/>
      <c r="I54" s="1697"/>
      <c r="J54" s="1698"/>
      <c r="K54" s="1698"/>
      <c r="L54" s="1698"/>
      <c r="M54" s="1698"/>
      <c r="N54" s="1672"/>
      <c r="O54" s="1672"/>
      <c r="P54" s="1672"/>
      <c r="Q54" s="1672"/>
      <c r="R54" s="1672"/>
      <c r="S54" s="1672"/>
      <c r="T54" s="1672"/>
      <c r="U54" s="1672"/>
      <c r="V54" s="1672"/>
      <c r="W54" s="1672"/>
      <c r="X54" s="1672"/>
      <c r="Y54" s="1672"/>
      <c r="Z54" s="1672"/>
      <c r="AA54" s="1672"/>
      <c r="AB54" s="1672"/>
      <c r="AC54" s="1672"/>
      <c r="AD54" s="1672"/>
      <c r="AE54" s="1672"/>
      <c r="AF54" s="1672"/>
      <c r="AG54" s="1672"/>
      <c r="AH54" s="1672"/>
      <c r="AI54" s="1672"/>
      <c r="AJ54" s="1672"/>
      <c r="AK54" s="1672"/>
      <c r="AL54" s="1672"/>
      <c r="AM54" s="1672"/>
      <c r="AN54" s="1672"/>
      <c r="AO54" s="1672"/>
      <c r="AP54" s="1672"/>
      <c r="AQ54" s="1672"/>
      <c r="AR54" s="1672"/>
      <c r="AS54" s="1672"/>
      <c r="AT54" s="2928"/>
      <c r="AU54" s="160"/>
      <c r="AV54" s="151"/>
      <c r="AW54" s="151"/>
      <c r="AX54" s="151"/>
      <c r="AY54" s="151"/>
      <c r="AZ54" s="151"/>
      <c r="BA54" s="151"/>
      <c r="BB54" s="151"/>
      <c r="BC54" s="151"/>
      <c r="BD54" s="151"/>
      <c r="BE54" s="151"/>
      <c r="BF54" s="164"/>
      <c r="BG54" s="164"/>
      <c r="BH54" s="164"/>
      <c r="BI54" s="164"/>
      <c r="BJ54" s="164"/>
      <c r="BK54" s="164"/>
      <c r="BL54" s="164"/>
      <c r="BM54" s="164"/>
      <c r="BN54" s="164"/>
      <c r="BO54" s="152"/>
      <c r="BP54" s="152"/>
      <c r="BQ54" s="152"/>
      <c r="BR54" s="152"/>
      <c r="BS54" s="294"/>
      <c r="BT54" s="178"/>
      <c r="BU54" s="153"/>
      <c r="BV54" s="153"/>
      <c r="BW54" s="153"/>
      <c r="BX54" s="153"/>
      <c r="BY54" s="153"/>
      <c r="BZ54" s="153"/>
      <c r="CA54" s="153"/>
      <c r="CB54" s="153"/>
    </row>
    <row r="55" spans="1:80" ht="18" customHeight="1" thickBot="1">
      <c r="A55" s="148"/>
      <c r="B55" s="249"/>
      <c r="C55" s="1713" t="s">
        <v>398</v>
      </c>
      <c r="D55" s="1714"/>
      <c r="E55" s="1714"/>
      <c r="F55" s="1714"/>
      <c r="G55" s="1714"/>
      <c r="H55" s="1715"/>
      <c r="I55" s="1716"/>
      <c r="J55" s="1717"/>
      <c r="K55" s="1717"/>
      <c r="L55" s="1717"/>
      <c r="M55" s="1717"/>
      <c r="N55" s="443" t="s">
        <v>1231</v>
      </c>
      <c r="O55" s="1717"/>
      <c r="P55" s="1717"/>
      <c r="Q55" s="1717"/>
      <c r="R55" s="1717"/>
      <c r="S55" s="443" t="s">
        <v>1232</v>
      </c>
      <c r="T55" s="1717"/>
      <c r="U55" s="1717"/>
      <c r="V55" s="1717"/>
      <c r="W55" s="1717"/>
      <c r="X55" s="1718"/>
      <c r="Y55" s="1719" t="s">
        <v>399</v>
      </c>
      <c r="Z55" s="1720"/>
      <c r="AA55" s="1720"/>
      <c r="AB55" s="1720"/>
      <c r="AC55" s="1720"/>
      <c r="AD55" s="1721"/>
      <c r="AE55" s="1716"/>
      <c r="AF55" s="1717"/>
      <c r="AG55" s="1717"/>
      <c r="AH55" s="1717"/>
      <c r="AI55" s="1717"/>
      <c r="AJ55" s="443" t="s">
        <v>1231</v>
      </c>
      <c r="AK55" s="1717"/>
      <c r="AL55" s="1717"/>
      <c r="AM55" s="1717"/>
      <c r="AN55" s="1717"/>
      <c r="AO55" s="443" t="s">
        <v>1182</v>
      </c>
      <c r="AP55" s="1717"/>
      <c r="AQ55" s="1717"/>
      <c r="AR55" s="1717"/>
      <c r="AS55" s="1717"/>
      <c r="AT55" s="1722"/>
      <c r="AU55" s="160"/>
      <c r="AV55" s="151" t="str">
        <f>IF(AND(I55&lt;&gt;"",O55&lt;&gt;"",T55&lt;&gt;""),IF(LENB(I55)+LENB(O55)+LENB(T55)&lt;13,"OK","NG"),"OK")</f>
        <v>OK</v>
      </c>
      <c r="AW55" s="151" t="str">
        <f>IF(AND(AE55&lt;&gt;"",AK55&lt;&gt;"",AP55&lt;&gt;""),IF(LENB(AE55)+LENB(AK55)+LENB(AP55)&lt;13,"OK","NG"),"OK")</f>
        <v>OK</v>
      </c>
      <c r="AX55" s="151"/>
      <c r="AY55" s="151"/>
      <c r="AZ55" s="151"/>
      <c r="BA55" s="151"/>
      <c r="BB55" s="151"/>
      <c r="BC55" s="151"/>
      <c r="BD55" s="151"/>
      <c r="BE55" s="151"/>
      <c r="BF55" s="164"/>
      <c r="BG55" s="164"/>
      <c r="BH55" s="164"/>
      <c r="BO55" s="152"/>
      <c r="BP55" s="152"/>
      <c r="BQ55" s="152"/>
      <c r="BR55" s="152"/>
      <c r="BU55" s="153"/>
      <c r="BV55" s="153"/>
    </row>
    <row r="56" spans="1:80" ht="18.649999999999999" customHeight="1">
      <c r="A56" s="148"/>
      <c r="B56" s="249"/>
      <c r="C56" s="172"/>
      <c r="D56" s="172"/>
      <c r="E56" s="172"/>
      <c r="F56" s="172"/>
      <c r="G56" s="172"/>
      <c r="H56" s="172"/>
      <c r="I56" s="594"/>
      <c r="J56" s="594"/>
      <c r="K56" s="594"/>
      <c r="L56" s="594"/>
      <c r="M56" s="594"/>
      <c r="N56" s="594"/>
      <c r="O56" s="594"/>
      <c r="P56" s="594"/>
      <c r="Q56" s="594"/>
      <c r="R56" s="594"/>
      <c r="S56" s="594"/>
      <c r="T56" s="594"/>
      <c r="U56" s="594"/>
      <c r="V56" s="594"/>
      <c r="W56" s="594"/>
      <c r="X56" s="594"/>
      <c r="Y56" s="177"/>
      <c r="Z56" s="177"/>
      <c r="AA56" s="177"/>
      <c r="AB56" s="177"/>
      <c r="AC56" s="177"/>
      <c r="AD56" s="177"/>
      <c r="AE56" s="594"/>
      <c r="AF56" s="594"/>
      <c r="AG56" s="594"/>
      <c r="AH56" s="594"/>
      <c r="AI56" s="594"/>
      <c r="AJ56" s="594"/>
      <c r="AK56" s="594"/>
      <c r="AL56" s="594"/>
      <c r="AM56" s="594"/>
      <c r="AN56" s="594"/>
      <c r="AO56" s="594"/>
      <c r="AP56" s="594"/>
      <c r="AQ56" s="594"/>
      <c r="AR56" s="594"/>
      <c r="AS56" s="594"/>
      <c r="AT56" s="594"/>
      <c r="AU56" s="160"/>
      <c r="AV56" s="151"/>
      <c r="AW56" s="151"/>
      <c r="AX56" s="151"/>
      <c r="AY56" s="151"/>
      <c r="AZ56" s="151"/>
      <c r="BA56" s="151"/>
      <c r="BB56" s="151"/>
      <c r="BC56" s="151"/>
      <c r="BD56" s="151"/>
      <c r="BE56" s="151"/>
      <c r="BF56" s="164"/>
      <c r="BG56" s="164"/>
      <c r="BH56" s="164"/>
      <c r="BI56" s="152"/>
      <c r="BJ56" s="152"/>
      <c r="BK56" s="152"/>
      <c r="BL56" s="152"/>
      <c r="BM56" s="152"/>
      <c r="BN56" s="152"/>
      <c r="BO56" s="152"/>
      <c r="BP56" s="152"/>
      <c r="BQ56" s="152"/>
      <c r="BR56" s="152"/>
      <c r="BU56" s="153"/>
      <c r="BV56" s="153"/>
    </row>
    <row r="57" spans="1:80" ht="18.649999999999999" customHeight="1">
      <c r="A57" s="148"/>
      <c r="B57" s="249"/>
      <c r="C57" s="172"/>
      <c r="D57" s="172"/>
      <c r="E57" s="172"/>
      <c r="F57" s="172"/>
      <c r="G57" s="172"/>
      <c r="H57" s="172"/>
      <c r="I57" s="594"/>
      <c r="J57" s="594"/>
      <c r="K57" s="594"/>
      <c r="L57" s="594"/>
      <c r="M57" s="594"/>
      <c r="N57" s="594"/>
      <c r="O57" s="594"/>
      <c r="P57" s="594"/>
      <c r="Q57" s="594"/>
      <c r="R57" s="594"/>
      <c r="S57" s="594"/>
      <c r="T57" s="594"/>
      <c r="U57" s="594"/>
      <c r="V57" s="594"/>
      <c r="W57" s="594"/>
      <c r="X57" s="594"/>
      <c r="Y57" s="177"/>
      <c r="Z57" s="177"/>
      <c r="AA57" s="177"/>
      <c r="AB57" s="177"/>
      <c r="AC57" s="177"/>
      <c r="AD57" s="177"/>
      <c r="AE57" s="594"/>
      <c r="AF57" s="594"/>
      <c r="AG57" s="594"/>
      <c r="AH57" s="594"/>
      <c r="AI57" s="594"/>
      <c r="AJ57" s="594"/>
      <c r="AK57" s="594"/>
      <c r="AL57" s="594"/>
      <c r="AM57" s="594"/>
      <c r="AN57" s="594"/>
      <c r="AO57" s="594"/>
      <c r="AP57" s="594"/>
      <c r="AQ57" s="594"/>
      <c r="AR57" s="594"/>
      <c r="AS57" s="594"/>
      <c r="AT57" s="594"/>
      <c r="AU57" s="160"/>
      <c r="AV57" s="151"/>
      <c r="AW57" s="151"/>
      <c r="AX57" s="151"/>
      <c r="AY57" s="151"/>
      <c r="AZ57" s="151"/>
      <c r="BA57" s="151"/>
      <c r="BB57" s="151"/>
      <c r="BC57" s="151"/>
      <c r="BD57" s="151"/>
      <c r="BE57" s="176"/>
      <c r="BF57" s="164"/>
      <c r="BG57" s="164"/>
      <c r="BH57" s="164"/>
      <c r="BI57" s="152"/>
      <c r="BJ57" s="152"/>
      <c r="BK57" s="152"/>
      <c r="BL57" s="152"/>
      <c r="BM57" s="152"/>
      <c r="BN57" s="152"/>
      <c r="BO57" s="152"/>
      <c r="BP57" s="152"/>
      <c r="BQ57" s="152"/>
      <c r="BR57" s="152"/>
      <c r="BU57" s="153"/>
      <c r="BV57" s="153"/>
    </row>
    <row r="58" spans="1:80" ht="18.649999999999999" customHeight="1">
      <c r="A58" s="148"/>
      <c r="B58" s="249"/>
      <c r="C58" s="148"/>
      <c r="D58" s="148"/>
      <c r="E58" s="148"/>
      <c r="F58" s="148"/>
      <c r="G58" s="148"/>
      <c r="H58" s="148"/>
      <c r="I58" s="148"/>
      <c r="J58" s="148"/>
      <c r="K58" s="148"/>
      <c r="L58" s="148"/>
      <c r="M58" s="1474" t="s">
        <v>932</v>
      </c>
      <c r="N58" s="1474"/>
      <c r="O58" s="1474"/>
      <c r="P58" s="1474"/>
      <c r="Q58" s="1474"/>
      <c r="R58" s="1474"/>
      <c r="S58" s="1474"/>
      <c r="T58" s="1474"/>
      <c r="U58" s="1474"/>
      <c r="V58" s="1474"/>
      <c r="W58" s="1474"/>
      <c r="X58" s="1474"/>
      <c r="Y58" s="1474"/>
      <c r="Z58" s="1474"/>
      <c r="AA58" s="1474"/>
      <c r="AB58" s="1474"/>
      <c r="AC58" s="1474"/>
      <c r="AD58" s="1474"/>
      <c r="AE58" s="1474"/>
      <c r="AF58" s="1474"/>
      <c r="AG58" s="1474"/>
      <c r="AH58" s="1474"/>
      <c r="AI58" s="1474"/>
      <c r="AJ58" s="1474"/>
      <c r="AK58" s="1474"/>
      <c r="AL58" s="1474"/>
      <c r="AM58" s="1474"/>
      <c r="AN58" s="1474"/>
      <c r="AO58" s="1474"/>
      <c r="AP58" s="1474"/>
      <c r="AQ58" s="1474"/>
      <c r="AR58" s="1474"/>
      <c r="AS58" s="1474"/>
      <c r="AT58" s="1474"/>
      <c r="AU58" s="160"/>
      <c r="AV58" s="151"/>
      <c r="AW58" s="151"/>
      <c r="AX58" s="151"/>
      <c r="AY58" s="151"/>
      <c r="AZ58" s="151"/>
      <c r="BA58" s="151"/>
      <c r="BB58" s="151"/>
      <c r="BC58" s="151"/>
      <c r="BD58" s="151"/>
      <c r="BE58" s="176"/>
      <c r="BF58" s="175"/>
      <c r="BG58" s="175"/>
      <c r="BH58" s="175"/>
      <c r="BI58" s="152"/>
      <c r="BJ58" s="152"/>
      <c r="BK58" s="152"/>
      <c r="BL58" s="152"/>
      <c r="BM58" s="152"/>
      <c r="BN58" s="152"/>
      <c r="BO58" s="152"/>
      <c r="BP58" s="152"/>
      <c r="BQ58" s="152"/>
      <c r="BR58" s="152"/>
      <c r="BU58" s="153"/>
      <c r="BV58" s="153"/>
    </row>
    <row r="59" spans="1:80" ht="18.649999999999999" customHeight="1" thickBot="1">
      <c r="A59" s="148"/>
      <c r="B59" s="249"/>
      <c r="C59" s="148"/>
      <c r="D59" s="148"/>
      <c r="E59" s="148"/>
      <c r="F59" s="148"/>
      <c r="G59" s="148"/>
      <c r="H59" s="148"/>
      <c r="I59" s="148"/>
      <c r="J59" s="148"/>
      <c r="K59" s="148"/>
      <c r="L59" s="148"/>
      <c r="M59" s="1475"/>
      <c r="N59" s="1475"/>
      <c r="O59" s="1475"/>
      <c r="P59" s="1475"/>
      <c r="Q59" s="1475"/>
      <c r="R59" s="1475"/>
      <c r="S59" s="1475"/>
      <c r="T59" s="1475"/>
      <c r="U59" s="1475"/>
      <c r="V59" s="1475"/>
      <c r="W59" s="1475"/>
      <c r="X59" s="1475"/>
      <c r="Y59" s="1475"/>
      <c r="Z59" s="1475"/>
      <c r="AA59" s="1475"/>
      <c r="AB59" s="1475"/>
      <c r="AC59" s="1475"/>
      <c r="AD59" s="1475"/>
      <c r="AE59" s="1475"/>
      <c r="AF59" s="1475"/>
      <c r="AG59" s="1475"/>
      <c r="AH59" s="1475"/>
      <c r="AI59" s="1475"/>
      <c r="AJ59" s="1475"/>
      <c r="AK59" s="1475"/>
      <c r="AL59" s="1475"/>
      <c r="AM59" s="1475"/>
      <c r="AN59" s="1475"/>
      <c r="AO59" s="1475"/>
      <c r="AP59" s="1475"/>
      <c r="AQ59" s="1475"/>
      <c r="AR59" s="1475"/>
      <c r="AS59" s="1475"/>
      <c r="AT59" s="1475"/>
      <c r="AU59" s="160"/>
      <c r="AV59" s="151"/>
      <c r="AW59" s="151"/>
      <c r="AX59" s="151"/>
      <c r="AY59" s="151"/>
      <c r="BA59" s="151"/>
      <c r="BB59" s="151"/>
      <c r="BC59" s="151"/>
      <c r="BD59" s="151"/>
      <c r="BE59" s="151"/>
      <c r="BF59" s="175"/>
      <c r="BG59" s="175"/>
      <c r="BH59" s="175"/>
      <c r="BI59" s="152"/>
      <c r="BJ59" s="152"/>
      <c r="BK59" s="152"/>
      <c r="BL59" s="152"/>
      <c r="BM59" s="152"/>
      <c r="BN59" s="152"/>
      <c r="BO59" s="152"/>
      <c r="BP59" s="152"/>
      <c r="BQ59" s="152"/>
      <c r="BR59" s="152"/>
      <c r="BU59" s="153"/>
      <c r="BV59" s="153"/>
    </row>
    <row r="60" spans="1:80" ht="18" customHeight="1">
      <c r="A60" s="148"/>
      <c r="B60" s="249">
        <f>IF(OR(I60="",AV60="NG",I61="",I64="",AV64="NG",AV66="NG",AV67="NG",AV68="NG",AV71="NG",AV74="NG",I76="",O76="",T76="",I79="",L79="",O79="",R79="",I81="",AV83="NG",AI85="",AM85="",AQ85="",I85="",I87="",AW87="NG",AV87="NG",I89="",Z89="",AG89="",AP89="",AW92="NG",AY93="NG",AV98="NG",AV100="NG",AW98="NG"),1,0)</f>
        <v>1</v>
      </c>
      <c r="C60" s="1841" t="s">
        <v>2026</v>
      </c>
      <c r="D60" s="1842"/>
      <c r="E60" s="1842"/>
      <c r="F60" s="1842"/>
      <c r="G60" s="1842"/>
      <c r="H60" s="1843"/>
      <c r="I60" s="2949"/>
      <c r="J60" s="2950"/>
      <c r="K60" s="2950"/>
      <c r="L60" s="2950"/>
      <c r="M60" s="2950"/>
      <c r="N60" s="2950"/>
      <c r="O60" s="2950"/>
      <c r="P60" s="2950"/>
      <c r="Q60" s="2950"/>
      <c r="R60" s="2950"/>
      <c r="S60" s="2950"/>
      <c r="T60" s="2950"/>
      <c r="U60" s="2950"/>
      <c r="V60" s="2950"/>
      <c r="W60" s="2950"/>
      <c r="X60" s="2950"/>
      <c r="Y60" s="2950"/>
      <c r="Z60" s="2950"/>
      <c r="AA60" s="2950"/>
      <c r="AB60" s="2950"/>
      <c r="AC60" s="2950"/>
      <c r="AD60" s="2950"/>
      <c r="AE60" s="2950"/>
      <c r="AF60" s="2950"/>
      <c r="AG60" s="2950"/>
      <c r="AH60" s="2950"/>
      <c r="AI60" s="2950"/>
      <c r="AJ60" s="2950"/>
      <c r="AK60" s="2950"/>
      <c r="AL60" s="2950"/>
      <c r="AM60" s="2950"/>
      <c r="AN60" s="2950"/>
      <c r="AO60" s="2950"/>
      <c r="AP60" s="2950"/>
      <c r="AQ60" s="2950"/>
      <c r="AR60" s="2950"/>
      <c r="AS60" s="2950"/>
      <c r="AT60" s="2951"/>
      <c r="AU60" s="160"/>
      <c r="AV60" s="627" t="str">
        <f>IF(ISERROR(FIND({"１","２","３","４","５","６","７","８","９","０","1","2","3","4","5","6","7","8","9","0","-","―","－","-","・","！","!","@","&amp;","."},I60)),"OK","NG")</f>
        <v>OK</v>
      </c>
      <c r="AW60" s="151"/>
      <c r="AX60" s="151"/>
      <c r="AY60" s="151"/>
      <c r="AZ60" s="151"/>
      <c r="BA60" s="151"/>
      <c r="BB60" s="176"/>
      <c r="BC60" s="176"/>
      <c r="BD60" s="176"/>
      <c r="BE60" s="151"/>
      <c r="BF60" s="152"/>
      <c r="BG60" s="152"/>
      <c r="BH60" s="152"/>
      <c r="BI60" s="152"/>
      <c r="BJ60" s="152"/>
      <c r="BK60" s="152"/>
      <c r="BL60" s="152"/>
      <c r="BM60" s="152"/>
      <c r="BN60" s="152"/>
      <c r="BO60" s="152"/>
      <c r="BP60" s="152"/>
      <c r="BQ60" s="152"/>
      <c r="BR60" s="152"/>
      <c r="BU60" s="153"/>
      <c r="BV60" s="153"/>
    </row>
    <row r="61" spans="1:80" ht="18" customHeight="1">
      <c r="A61" s="148"/>
      <c r="B61" s="249"/>
      <c r="C61" s="1424" t="s">
        <v>2030</v>
      </c>
      <c r="D61" s="1425"/>
      <c r="E61" s="1425"/>
      <c r="F61" s="1425"/>
      <c r="G61" s="1425"/>
      <c r="H61" s="1426"/>
      <c r="I61" s="2921"/>
      <c r="J61" s="2922"/>
      <c r="K61" s="2922"/>
      <c r="L61" s="2922"/>
      <c r="M61" s="2922"/>
      <c r="N61" s="2922"/>
      <c r="O61" s="2922"/>
      <c r="P61" s="2922"/>
      <c r="Q61" s="2922"/>
      <c r="R61" s="2922"/>
      <c r="S61" s="2922"/>
      <c r="T61" s="2922"/>
      <c r="U61" s="2922"/>
      <c r="V61" s="2922"/>
      <c r="W61" s="2922"/>
      <c r="X61" s="2922"/>
      <c r="Y61" s="2922"/>
      <c r="Z61" s="2922"/>
      <c r="AA61" s="2922"/>
      <c r="AB61" s="2922"/>
      <c r="AC61" s="2922"/>
      <c r="AD61" s="2922"/>
      <c r="AE61" s="2922"/>
      <c r="AF61" s="2922"/>
      <c r="AG61" s="2922"/>
      <c r="AH61" s="2922"/>
      <c r="AI61" s="2922"/>
      <c r="AJ61" s="2922"/>
      <c r="AK61" s="2922"/>
      <c r="AL61" s="2922"/>
      <c r="AM61" s="2922"/>
      <c r="AN61" s="2922"/>
      <c r="AO61" s="2922"/>
      <c r="AP61" s="2922"/>
      <c r="AQ61" s="2922"/>
      <c r="AR61" s="2922"/>
      <c r="AS61" s="2922"/>
      <c r="AT61" s="2923"/>
      <c r="AU61" s="160"/>
      <c r="AV61" s="627"/>
      <c r="AW61" s="151"/>
      <c r="AX61" s="151"/>
      <c r="AY61" s="151"/>
      <c r="AZ61" s="151"/>
      <c r="BA61" s="151"/>
      <c r="BB61" s="176"/>
      <c r="BC61" s="176"/>
      <c r="BD61" s="176"/>
      <c r="BE61" s="151"/>
      <c r="BF61" s="152"/>
      <c r="BG61" s="152"/>
      <c r="BH61" s="152"/>
      <c r="BI61" s="152"/>
      <c r="BJ61" s="152"/>
      <c r="BK61" s="152"/>
      <c r="BL61" s="152"/>
      <c r="BM61" s="152"/>
      <c r="BN61" s="152"/>
      <c r="BO61" s="152"/>
      <c r="BP61" s="152"/>
      <c r="BQ61" s="152"/>
      <c r="BR61" s="152"/>
      <c r="BU61" s="153"/>
      <c r="BV61" s="153"/>
    </row>
    <row r="62" spans="1:80" ht="18" customHeight="1">
      <c r="A62" s="148"/>
      <c r="B62" s="249"/>
      <c r="C62" s="1409"/>
      <c r="D62" s="1410"/>
      <c r="E62" s="1410"/>
      <c r="F62" s="1410"/>
      <c r="G62" s="1410"/>
      <c r="H62" s="1411"/>
      <c r="I62" s="2924"/>
      <c r="J62" s="2925"/>
      <c r="K62" s="2925"/>
      <c r="L62" s="2925"/>
      <c r="M62" s="2925"/>
      <c r="N62" s="2925"/>
      <c r="O62" s="2925"/>
      <c r="P62" s="2925"/>
      <c r="Q62" s="2925"/>
      <c r="R62" s="2925"/>
      <c r="S62" s="2925"/>
      <c r="T62" s="2925"/>
      <c r="U62" s="2925"/>
      <c r="V62" s="2925"/>
      <c r="W62" s="2925"/>
      <c r="X62" s="2925"/>
      <c r="Y62" s="2925"/>
      <c r="Z62" s="2925"/>
      <c r="AA62" s="2925"/>
      <c r="AB62" s="2925"/>
      <c r="AC62" s="2925"/>
      <c r="AD62" s="2925"/>
      <c r="AE62" s="2925"/>
      <c r="AF62" s="2925"/>
      <c r="AG62" s="2925"/>
      <c r="AH62" s="2925"/>
      <c r="AI62" s="2925"/>
      <c r="AJ62" s="2925"/>
      <c r="AK62" s="2925"/>
      <c r="AL62" s="2925"/>
      <c r="AM62" s="2925"/>
      <c r="AN62" s="2925"/>
      <c r="AO62" s="2925"/>
      <c r="AP62" s="2925"/>
      <c r="AQ62" s="2925"/>
      <c r="AR62" s="2925"/>
      <c r="AS62" s="2925"/>
      <c r="AT62" s="2926"/>
      <c r="AU62" s="160"/>
      <c r="AV62" s="627"/>
      <c r="AZ62" s="151"/>
      <c r="BA62" s="176"/>
      <c r="BB62" s="151"/>
      <c r="BC62" s="151"/>
      <c r="BD62" s="151"/>
      <c r="BE62" s="151"/>
      <c r="BF62" s="164"/>
      <c r="BG62" s="164"/>
      <c r="BH62" s="164"/>
      <c r="BI62" s="152"/>
      <c r="BJ62" s="152"/>
      <c r="BK62" s="152"/>
      <c r="BL62" s="152"/>
      <c r="BM62" s="152"/>
      <c r="BN62" s="152"/>
      <c r="BO62" s="152"/>
      <c r="BP62" s="152"/>
      <c r="BQ62" s="152"/>
      <c r="BR62" s="152"/>
      <c r="BU62" s="153"/>
      <c r="BV62" s="153"/>
    </row>
    <row r="63" spans="1:80" ht="18" customHeight="1">
      <c r="A63" s="148"/>
      <c r="B63" s="249"/>
      <c r="C63" s="1409"/>
      <c r="D63" s="1410"/>
      <c r="E63" s="1410"/>
      <c r="F63" s="1410"/>
      <c r="G63" s="1410"/>
      <c r="H63" s="1411"/>
      <c r="I63" s="1844" t="s">
        <v>2031</v>
      </c>
      <c r="J63" s="1706"/>
      <c r="K63" s="1706"/>
      <c r="L63" s="1706"/>
      <c r="M63" s="1706"/>
      <c r="N63" s="1706"/>
      <c r="O63" s="1706"/>
      <c r="P63" s="1706"/>
      <c r="Q63" s="1706"/>
      <c r="R63" s="1706"/>
      <c r="S63" s="1706"/>
      <c r="T63" s="1706"/>
      <c r="U63" s="1706"/>
      <c r="V63" s="1706"/>
      <c r="W63" s="1706"/>
      <c r="X63" s="1706"/>
      <c r="Y63" s="1706"/>
      <c r="Z63" s="1706"/>
      <c r="AA63" s="1845"/>
      <c r="AB63" s="1846" t="s">
        <v>3819</v>
      </c>
      <c r="AC63" s="1846"/>
      <c r="AD63" s="1846"/>
      <c r="AE63" s="1846"/>
      <c r="AF63" s="1846"/>
      <c r="AG63" s="1846"/>
      <c r="AH63" s="1846"/>
      <c r="AI63" s="1846"/>
      <c r="AJ63" s="1846"/>
      <c r="AK63" s="1846"/>
      <c r="AL63" s="1846"/>
      <c r="AM63" s="1846"/>
      <c r="AN63" s="1846"/>
      <c r="AO63" s="1846"/>
      <c r="AP63" s="1846"/>
      <c r="AQ63" s="1846"/>
      <c r="AR63" s="1846"/>
      <c r="AS63" s="1846"/>
      <c r="AT63" s="1847"/>
      <c r="AU63" s="160"/>
      <c r="AV63" s="627"/>
      <c r="AZ63" s="151"/>
      <c r="BA63" s="176"/>
      <c r="BB63" s="151"/>
      <c r="BC63" s="151"/>
      <c r="BD63" s="151"/>
      <c r="BE63" s="151"/>
      <c r="BF63" s="164"/>
      <c r="BG63" s="164"/>
      <c r="BH63" s="164"/>
      <c r="BI63" s="152"/>
      <c r="BJ63" s="152"/>
      <c r="BK63" s="152"/>
      <c r="BL63" s="152"/>
      <c r="BM63" s="152"/>
      <c r="BN63" s="152"/>
      <c r="BO63" s="152"/>
      <c r="BP63" s="152"/>
      <c r="BQ63" s="152"/>
      <c r="BR63" s="152"/>
      <c r="BU63" s="153"/>
      <c r="BV63" s="153"/>
    </row>
    <row r="64" spans="1:80" ht="18" customHeight="1">
      <c r="A64" s="148"/>
      <c r="B64" s="249"/>
      <c r="C64" s="1409"/>
      <c r="D64" s="1410"/>
      <c r="E64" s="1410"/>
      <c r="F64" s="1410"/>
      <c r="G64" s="1410"/>
      <c r="H64" s="1411"/>
      <c r="I64" s="2975"/>
      <c r="J64" s="2976"/>
      <c r="K64" s="2976"/>
      <c r="L64" s="2976"/>
      <c r="M64" s="2976"/>
      <c r="N64" s="2976"/>
      <c r="O64" s="2976"/>
      <c r="P64" s="2976"/>
      <c r="Q64" s="2976"/>
      <c r="R64" s="2976"/>
      <c r="S64" s="2976"/>
      <c r="T64" s="2976"/>
      <c r="U64" s="2976"/>
      <c r="V64" s="2976"/>
      <c r="W64" s="2976"/>
      <c r="X64" s="2976"/>
      <c r="Y64" s="2976"/>
      <c r="Z64" s="2976"/>
      <c r="AA64" s="2977"/>
      <c r="AB64" s="2981"/>
      <c r="AC64" s="2982"/>
      <c r="AD64" s="2982"/>
      <c r="AE64" s="2982"/>
      <c r="AF64" s="2982"/>
      <c r="AG64" s="2982"/>
      <c r="AH64" s="2982"/>
      <c r="AI64" s="2982"/>
      <c r="AJ64" s="2982"/>
      <c r="AK64" s="2982"/>
      <c r="AL64" s="2982"/>
      <c r="AM64" s="2982"/>
      <c r="AN64" s="2982"/>
      <c r="AO64" s="2982"/>
      <c r="AP64" s="2982"/>
      <c r="AQ64" s="2982"/>
      <c r="AR64" s="2982"/>
      <c r="AS64" s="2982"/>
      <c r="AT64" s="2983"/>
      <c r="AU64" s="160"/>
      <c r="AV64" s="627" t="str">
        <f>IF(AV2=FALSE,"OK",IF(AND(AV2=TRUE,AB64&lt;&gt;""),"OK","NG"))</f>
        <v>OK</v>
      </c>
      <c r="AZ64" s="151"/>
      <c r="BA64" s="176"/>
      <c r="BB64" s="151"/>
      <c r="BC64" s="151"/>
      <c r="BD64" s="151"/>
      <c r="BE64" s="151"/>
      <c r="BF64" s="164"/>
      <c r="BG64" s="164"/>
      <c r="BH64" s="164"/>
      <c r="BI64" s="152"/>
      <c r="BJ64" s="152"/>
      <c r="BK64" s="152"/>
      <c r="BL64" s="152"/>
      <c r="BM64" s="152"/>
      <c r="BN64" s="152"/>
      <c r="BO64" s="152"/>
      <c r="BP64" s="152"/>
      <c r="BQ64" s="152"/>
      <c r="BR64" s="152"/>
      <c r="BU64" s="153"/>
      <c r="BV64" s="153"/>
    </row>
    <row r="65" spans="1:80" ht="18" customHeight="1">
      <c r="A65" s="148"/>
      <c r="B65" s="249"/>
      <c r="C65" s="1427"/>
      <c r="D65" s="1428"/>
      <c r="E65" s="1428"/>
      <c r="F65" s="1428"/>
      <c r="G65" s="1428"/>
      <c r="H65" s="1429"/>
      <c r="I65" s="2978"/>
      <c r="J65" s="2979"/>
      <c r="K65" s="2979"/>
      <c r="L65" s="2979"/>
      <c r="M65" s="2979"/>
      <c r="N65" s="2979"/>
      <c r="O65" s="2979"/>
      <c r="P65" s="2979"/>
      <c r="Q65" s="2979"/>
      <c r="R65" s="2979"/>
      <c r="S65" s="2979"/>
      <c r="T65" s="2979"/>
      <c r="U65" s="2979"/>
      <c r="V65" s="2979"/>
      <c r="W65" s="2979"/>
      <c r="X65" s="2979"/>
      <c r="Y65" s="2979"/>
      <c r="Z65" s="2979"/>
      <c r="AA65" s="2980"/>
      <c r="AB65" s="2981"/>
      <c r="AC65" s="2982"/>
      <c r="AD65" s="2982"/>
      <c r="AE65" s="2982"/>
      <c r="AF65" s="2982"/>
      <c r="AG65" s="2982"/>
      <c r="AH65" s="2982"/>
      <c r="AI65" s="2982"/>
      <c r="AJ65" s="2982"/>
      <c r="AK65" s="2982"/>
      <c r="AL65" s="2982"/>
      <c r="AM65" s="2982"/>
      <c r="AN65" s="2982"/>
      <c r="AO65" s="2982"/>
      <c r="AP65" s="2982"/>
      <c r="AQ65" s="2982"/>
      <c r="AR65" s="2982"/>
      <c r="AS65" s="2982"/>
      <c r="AT65" s="2983"/>
      <c r="AU65" s="160"/>
      <c r="AV65" s="627"/>
      <c r="AX65" s="151"/>
      <c r="AY65" s="151"/>
      <c r="BA65" s="151"/>
      <c r="BB65" s="151"/>
      <c r="BC65" s="151"/>
      <c r="BD65" s="151"/>
      <c r="BF65" s="164"/>
      <c r="BG65" s="164"/>
      <c r="BH65" s="164"/>
      <c r="BI65" s="152"/>
      <c r="BJ65" s="152"/>
      <c r="BK65" s="152"/>
      <c r="BL65" s="152"/>
      <c r="BM65" s="152"/>
      <c r="BN65" s="152"/>
      <c r="BO65" s="152"/>
      <c r="BP65" s="152"/>
      <c r="BQ65" s="152"/>
      <c r="BR65" s="152"/>
      <c r="BU65" s="153"/>
      <c r="BV65" s="153"/>
    </row>
    <row r="66" spans="1:80" ht="18" customHeight="1">
      <c r="A66" s="778"/>
      <c r="B66" s="249"/>
      <c r="C66" s="1449" t="s">
        <v>2099</v>
      </c>
      <c r="D66" s="1450"/>
      <c r="E66" s="1450"/>
      <c r="F66" s="1450"/>
      <c r="G66" s="1450"/>
      <c r="H66" s="1451"/>
      <c r="I66" s="2972"/>
      <c r="J66" s="2973"/>
      <c r="K66" s="2973"/>
      <c r="L66" s="2973"/>
      <c r="M66" s="2973"/>
      <c r="N66" s="2973"/>
      <c r="O66" s="2973"/>
      <c r="P66" s="2973"/>
      <c r="Q66" s="2973"/>
      <c r="R66" s="2973"/>
      <c r="S66" s="2973"/>
      <c r="T66" s="2973"/>
      <c r="U66" s="2973"/>
      <c r="V66" s="2973"/>
      <c r="W66" s="2973"/>
      <c r="X66" s="2973"/>
      <c r="Y66" s="2973"/>
      <c r="Z66" s="2973"/>
      <c r="AA66" s="2974"/>
      <c r="AB66" s="1706" t="s">
        <v>4089</v>
      </c>
      <c r="AC66" s="1706"/>
      <c r="AD66" s="1706"/>
      <c r="AE66" s="1706"/>
      <c r="AF66" s="1706"/>
      <c r="AG66" s="1706"/>
      <c r="AH66" s="1706"/>
      <c r="AI66" s="1706"/>
      <c r="AJ66" s="1706"/>
      <c r="AK66" s="1706"/>
      <c r="AL66" s="1706"/>
      <c r="AM66" s="1706"/>
      <c r="AN66" s="1706"/>
      <c r="AO66" s="1706"/>
      <c r="AP66" s="1706"/>
      <c r="AQ66" s="1706"/>
      <c r="AR66" s="1706"/>
      <c r="AS66" s="1706"/>
      <c r="AT66" s="1707"/>
      <c r="AU66" s="160"/>
      <c r="AV66" s="627" t="str">
        <f>IF(AV5=FALSE,"OK",IF(AND(AV5=TRUE,I66&lt;&gt;""),"OK","NG"))</f>
        <v>OK</v>
      </c>
      <c r="AW66" s="176"/>
      <c r="AX66" s="176"/>
      <c r="AY66" s="176"/>
      <c r="AZ66" s="151"/>
      <c r="BA66" s="151"/>
      <c r="BB66" s="151"/>
      <c r="BC66" s="151"/>
      <c r="BD66" s="151"/>
      <c r="BI66" s="152"/>
      <c r="BJ66" s="152"/>
      <c r="BK66" s="152"/>
      <c r="BL66" s="152"/>
      <c r="BM66" s="152"/>
      <c r="BN66" s="152"/>
      <c r="BO66" s="152"/>
      <c r="BP66" s="152"/>
      <c r="BQ66" s="152"/>
      <c r="BR66" s="152"/>
      <c r="BU66" s="153"/>
      <c r="BV66" s="153"/>
    </row>
    <row r="67" spans="1:80" ht="18" customHeight="1">
      <c r="A67" s="778"/>
      <c r="B67" s="249"/>
      <c r="C67" s="1409" t="s">
        <v>3565</v>
      </c>
      <c r="D67" s="1410"/>
      <c r="E67" s="1410"/>
      <c r="F67" s="1410"/>
      <c r="G67" s="1410"/>
      <c r="H67" s="1411"/>
      <c r="I67" s="2952"/>
      <c r="J67" s="2953"/>
      <c r="K67" s="2953"/>
      <c r="L67" s="2953"/>
      <c r="M67" s="2953"/>
      <c r="N67" s="2953"/>
      <c r="O67" s="2953"/>
      <c r="P67" s="2953"/>
      <c r="Q67" s="2953"/>
      <c r="R67" s="2953"/>
      <c r="S67" s="2953"/>
      <c r="T67" s="2953"/>
      <c r="U67" s="2953"/>
      <c r="V67" s="2953"/>
      <c r="W67" s="2953"/>
      <c r="X67" s="2953"/>
      <c r="Y67" s="2953"/>
      <c r="Z67" s="2953"/>
      <c r="AA67" s="2984"/>
      <c r="AB67" s="2952"/>
      <c r="AC67" s="2953"/>
      <c r="AD67" s="2953"/>
      <c r="AE67" s="2953"/>
      <c r="AF67" s="2953"/>
      <c r="AG67" s="2953"/>
      <c r="AH67" s="2953"/>
      <c r="AI67" s="2953"/>
      <c r="AJ67" s="2953"/>
      <c r="AK67" s="2953"/>
      <c r="AL67" s="2953"/>
      <c r="AM67" s="2953"/>
      <c r="AN67" s="2953"/>
      <c r="AO67" s="2953"/>
      <c r="AP67" s="2953"/>
      <c r="AQ67" s="2953"/>
      <c r="AR67" s="2953"/>
      <c r="AS67" s="2953"/>
      <c r="AT67" s="2954"/>
      <c r="AU67" s="160"/>
      <c r="AV67" s="627" t="str">
        <f>IF(AND(AV2=FALSE,AV3=FALSE,AV6=FALSE),"OK",IF(AND(OR(AV2=TRUE,AV3=TRUE,AV6=TRUE),AB67&lt;&gt;""),"OK","NG"))</f>
        <v>OK</v>
      </c>
      <c r="AW67" s="151"/>
      <c r="AX67" s="176"/>
      <c r="AY67" s="176"/>
      <c r="AZ67" s="151"/>
      <c r="BA67" s="151"/>
      <c r="BB67" s="151"/>
      <c r="BC67" s="151"/>
      <c r="BD67" s="151"/>
      <c r="BI67" s="152"/>
      <c r="BJ67" s="152"/>
      <c r="BK67" s="152"/>
      <c r="BL67" s="152"/>
      <c r="BM67" s="152"/>
      <c r="BN67" s="152"/>
      <c r="BO67" s="152"/>
      <c r="BP67" s="152"/>
      <c r="BQ67" s="152"/>
      <c r="BR67" s="152"/>
      <c r="BU67" s="153"/>
      <c r="BV67" s="153"/>
    </row>
    <row r="68" spans="1:80" ht="18" customHeight="1">
      <c r="A68" s="778"/>
      <c r="B68" s="249"/>
      <c r="C68" s="1427"/>
      <c r="D68" s="1428"/>
      <c r="E68" s="1428"/>
      <c r="F68" s="1428"/>
      <c r="G68" s="1428"/>
      <c r="H68" s="1429"/>
      <c r="I68" s="2924"/>
      <c r="J68" s="2925"/>
      <c r="K68" s="2925"/>
      <c r="L68" s="2925"/>
      <c r="M68" s="2925"/>
      <c r="N68" s="2925"/>
      <c r="O68" s="2925"/>
      <c r="P68" s="2925"/>
      <c r="Q68" s="2925"/>
      <c r="R68" s="2925"/>
      <c r="S68" s="2925"/>
      <c r="T68" s="2925"/>
      <c r="U68" s="2925"/>
      <c r="V68" s="2925"/>
      <c r="W68" s="2925"/>
      <c r="X68" s="2925"/>
      <c r="Y68" s="2925"/>
      <c r="Z68" s="2925"/>
      <c r="AA68" s="2985"/>
      <c r="AB68" s="2924"/>
      <c r="AC68" s="2925"/>
      <c r="AD68" s="2925"/>
      <c r="AE68" s="2925"/>
      <c r="AF68" s="2925"/>
      <c r="AG68" s="2925"/>
      <c r="AH68" s="2925"/>
      <c r="AI68" s="2925"/>
      <c r="AJ68" s="2925"/>
      <c r="AK68" s="2925"/>
      <c r="AL68" s="2925"/>
      <c r="AM68" s="2925"/>
      <c r="AN68" s="2925"/>
      <c r="AO68" s="2925"/>
      <c r="AP68" s="2925"/>
      <c r="AQ68" s="2925"/>
      <c r="AR68" s="2925"/>
      <c r="AS68" s="2925"/>
      <c r="AT68" s="2926"/>
      <c r="AU68" s="160"/>
      <c r="AV68" s="166" t="str">
        <f>IF(AV5=FALSE,"OK",IF(AND(AV5=TRUE,I67&lt;&gt;""),"OK","NG"))</f>
        <v>OK</v>
      </c>
      <c r="AW68" s="151"/>
      <c r="AX68" s="151"/>
      <c r="AY68" s="151"/>
      <c r="BA68" s="151"/>
      <c r="BI68" s="152"/>
      <c r="BJ68" s="152"/>
      <c r="BK68" s="152"/>
      <c r="BL68" s="152"/>
      <c r="BM68" s="152"/>
      <c r="BN68" s="152"/>
      <c r="BO68" s="152"/>
      <c r="BP68" s="152"/>
      <c r="BQ68" s="152"/>
      <c r="BR68" s="152"/>
      <c r="BU68" s="153"/>
      <c r="BV68" s="153"/>
    </row>
    <row r="69" spans="1:80" ht="18" customHeight="1">
      <c r="A69" s="148"/>
      <c r="B69" s="249"/>
      <c r="C69" s="1857" t="s">
        <v>860</v>
      </c>
      <c r="D69" s="1858"/>
      <c r="E69" s="1858"/>
      <c r="F69" s="1858"/>
      <c r="G69" s="1858"/>
      <c r="H69" s="1859"/>
      <c r="I69" s="900"/>
      <c r="J69" s="1699" t="s">
        <v>818</v>
      </c>
      <c r="K69" s="1699"/>
      <c r="L69" s="1699"/>
      <c r="M69" s="1699"/>
      <c r="N69" s="1699"/>
      <c r="O69" s="1699"/>
      <c r="P69" s="1699"/>
      <c r="Q69" s="1699"/>
      <c r="R69" s="1699"/>
      <c r="S69" s="1699"/>
      <c r="T69" s="1699"/>
      <c r="U69" s="1699"/>
      <c r="V69" s="1699"/>
      <c r="W69" s="1699"/>
      <c r="X69" s="1699"/>
      <c r="Y69" s="1699"/>
      <c r="Z69" s="1699"/>
      <c r="AA69" s="1699"/>
      <c r="AB69" s="1699"/>
      <c r="AC69" s="1699"/>
      <c r="AD69" s="1699"/>
      <c r="AE69" s="1699"/>
      <c r="AF69" s="1699"/>
      <c r="AG69" s="1699"/>
      <c r="AH69" s="1699"/>
      <c r="AI69" s="1699"/>
      <c r="AJ69" s="1699"/>
      <c r="AK69" s="1699"/>
      <c r="AL69" s="1699"/>
      <c r="AM69" s="1699"/>
      <c r="AN69" s="1699"/>
      <c r="AO69" s="1699"/>
      <c r="AP69" s="1699"/>
      <c r="AQ69" s="1699"/>
      <c r="AR69" s="1699"/>
      <c r="AS69" s="1699"/>
      <c r="AT69" s="1700"/>
      <c r="AU69" s="160"/>
      <c r="AV69" s="151" t="b">
        <v>0</v>
      </c>
      <c r="AW69" s="151"/>
      <c r="AX69" s="151"/>
      <c r="AY69" s="151"/>
      <c r="BA69" s="151"/>
      <c r="BI69" s="152"/>
      <c r="BJ69" s="152"/>
      <c r="BK69" s="152"/>
      <c r="BL69" s="152"/>
      <c r="BM69" s="152"/>
      <c r="BN69" s="152"/>
      <c r="BO69" s="152"/>
      <c r="BP69" s="152"/>
      <c r="BQ69" s="152"/>
      <c r="BR69" s="152"/>
      <c r="BU69" s="153"/>
      <c r="BV69" s="153"/>
    </row>
    <row r="70" spans="1:80" ht="18" customHeight="1">
      <c r="A70" s="148"/>
      <c r="B70" s="249"/>
      <c r="C70" s="192"/>
      <c r="D70" s="628"/>
      <c r="E70" s="1701" t="s">
        <v>2026</v>
      </c>
      <c r="F70" s="1450"/>
      <c r="G70" s="1450"/>
      <c r="H70" s="1451"/>
      <c r="I70" s="501"/>
      <c r="J70" s="1416" t="str">
        <f>VLOOKUP(I72,BO2:BP49,2,FALSE)</f>
        <v>（自動表示）</v>
      </c>
      <c r="K70" s="1416"/>
      <c r="L70" s="1416"/>
      <c r="M70" s="1702"/>
      <c r="N70" s="622" t="s">
        <v>2029</v>
      </c>
      <c r="O70" s="1677"/>
      <c r="P70" s="1677"/>
      <c r="Q70" s="1677"/>
      <c r="R70" s="1677"/>
      <c r="S70" s="1677"/>
      <c r="T70" s="1677"/>
      <c r="U70" s="1678"/>
      <c r="V70" s="622"/>
      <c r="W70" s="1677"/>
      <c r="X70" s="1677"/>
      <c r="Y70" s="1677"/>
      <c r="Z70" s="1677"/>
      <c r="AA70" s="1677"/>
      <c r="AB70" s="1677"/>
      <c r="AC70" s="1678"/>
      <c r="AD70" s="622"/>
      <c r="AE70" s="1677"/>
      <c r="AF70" s="1677"/>
      <c r="AG70" s="1677"/>
      <c r="AH70" s="1677"/>
      <c r="AI70" s="1677"/>
      <c r="AJ70" s="1677"/>
      <c r="AK70" s="1678"/>
      <c r="AL70" s="622"/>
      <c r="AM70" s="1679"/>
      <c r="AN70" s="1679"/>
      <c r="AO70" s="1679"/>
      <c r="AP70" s="1679"/>
      <c r="AQ70" s="1679"/>
      <c r="AR70" s="1679"/>
      <c r="AS70" s="1679"/>
      <c r="AT70" s="1680"/>
      <c r="AU70" s="160"/>
      <c r="AV70" s="627" t="str">
        <f>IF(ISERROR(FIND({"１","２","３","４","５","６","７","８","９","０","1","2","3","4","5","6","7","8","9","0","-","―","－","-","・","！","!","@","&amp;","."},O70&amp;W70&amp;AE70&amp;AM70)),"OK","NG")</f>
        <v>OK</v>
      </c>
      <c r="AW70" s="151"/>
      <c r="AX70" s="151"/>
      <c r="AY70" s="151"/>
      <c r="BA70" s="151"/>
      <c r="BI70" s="152"/>
      <c r="BJ70" s="152"/>
      <c r="BK70" s="152"/>
      <c r="BL70" s="152"/>
      <c r="BM70" s="152"/>
      <c r="BN70" s="152"/>
      <c r="BO70" s="152"/>
      <c r="BP70" s="152"/>
      <c r="BQ70" s="152"/>
      <c r="BR70" s="152"/>
      <c r="BU70" s="153"/>
      <c r="BV70" s="153"/>
    </row>
    <row r="71" spans="1:80" ht="18" customHeight="1">
      <c r="A71" s="148"/>
      <c r="B71" s="249"/>
      <c r="C71" s="192"/>
      <c r="D71" s="628"/>
      <c r="E71" s="1692" t="s">
        <v>819</v>
      </c>
      <c r="F71" s="1459"/>
      <c r="G71" s="1459"/>
      <c r="H71" s="1460"/>
      <c r="I71" s="623" t="s">
        <v>2027</v>
      </c>
      <c r="J71" s="1693"/>
      <c r="K71" s="1693"/>
      <c r="L71" s="624" t="s">
        <v>2028</v>
      </c>
      <c r="M71" s="1694"/>
      <c r="N71" s="1694"/>
      <c r="O71" s="624"/>
      <c r="P71" s="624"/>
      <c r="Q71" s="625"/>
      <c r="R71" s="625"/>
      <c r="S71" s="625"/>
      <c r="T71" s="625"/>
      <c r="U71" s="625"/>
      <c r="V71" s="625"/>
      <c r="W71" s="625"/>
      <c r="X71" s="625"/>
      <c r="Y71" s="625"/>
      <c r="Z71" s="625"/>
      <c r="AA71" s="625"/>
      <c r="AB71" s="625"/>
      <c r="AC71" s="625"/>
      <c r="AD71" s="625"/>
      <c r="AE71" s="625"/>
      <c r="AF71" s="625"/>
      <c r="AG71" s="625"/>
      <c r="AH71" s="625"/>
      <c r="AI71" s="625"/>
      <c r="AJ71" s="625"/>
      <c r="AK71" s="625"/>
      <c r="AL71" s="625"/>
      <c r="AM71" s="625"/>
      <c r="AN71" s="625"/>
      <c r="AO71" s="625"/>
      <c r="AP71" s="625"/>
      <c r="AQ71" s="625"/>
      <c r="AR71" s="625"/>
      <c r="AS71" s="625"/>
      <c r="AT71" s="626"/>
      <c r="AU71" s="160"/>
      <c r="AV71" s="627" t="str">
        <f>IF(AND(AV69=FALSE,OR(O70="",W70="",AE70="",J71="",M71="",I72="",N72="",V72="",AD72)),"NG","OK")</f>
        <v>NG</v>
      </c>
      <c r="AW71" s="151"/>
      <c r="AX71" s="151"/>
      <c r="AY71" s="151"/>
      <c r="BA71" s="151"/>
      <c r="BI71" s="152"/>
      <c r="BJ71" s="152"/>
      <c r="BK71" s="152"/>
      <c r="BL71" s="152"/>
      <c r="BM71" s="152"/>
      <c r="BN71" s="152"/>
      <c r="BO71" s="152"/>
      <c r="BP71" s="152"/>
      <c r="BQ71" s="152"/>
      <c r="BR71" s="152"/>
      <c r="BU71" s="153"/>
      <c r="BV71" s="153"/>
    </row>
    <row r="72" spans="1:80" ht="18" customHeight="1">
      <c r="A72" s="148"/>
      <c r="B72" s="249"/>
      <c r="C72" s="192"/>
      <c r="D72" s="628"/>
      <c r="E72" s="1534"/>
      <c r="F72" s="1483"/>
      <c r="G72" s="1483"/>
      <c r="H72" s="1484"/>
      <c r="I72" s="1695" t="s">
        <v>777</v>
      </c>
      <c r="J72" s="1696"/>
      <c r="K72" s="1696"/>
      <c r="L72" s="1696"/>
      <c r="M72" s="1696"/>
      <c r="N72" s="1671"/>
      <c r="O72" s="1671"/>
      <c r="P72" s="1671"/>
      <c r="Q72" s="1671"/>
      <c r="R72" s="1671"/>
      <c r="S72" s="1671"/>
      <c r="T72" s="1671"/>
      <c r="U72" s="1671"/>
      <c r="V72" s="1671"/>
      <c r="W72" s="1671"/>
      <c r="X72" s="1671"/>
      <c r="Y72" s="1671"/>
      <c r="Z72" s="1671"/>
      <c r="AA72" s="1671"/>
      <c r="AB72" s="1671"/>
      <c r="AC72" s="1671"/>
      <c r="AD72" s="1671"/>
      <c r="AE72" s="1671"/>
      <c r="AF72" s="1671"/>
      <c r="AG72" s="1671"/>
      <c r="AH72" s="1671"/>
      <c r="AI72" s="1671"/>
      <c r="AJ72" s="1671"/>
      <c r="AK72" s="1671"/>
      <c r="AL72" s="1671"/>
      <c r="AM72" s="1671"/>
      <c r="AN72" s="1671"/>
      <c r="AO72" s="1671"/>
      <c r="AP72" s="1671"/>
      <c r="AQ72" s="1671"/>
      <c r="AR72" s="1671"/>
      <c r="AS72" s="1671"/>
      <c r="AT72" s="2927"/>
      <c r="AU72" s="160"/>
      <c r="AV72" s="627" t="str">
        <f>LEFT(I72,2)</f>
        <v>00</v>
      </c>
      <c r="AW72" s="151" t="str">
        <f>MID(I72,4,LEN(I72)-3)</f>
        <v>選択して下さい</v>
      </c>
      <c r="AX72" s="151"/>
      <c r="AY72" s="151"/>
      <c r="BA72" s="151"/>
      <c r="BE72" s="151"/>
      <c r="BI72" s="152"/>
      <c r="BJ72" s="152"/>
      <c r="BK72" s="152"/>
      <c r="BL72" s="152"/>
      <c r="BM72" s="152"/>
      <c r="BN72" s="152"/>
      <c r="BO72" s="152"/>
      <c r="BP72" s="152"/>
      <c r="BQ72" s="152"/>
      <c r="BR72" s="152"/>
      <c r="BU72" s="153"/>
      <c r="BV72" s="153"/>
    </row>
    <row r="73" spans="1:80" ht="18" customHeight="1">
      <c r="A73" s="148"/>
      <c r="B73" s="249"/>
      <c r="C73" s="192"/>
      <c r="D73" s="628"/>
      <c r="E73" s="1535"/>
      <c r="F73" s="1462"/>
      <c r="G73" s="1462"/>
      <c r="H73" s="1463"/>
      <c r="I73" s="1697"/>
      <c r="J73" s="1698"/>
      <c r="K73" s="1698"/>
      <c r="L73" s="1698"/>
      <c r="M73" s="1698"/>
      <c r="N73" s="1672"/>
      <c r="O73" s="1672"/>
      <c r="P73" s="1672"/>
      <c r="Q73" s="1672"/>
      <c r="R73" s="1672"/>
      <c r="S73" s="1672"/>
      <c r="T73" s="1672"/>
      <c r="U73" s="1672"/>
      <c r="V73" s="1672"/>
      <c r="W73" s="1672"/>
      <c r="X73" s="1672"/>
      <c r="Y73" s="1672"/>
      <c r="Z73" s="1672"/>
      <c r="AA73" s="1672"/>
      <c r="AB73" s="1672"/>
      <c r="AC73" s="1672"/>
      <c r="AD73" s="1672"/>
      <c r="AE73" s="1672"/>
      <c r="AF73" s="1672"/>
      <c r="AG73" s="1672"/>
      <c r="AH73" s="1672"/>
      <c r="AI73" s="1672"/>
      <c r="AJ73" s="1672"/>
      <c r="AK73" s="1672"/>
      <c r="AL73" s="1672"/>
      <c r="AM73" s="1672"/>
      <c r="AN73" s="1672"/>
      <c r="AO73" s="1672"/>
      <c r="AP73" s="1672"/>
      <c r="AQ73" s="1672"/>
      <c r="AR73" s="1672"/>
      <c r="AS73" s="1672"/>
      <c r="AT73" s="2928"/>
      <c r="AU73" s="160"/>
      <c r="AV73" s="853" t="str">
        <f>IF(AV69=TRUE,AV36,AV72)</f>
        <v>00</v>
      </c>
      <c r="AW73" s="631" t="str">
        <f>VLOOKUP(AV73,BQ2:BR49,2,FALSE)</f>
        <v/>
      </c>
      <c r="AX73" s="151"/>
      <c r="AY73" s="151"/>
      <c r="BA73" s="151"/>
      <c r="BE73" s="151"/>
      <c r="BF73" s="152"/>
      <c r="BG73" s="152"/>
      <c r="BH73" s="152"/>
      <c r="BI73" s="152"/>
      <c r="BJ73" s="152"/>
      <c r="BK73" s="152"/>
      <c r="BL73" s="152"/>
      <c r="BM73" s="152"/>
      <c r="BN73" s="152"/>
      <c r="BO73" s="152"/>
      <c r="BP73" s="152"/>
      <c r="BQ73" s="152"/>
      <c r="BR73" s="152"/>
      <c r="BS73" s="294"/>
      <c r="BT73" s="178"/>
      <c r="BU73" s="153"/>
      <c r="BV73" s="153"/>
    </row>
    <row r="74" spans="1:80" ht="18" hidden="1" customHeight="1">
      <c r="A74" s="778" t="s">
        <v>2260</v>
      </c>
      <c r="B74" s="249"/>
      <c r="C74" s="192"/>
      <c r="D74" s="628"/>
      <c r="E74" s="1681" t="s">
        <v>2032</v>
      </c>
      <c r="F74" s="1406"/>
      <c r="G74" s="1406"/>
      <c r="H74" s="1407"/>
      <c r="I74" s="1682" t="s">
        <v>2261</v>
      </c>
      <c r="J74" s="1683"/>
      <c r="K74" s="1683"/>
      <c r="L74" s="1683"/>
      <c r="M74" s="1683"/>
      <c r="N74" s="1683"/>
      <c r="O74" s="1683"/>
      <c r="P74" s="1683"/>
      <c r="Q74" s="1683"/>
      <c r="R74" s="1683"/>
      <c r="S74" s="1683"/>
      <c r="T74" s="1683"/>
      <c r="U74" s="1683"/>
      <c r="V74" s="1683"/>
      <c r="W74" s="1683"/>
      <c r="X74" s="1683"/>
      <c r="Y74" s="1683"/>
      <c r="Z74" s="1683"/>
      <c r="AA74" s="1683"/>
      <c r="AB74" s="1683"/>
      <c r="AC74" s="1683"/>
      <c r="AD74" s="1683"/>
      <c r="AE74" s="1683"/>
      <c r="AF74" s="1683"/>
      <c r="AG74" s="1683"/>
      <c r="AH74" s="1683"/>
      <c r="AI74" s="1683"/>
      <c r="AJ74" s="1683"/>
      <c r="AK74" s="1683"/>
      <c r="AL74" s="1683"/>
      <c r="AM74" s="1683"/>
      <c r="AN74" s="1683"/>
      <c r="AO74" s="1683"/>
      <c r="AP74" s="1683"/>
      <c r="AQ74" s="1683"/>
      <c r="AR74" s="1683"/>
      <c r="AS74" s="1683"/>
      <c r="AT74" s="1684"/>
      <c r="AU74" s="160"/>
      <c r="AV74" s="627" t="str">
        <f>IF(AV2=FALSE,"OK",IF(AND(AV2=TRUE,I74&lt;&gt;""),"OK","NG"))</f>
        <v>OK</v>
      </c>
      <c r="AW74" s="151"/>
      <c r="AX74" s="151"/>
      <c r="AY74" s="151"/>
      <c r="BA74" s="151"/>
      <c r="BE74" s="151"/>
      <c r="BF74" s="152"/>
      <c r="BG74" s="152"/>
      <c r="BH74" s="152"/>
      <c r="BI74" s="152"/>
      <c r="BJ74" s="152"/>
      <c r="BK74" s="152"/>
      <c r="BL74" s="152"/>
      <c r="BM74" s="152"/>
      <c r="BN74" s="152"/>
      <c r="BO74" s="152"/>
      <c r="BP74" s="152"/>
      <c r="BQ74" s="152"/>
      <c r="BR74" s="152"/>
      <c r="BS74" s="294"/>
      <c r="BT74" s="178"/>
      <c r="BU74" s="153"/>
      <c r="BV74" s="153"/>
    </row>
    <row r="75" spans="1:80" ht="18" hidden="1" customHeight="1">
      <c r="A75" s="778" t="s">
        <v>2260</v>
      </c>
      <c r="B75" s="249"/>
      <c r="C75" s="193"/>
      <c r="D75" s="629"/>
      <c r="E75" s="1602"/>
      <c r="F75" s="1428"/>
      <c r="G75" s="1428"/>
      <c r="H75" s="1429"/>
      <c r="I75" s="1685"/>
      <c r="J75" s="1686"/>
      <c r="K75" s="1686"/>
      <c r="L75" s="1686"/>
      <c r="M75" s="1686"/>
      <c r="N75" s="1686"/>
      <c r="O75" s="1686"/>
      <c r="P75" s="1686"/>
      <c r="Q75" s="1686"/>
      <c r="R75" s="1686"/>
      <c r="S75" s="1686"/>
      <c r="T75" s="1686"/>
      <c r="U75" s="1686"/>
      <c r="V75" s="1686"/>
      <c r="W75" s="1686"/>
      <c r="X75" s="1686"/>
      <c r="Y75" s="1686"/>
      <c r="Z75" s="1686"/>
      <c r="AA75" s="1686"/>
      <c r="AB75" s="1686"/>
      <c r="AC75" s="1686"/>
      <c r="AD75" s="1686"/>
      <c r="AE75" s="1686"/>
      <c r="AF75" s="1686"/>
      <c r="AG75" s="1686"/>
      <c r="AH75" s="1686"/>
      <c r="AI75" s="1686"/>
      <c r="AJ75" s="1686"/>
      <c r="AK75" s="1686"/>
      <c r="AL75" s="1686"/>
      <c r="AM75" s="1686"/>
      <c r="AN75" s="1686"/>
      <c r="AO75" s="1686"/>
      <c r="AP75" s="1686"/>
      <c r="AQ75" s="1686"/>
      <c r="AR75" s="1686"/>
      <c r="AS75" s="1686"/>
      <c r="AT75" s="1687"/>
      <c r="AU75" s="160"/>
      <c r="AV75" s="627"/>
      <c r="AW75" s="151"/>
      <c r="AX75" s="151"/>
      <c r="AY75" s="151"/>
      <c r="BA75" s="151"/>
      <c r="BE75" s="151"/>
      <c r="BF75" s="152"/>
      <c r="BG75" s="152"/>
      <c r="BH75" s="152"/>
      <c r="BI75" s="152"/>
      <c r="BJ75" s="152"/>
      <c r="BK75" s="152"/>
      <c r="BL75" s="152"/>
      <c r="BM75" s="152"/>
      <c r="BN75" s="152"/>
      <c r="BO75" s="152"/>
      <c r="BP75" s="152"/>
      <c r="BQ75" s="152"/>
      <c r="BR75" s="152"/>
      <c r="BS75" s="294"/>
      <c r="BT75" s="178"/>
      <c r="BU75" s="153"/>
      <c r="BV75" s="153"/>
    </row>
    <row r="76" spans="1:80" ht="18" customHeight="1">
      <c r="A76" s="148"/>
      <c r="B76" s="249"/>
      <c r="C76" s="1688" t="s">
        <v>820</v>
      </c>
      <c r="D76" s="1689"/>
      <c r="E76" s="1689"/>
      <c r="F76" s="1689"/>
      <c r="G76" s="1689"/>
      <c r="H76" s="1690"/>
      <c r="I76" s="1430"/>
      <c r="J76" s="1431"/>
      <c r="K76" s="1431"/>
      <c r="L76" s="1431"/>
      <c r="M76" s="1431"/>
      <c r="N76" s="442" t="s">
        <v>1231</v>
      </c>
      <c r="O76" s="1431"/>
      <c r="P76" s="1431"/>
      <c r="Q76" s="1431"/>
      <c r="R76" s="1431"/>
      <c r="S76" s="442" t="s">
        <v>1232</v>
      </c>
      <c r="T76" s="1431"/>
      <c r="U76" s="1431"/>
      <c r="V76" s="1431"/>
      <c r="W76" s="1431"/>
      <c r="X76" s="1691"/>
      <c r="Y76" s="599"/>
      <c r="Z76" s="599"/>
      <c r="AA76" s="599"/>
      <c r="AB76" s="599"/>
      <c r="AC76" s="599"/>
      <c r="AD76" s="599"/>
      <c r="AE76" s="599"/>
      <c r="AF76" s="599"/>
      <c r="AG76" s="599"/>
      <c r="AH76" s="599"/>
      <c r="AI76" s="599"/>
      <c r="AJ76" s="599"/>
      <c r="AK76" s="599"/>
      <c r="AL76" s="599"/>
      <c r="AM76" s="599"/>
      <c r="AN76" s="599"/>
      <c r="AO76" s="599"/>
      <c r="AP76" s="599"/>
      <c r="AQ76" s="599"/>
      <c r="AR76" s="599"/>
      <c r="AS76" s="599"/>
      <c r="AT76" s="600"/>
      <c r="AU76" s="160"/>
      <c r="AV76" s="151" t="str">
        <f>IF(AND(I76&lt;&gt;"",O76&lt;&gt;"",T76&lt;&gt;""),IF(LENB(I76)+LENB(O76)+LENB(T76)&lt;13,"OK","NG"),"OK")</f>
        <v>OK</v>
      </c>
      <c r="AW76" s="151"/>
      <c r="AX76" s="151"/>
      <c r="AY76" s="151"/>
      <c r="BA76" s="151"/>
      <c r="BE76" s="151"/>
      <c r="BF76" s="152"/>
      <c r="BG76" s="152"/>
      <c r="BH76" s="152"/>
      <c r="BI76" s="152"/>
      <c r="BJ76" s="152"/>
      <c r="BK76" s="152"/>
      <c r="BL76" s="152"/>
      <c r="BM76" s="152"/>
      <c r="BN76" s="152"/>
      <c r="BO76" s="152"/>
      <c r="BP76" s="152"/>
      <c r="BQ76" s="152"/>
      <c r="BR76" s="152"/>
      <c r="BS76" s="294"/>
      <c r="BT76" s="178"/>
      <c r="BU76" s="153"/>
      <c r="BV76" s="153"/>
    </row>
    <row r="77" spans="1:80" s="154" customFormat="1" ht="18" customHeight="1">
      <c r="A77" s="148"/>
      <c r="B77" s="249"/>
      <c r="C77" s="1580" t="s">
        <v>821</v>
      </c>
      <c r="D77" s="1581"/>
      <c r="E77" s="1581"/>
      <c r="F77" s="1581"/>
      <c r="G77" s="1581"/>
      <c r="H77" s="1582"/>
      <c r="I77" s="1654"/>
      <c r="J77" s="1655"/>
      <c r="K77" s="1655"/>
      <c r="L77" s="1655"/>
      <c r="M77" s="1655"/>
      <c r="N77" s="1655"/>
      <c r="O77" s="1655"/>
      <c r="P77" s="1655"/>
      <c r="Q77" s="1655"/>
      <c r="R77" s="1655"/>
      <c r="S77" s="1655"/>
      <c r="T77" s="1655"/>
      <c r="U77" s="1655"/>
      <c r="V77" s="1655"/>
      <c r="W77" s="1655"/>
      <c r="X77" s="1655"/>
      <c r="Y77" s="1655"/>
      <c r="Z77" s="1655"/>
      <c r="AA77" s="1655"/>
      <c r="AB77" s="1655"/>
      <c r="AC77" s="1655"/>
      <c r="AD77" s="1655"/>
      <c r="AE77" s="1655"/>
      <c r="AF77" s="1655"/>
      <c r="AG77" s="1655"/>
      <c r="AH77" s="1655"/>
      <c r="AI77" s="1655"/>
      <c r="AJ77" s="1655"/>
      <c r="AK77" s="1655"/>
      <c r="AL77" s="1655"/>
      <c r="AM77" s="1655"/>
      <c r="AN77" s="1655"/>
      <c r="AO77" s="1655"/>
      <c r="AP77" s="1655"/>
      <c r="AQ77" s="1655"/>
      <c r="AR77" s="1655"/>
      <c r="AS77" s="1655"/>
      <c r="AT77" s="1656"/>
      <c r="AU77" s="160"/>
      <c r="AV77" s="151"/>
      <c r="AW77" s="151"/>
      <c r="AX77" s="151"/>
      <c r="AY77" s="151"/>
      <c r="AZ77" s="151"/>
      <c r="BA77" s="166"/>
      <c r="BB77" s="151"/>
      <c r="BC77" s="151"/>
      <c r="BD77" s="151"/>
      <c r="BE77" s="401"/>
      <c r="BF77" s="402"/>
      <c r="BG77" s="403"/>
      <c r="BH77" s="403"/>
      <c r="BI77" s="403"/>
      <c r="BJ77" s="152"/>
      <c r="BK77" s="152"/>
      <c r="BL77" s="152"/>
      <c r="BM77" s="152"/>
      <c r="BN77" s="152"/>
      <c r="BO77" s="152"/>
      <c r="BP77" s="152"/>
      <c r="BQ77" s="152"/>
      <c r="BR77" s="152"/>
      <c r="BS77" s="294"/>
      <c r="BT77" s="178"/>
      <c r="BU77" s="153"/>
      <c r="BV77" s="153"/>
      <c r="BW77" s="153"/>
      <c r="BX77" s="153"/>
      <c r="BY77" s="153"/>
      <c r="BZ77" s="153"/>
      <c r="CA77" s="153"/>
      <c r="CB77" s="153"/>
    </row>
    <row r="78" spans="1:80" s="154" customFormat="1" ht="18" customHeight="1">
      <c r="A78" s="148"/>
      <c r="B78" s="249"/>
      <c r="C78" s="1427"/>
      <c r="D78" s="1428"/>
      <c r="E78" s="1428"/>
      <c r="F78" s="1428"/>
      <c r="G78" s="1428"/>
      <c r="H78" s="1429"/>
      <c r="I78" s="1657"/>
      <c r="J78" s="1658"/>
      <c r="K78" s="1658"/>
      <c r="L78" s="1658"/>
      <c r="M78" s="1658"/>
      <c r="N78" s="1658"/>
      <c r="O78" s="1658"/>
      <c r="P78" s="1658"/>
      <c r="Q78" s="1658"/>
      <c r="R78" s="1658"/>
      <c r="S78" s="1658"/>
      <c r="T78" s="1658"/>
      <c r="U78" s="1658"/>
      <c r="V78" s="1658"/>
      <c r="W78" s="1658"/>
      <c r="X78" s="1658"/>
      <c r="Y78" s="1658"/>
      <c r="Z78" s="1658"/>
      <c r="AA78" s="1658"/>
      <c r="AB78" s="1658"/>
      <c r="AC78" s="1658"/>
      <c r="AD78" s="1658"/>
      <c r="AE78" s="1658"/>
      <c r="AF78" s="1658"/>
      <c r="AG78" s="1658"/>
      <c r="AH78" s="1658"/>
      <c r="AI78" s="1658"/>
      <c r="AJ78" s="1658"/>
      <c r="AK78" s="1658"/>
      <c r="AL78" s="1658"/>
      <c r="AM78" s="1658"/>
      <c r="AN78" s="1658"/>
      <c r="AO78" s="1658"/>
      <c r="AP78" s="1658"/>
      <c r="AQ78" s="1658"/>
      <c r="AR78" s="1658"/>
      <c r="AS78" s="1658"/>
      <c r="AT78" s="1659"/>
      <c r="AU78" s="160"/>
      <c r="AV78" s="151"/>
      <c r="AW78" s="151"/>
      <c r="AX78" s="151"/>
      <c r="AY78" s="151"/>
      <c r="AZ78" s="151"/>
      <c r="BA78" s="151"/>
      <c r="BB78" s="151"/>
      <c r="BC78" s="151"/>
      <c r="BD78" s="151"/>
      <c r="BE78" s="151"/>
      <c r="BF78" s="152"/>
      <c r="BG78" s="152"/>
      <c r="BH78" s="152"/>
      <c r="BI78" s="152"/>
      <c r="BJ78" s="152"/>
      <c r="BK78" s="152"/>
      <c r="BL78" s="152"/>
      <c r="BM78" s="152"/>
      <c r="BN78" s="152"/>
      <c r="BO78" s="152"/>
      <c r="BP78" s="152"/>
      <c r="BQ78" s="152"/>
      <c r="BR78" s="152"/>
      <c r="BS78" s="294"/>
      <c r="BT78" s="178"/>
      <c r="BU78" s="153"/>
      <c r="BV78" s="153"/>
      <c r="BW78" s="153"/>
      <c r="BX78" s="153"/>
      <c r="BY78" s="153"/>
      <c r="BZ78" s="153"/>
      <c r="CA78" s="153"/>
      <c r="CB78" s="153"/>
    </row>
    <row r="79" spans="1:80" s="154" customFormat="1" ht="18.649999999999999" customHeight="1">
      <c r="A79" s="148"/>
      <c r="B79" s="249"/>
      <c r="C79" s="1580" t="s">
        <v>822</v>
      </c>
      <c r="D79" s="1581"/>
      <c r="E79" s="1581"/>
      <c r="F79" s="1581"/>
      <c r="G79" s="1581"/>
      <c r="H79" s="1582"/>
      <c r="I79" s="1660"/>
      <c r="J79" s="1661"/>
      <c r="K79" s="1664" t="s">
        <v>823</v>
      </c>
      <c r="L79" s="1655"/>
      <c r="M79" s="1655"/>
      <c r="N79" s="1664" t="s">
        <v>824</v>
      </c>
      <c r="O79" s="1661"/>
      <c r="P79" s="1661"/>
      <c r="Q79" s="1664" t="s">
        <v>823</v>
      </c>
      <c r="R79" s="1655"/>
      <c r="S79" s="1666"/>
      <c r="T79" s="1601" t="s">
        <v>825</v>
      </c>
      <c r="U79" s="1581"/>
      <c r="V79" s="1581"/>
      <c r="W79" s="1581"/>
      <c r="X79" s="1581"/>
      <c r="Y79" s="1582"/>
      <c r="Z79" s="1668" t="s">
        <v>826</v>
      </c>
      <c r="AA79" s="1668"/>
      <c r="AB79" s="1668" t="s">
        <v>827</v>
      </c>
      <c r="AC79" s="1668"/>
      <c r="AD79" s="1668" t="s">
        <v>828</v>
      </c>
      <c r="AE79" s="1668"/>
      <c r="AF79" s="1668" t="s">
        <v>829</v>
      </c>
      <c r="AG79" s="1668"/>
      <c r="AH79" s="1668" t="s">
        <v>830</v>
      </c>
      <c r="AI79" s="1668"/>
      <c r="AJ79" s="1668" t="s">
        <v>831</v>
      </c>
      <c r="AK79" s="1668"/>
      <c r="AL79" s="1668" t="s">
        <v>832</v>
      </c>
      <c r="AM79" s="1668"/>
      <c r="AN79" s="1668" t="s">
        <v>833</v>
      </c>
      <c r="AO79" s="1668"/>
      <c r="AP79" s="267"/>
      <c r="AQ79" s="267"/>
      <c r="AR79" s="267"/>
      <c r="AS79" s="267"/>
      <c r="AT79" s="268"/>
      <c r="AU79" s="160"/>
      <c r="AV79" s="266" t="str">
        <f>IF(AV80=TRUE,"月","")</f>
        <v/>
      </c>
      <c r="AW79" s="266" t="str">
        <f>IF(AW80=TRUE,"火","")</f>
        <v/>
      </c>
      <c r="AX79" s="266" t="str">
        <f>IF(AX80=TRUE,"水","")</f>
        <v/>
      </c>
      <c r="AY79" s="266" t="str">
        <f>IF(AY80=TRUE,"木","")</f>
        <v/>
      </c>
      <c r="AZ79" s="266" t="str">
        <f>IF(AZ80=TRUE,"金","")</f>
        <v/>
      </c>
      <c r="BA79" s="266" t="str">
        <f>IF(BA80=TRUE,"土","")</f>
        <v/>
      </c>
      <c r="BB79" s="266" t="str">
        <f>IF(BB80=TRUE,"日","")</f>
        <v/>
      </c>
      <c r="BC79" s="266" t="str">
        <f>IF(BC80=TRUE,"祝","")</f>
        <v/>
      </c>
      <c r="BD79" s="151" t="str">
        <f>AV79&amp;AW79&amp;AX79&amp;AY79&amp;AZ79&amp;BA79&amp;BB79&amp;BC79</f>
        <v/>
      </c>
      <c r="BE79" s="151"/>
      <c r="BF79" s="152"/>
      <c r="BG79" s="152"/>
      <c r="BH79" s="152"/>
      <c r="BI79" s="152"/>
      <c r="BJ79" s="152"/>
      <c r="BK79" s="152"/>
      <c r="BL79" s="152"/>
      <c r="BM79" s="152"/>
      <c r="BN79" s="152"/>
      <c r="BO79" s="152"/>
      <c r="BP79" s="152"/>
      <c r="BQ79" s="152"/>
      <c r="BR79" s="152"/>
      <c r="BS79" s="297"/>
      <c r="BT79" s="158"/>
      <c r="BU79" s="153"/>
      <c r="BV79" s="153"/>
      <c r="BW79" s="153"/>
      <c r="BX79" s="153"/>
      <c r="BY79" s="153"/>
      <c r="BZ79" s="153"/>
      <c r="CA79" s="153"/>
      <c r="CB79" s="153"/>
    </row>
    <row r="80" spans="1:80" ht="18.649999999999999" customHeight="1">
      <c r="A80" s="148"/>
      <c r="B80" s="249"/>
      <c r="C80" s="1427"/>
      <c r="D80" s="1428"/>
      <c r="E80" s="1428"/>
      <c r="F80" s="1428"/>
      <c r="G80" s="1428"/>
      <c r="H80" s="1429"/>
      <c r="I80" s="1662"/>
      <c r="J80" s="1663"/>
      <c r="K80" s="1665"/>
      <c r="L80" s="1658"/>
      <c r="M80" s="1658"/>
      <c r="N80" s="1665"/>
      <c r="O80" s="1663"/>
      <c r="P80" s="1663"/>
      <c r="Q80" s="1665"/>
      <c r="R80" s="1658"/>
      <c r="S80" s="1667"/>
      <c r="T80" s="1602"/>
      <c r="U80" s="1428"/>
      <c r="V80" s="1428"/>
      <c r="W80" s="1428"/>
      <c r="X80" s="1428"/>
      <c r="Y80" s="1429"/>
      <c r="Z80" s="1669"/>
      <c r="AA80" s="1669"/>
      <c r="AB80" s="1669"/>
      <c r="AC80" s="1669"/>
      <c r="AD80" s="1669"/>
      <c r="AE80" s="1669"/>
      <c r="AF80" s="1669"/>
      <c r="AG80" s="1669"/>
      <c r="AH80" s="1670"/>
      <c r="AI80" s="1670"/>
      <c r="AJ80" s="1670" t="s">
        <v>2018</v>
      </c>
      <c r="AK80" s="1670"/>
      <c r="AL80" s="1670"/>
      <c r="AM80" s="1670"/>
      <c r="AN80" s="1670"/>
      <c r="AO80" s="1670"/>
      <c r="AP80" s="269"/>
      <c r="AQ80" s="269"/>
      <c r="AR80" s="269"/>
      <c r="AS80" s="269"/>
      <c r="AT80" s="270"/>
      <c r="AU80" s="160"/>
      <c r="AV80" s="151" t="b">
        <v>0</v>
      </c>
      <c r="AW80" s="151" t="b">
        <v>0</v>
      </c>
      <c r="AX80" s="151" t="b">
        <v>0</v>
      </c>
      <c r="AY80" s="151" t="b">
        <v>0</v>
      </c>
      <c r="AZ80" s="151" t="b">
        <v>0</v>
      </c>
      <c r="BA80" s="151" t="b">
        <v>0</v>
      </c>
      <c r="BB80" s="151" t="b">
        <v>0</v>
      </c>
      <c r="BC80" s="151" t="b">
        <v>0</v>
      </c>
      <c r="BD80" s="271" t="str">
        <f>I79&amp;K79&amp;L79&amp;N79&amp;O79&amp;Q79&amp;R79&amp;"  休業日"&amp;"（"&amp;BD79&amp;"）"</f>
        <v>：～：  休業日（）</v>
      </c>
      <c r="BE80" s="272"/>
      <c r="BF80" s="271"/>
      <c r="BG80" s="271"/>
      <c r="BH80" s="271"/>
      <c r="BI80" s="271"/>
      <c r="BJ80" s="152"/>
      <c r="BK80" s="152"/>
      <c r="BL80" s="152"/>
      <c r="BM80" s="152"/>
      <c r="BN80" s="152"/>
      <c r="BO80" s="152"/>
      <c r="BP80" s="152"/>
      <c r="BQ80" s="152"/>
      <c r="BR80" s="152"/>
      <c r="BS80" s="294"/>
      <c r="BT80" s="152"/>
      <c r="BU80" s="153"/>
      <c r="BV80" s="153"/>
    </row>
    <row r="81" spans="1:80" ht="18.649999999999999" customHeight="1">
      <c r="A81" s="179"/>
      <c r="B81" s="249"/>
      <c r="C81" s="1580" t="s">
        <v>835</v>
      </c>
      <c r="D81" s="1581"/>
      <c r="E81" s="1581"/>
      <c r="F81" s="1581"/>
      <c r="G81" s="1581"/>
      <c r="H81" s="1582"/>
      <c r="I81" s="2966"/>
      <c r="J81" s="2967"/>
      <c r="K81" s="2967"/>
      <c r="L81" s="2967"/>
      <c r="M81" s="2967"/>
      <c r="N81" s="2967"/>
      <c r="O81" s="2967"/>
      <c r="P81" s="2967"/>
      <c r="Q81" s="2967"/>
      <c r="R81" s="2967"/>
      <c r="S81" s="2967"/>
      <c r="T81" s="2967"/>
      <c r="U81" s="2967"/>
      <c r="V81" s="2967"/>
      <c r="W81" s="2967"/>
      <c r="X81" s="2967"/>
      <c r="Y81" s="2967"/>
      <c r="Z81" s="2967"/>
      <c r="AA81" s="2967"/>
      <c r="AB81" s="2967"/>
      <c r="AC81" s="2967"/>
      <c r="AD81" s="2967"/>
      <c r="AE81" s="2967"/>
      <c r="AF81" s="2967"/>
      <c r="AG81" s="2967"/>
      <c r="AH81" s="2967"/>
      <c r="AI81" s="2967"/>
      <c r="AJ81" s="2967"/>
      <c r="AK81" s="2967"/>
      <c r="AL81" s="2967"/>
      <c r="AM81" s="2967"/>
      <c r="AN81" s="2967"/>
      <c r="AO81" s="2967"/>
      <c r="AP81" s="2967"/>
      <c r="AQ81" s="2967"/>
      <c r="AR81" s="2967"/>
      <c r="AS81" s="2967"/>
      <c r="AT81" s="2968"/>
      <c r="AU81" s="160"/>
      <c r="AW81" s="151"/>
      <c r="AY81" s="151"/>
      <c r="AZ81" s="151"/>
      <c r="BA81" s="151"/>
      <c r="BB81" s="151"/>
      <c r="BC81" s="151"/>
      <c r="BD81" s="151"/>
      <c r="BE81" s="151"/>
      <c r="BF81" s="152"/>
      <c r="BG81" s="152"/>
      <c r="BH81" s="152"/>
      <c r="BI81" s="152"/>
      <c r="BJ81" s="152"/>
      <c r="BK81" s="152"/>
      <c r="BL81" s="152"/>
      <c r="BM81" s="152"/>
      <c r="BN81" s="152"/>
      <c r="BO81" s="152"/>
      <c r="BP81" s="152"/>
      <c r="BQ81" s="152"/>
      <c r="BR81" s="152"/>
      <c r="BS81" s="294"/>
      <c r="BT81" s="152"/>
      <c r="BU81" s="153"/>
      <c r="BV81" s="153"/>
    </row>
    <row r="82" spans="1:80" ht="18.649999999999999" customHeight="1">
      <c r="A82" s="179"/>
      <c r="B82" s="249"/>
      <c r="C82" s="1427"/>
      <c r="D82" s="1428"/>
      <c r="E82" s="1428"/>
      <c r="F82" s="1428"/>
      <c r="G82" s="1428"/>
      <c r="H82" s="1429"/>
      <c r="I82" s="2969"/>
      <c r="J82" s="2970"/>
      <c r="K82" s="2970"/>
      <c r="L82" s="2970"/>
      <c r="M82" s="2970"/>
      <c r="N82" s="2970"/>
      <c r="O82" s="2970"/>
      <c r="P82" s="2970"/>
      <c r="Q82" s="2970"/>
      <c r="R82" s="2970"/>
      <c r="S82" s="2970"/>
      <c r="T82" s="2970"/>
      <c r="U82" s="2970"/>
      <c r="V82" s="2970"/>
      <c r="W82" s="2970"/>
      <c r="X82" s="2970"/>
      <c r="Y82" s="2970"/>
      <c r="Z82" s="2970"/>
      <c r="AA82" s="2970"/>
      <c r="AB82" s="2970"/>
      <c r="AC82" s="2970"/>
      <c r="AD82" s="2970"/>
      <c r="AE82" s="2970"/>
      <c r="AF82" s="2970"/>
      <c r="AG82" s="2970"/>
      <c r="AH82" s="2970"/>
      <c r="AI82" s="2970"/>
      <c r="AJ82" s="2970"/>
      <c r="AK82" s="2970"/>
      <c r="AL82" s="2970"/>
      <c r="AM82" s="2970"/>
      <c r="AN82" s="2970"/>
      <c r="AO82" s="2970"/>
      <c r="AP82" s="2970"/>
      <c r="AQ82" s="2970"/>
      <c r="AR82" s="2970"/>
      <c r="AS82" s="2970"/>
      <c r="AT82" s="2971"/>
      <c r="AU82" s="160"/>
      <c r="AW82" s="151"/>
      <c r="AX82" s="151"/>
      <c r="AY82" s="151"/>
      <c r="AZ82" s="151"/>
      <c r="BA82" s="151"/>
      <c r="BB82" s="151"/>
      <c r="BC82" s="151"/>
      <c r="BD82" s="151"/>
      <c r="BE82" s="151"/>
      <c r="BF82" s="152"/>
      <c r="BG82" s="152"/>
      <c r="BH82" s="152"/>
      <c r="BI82" s="152"/>
      <c r="BJ82" s="152"/>
      <c r="BK82" s="152"/>
      <c r="BL82" s="152"/>
      <c r="BM82" s="152"/>
      <c r="BN82" s="152"/>
      <c r="BO82" s="152"/>
      <c r="BP82" s="152"/>
      <c r="BQ82" s="152"/>
      <c r="BR82" s="152"/>
      <c r="BS82" s="294"/>
      <c r="BT82" s="152"/>
      <c r="BU82" s="153"/>
      <c r="BV82" s="153"/>
    </row>
    <row r="83" spans="1:80" ht="18.649999999999999" customHeight="1">
      <c r="A83" s="179"/>
      <c r="B83" s="249"/>
      <c r="C83" s="1636" t="s">
        <v>3566</v>
      </c>
      <c r="D83" s="1637"/>
      <c r="E83" s="1637"/>
      <c r="F83" s="1637"/>
      <c r="G83" s="1637"/>
      <c r="H83" s="1638"/>
      <c r="I83" s="2960"/>
      <c r="J83" s="2961"/>
      <c r="K83" s="2961"/>
      <c r="L83" s="2961"/>
      <c r="M83" s="2961"/>
      <c r="N83" s="2961"/>
      <c r="O83" s="2961"/>
      <c r="P83" s="2961"/>
      <c r="Q83" s="2961"/>
      <c r="R83" s="2961"/>
      <c r="S83" s="2961"/>
      <c r="T83" s="2961"/>
      <c r="U83" s="2961"/>
      <c r="V83" s="2961"/>
      <c r="W83" s="2961"/>
      <c r="X83" s="2961"/>
      <c r="Y83" s="2961"/>
      <c r="Z83" s="2961"/>
      <c r="AA83" s="2961"/>
      <c r="AB83" s="2961"/>
      <c r="AC83" s="2961"/>
      <c r="AD83" s="2961"/>
      <c r="AE83" s="2961"/>
      <c r="AF83" s="2961"/>
      <c r="AG83" s="2961"/>
      <c r="AH83" s="2961"/>
      <c r="AI83" s="2961"/>
      <c r="AJ83" s="2961"/>
      <c r="AK83" s="2961"/>
      <c r="AL83" s="2961"/>
      <c r="AM83" s="2961"/>
      <c r="AN83" s="2961"/>
      <c r="AO83" s="2961"/>
      <c r="AP83" s="2961"/>
      <c r="AQ83" s="2961"/>
      <c r="AR83" s="2961"/>
      <c r="AS83" s="2961"/>
      <c r="AT83" s="2962"/>
      <c r="AU83" s="160"/>
      <c r="AV83" s="627" t="str">
        <f>IF(AV2=FALSE,"OK",IF(AND(AV2=TRUE,I83&lt;&gt;""),"OK","NG"))</f>
        <v>OK</v>
      </c>
      <c r="AW83" s="151"/>
      <c r="AX83" s="151"/>
      <c r="AY83" s="151"/>
      <c r="AZ83" s="151"/>
      <c r="BA83" s="151"/>
      <c r="BB83" s="151"/>
      <c r="BC83" s="151"/>
      <c r="BD83" s="151"/>
      <c r="BE83" s="151"/>
      <c r="BF83" s="152"/>
      <c r="BG83" s="152"/>
      <c r="BH83" s="152"/>
      <c r="BI83" s="152"/>
      <c r="BJ83" s="152"/>
      <c r="BK83" s="152"/>
      <c r="BL83" s="152"/>
      <c r="BM83" s="152"/>
      <c r="BN83" s="152"/>
      <c r="BO83" s="152"/>
      <c r="BP83" s="152"/>
      <c r="BQ83" s="152"/>
      <c r="BR83" s="152"/>
      <c r="BS83" s="294"/>
      <c r="BT83" s="152"/>
      <c r="BU83" s="153"/>
      <c r="BV83" s="153"/>
    </row>
    <row r="84" spans="1:80" ht="18.649999999999999" customHeight="1">
      <c r="A84" s="179"/>
      <c r="B84" s="249"/>
      <c r="C84" s="1636"/>
      <c r="D84" s="1637"/>
      <c r="E84" s="1637"/>
      <c r="F84" s="1637"/>
      <c r="G84" s="1637"/>
      <c r="H84" s="1638"/>
      <c r="I84" s="2963"/>
      <c r="J84" s="2964"/>
      <c r="K84" s="2964"/>
      <c r="L84" s="2964"/>
      <c r="M84" s="2964"/>
      <c r="N84" s="2964"/>
      <c r="O84" s="2964"/>
      <c r="P84" s="2964"/>
      <c r="Q84" s="2964"/>
      <c r="R84" s="2964"/>
      <c r="S84" s="2964"/>
      <c r="T84" s="2964"/>
      <c r="U84" s="2964"/>
      <c r="V84" s="2964"/>
      <c r="W84" s="2964"/>
      <c r="X84" s="2964"/>
      <c r="Y84" s="2964"/>
      <c r="Z84" s="2964"/>
      <c r="AA84" s="2964"/>
      <c r="AB84" s="2964"/>
      <c r="AC84" s="2964"/>
      <c r="AD84" s="2964"/>
      <c r="AE84" s="2964"/>
      <c r="AF84" s="2964"/>
      <c r="AG84" s="2964"/>
      <c r="AH84" s="2964"/>
      <c r="AI84" s="2964"/>
      <c r="AJ84" s="2964"/>
      <c r="AK84" s="2964"/>
      <c r="AL84" s="2964"/>
      <c r="AM84" s="2964"/>
      <c r="AN84" s="2964"/>
      <c r="AO84" s="2964"/>
      <c r="AP84" s="2964"/>
      <c r="AQ84" s="2964"/>
      <c r="AR84" s="2964"/>
      <c r="AS84" s="2964"/>
      <c r="AT84" s="2965"/>
      <c r="AU84" s="160"/>
      <c r="AV84" s="627"/>
      <c r="AW84" s="151"/>
      <c r="AX84" s="151"/>
      <c r="AY84" s="151"/>
      <c r="AZ84" s="151"/>
      <c r="BA84" s="151"/>
      <c r="BB84" s="151"/>
      <c r="BC84" s="151"/>
      <c r="BD84" s="151"/>
      <c r="BE84" s="151"/>
      <c r="BF84" s="152"/>
      <c r="BG84" s="152"/>
      <c r="BH84" s="152"/>
      <c r="BI84" s="152"/>
      <c r="BJ84" s="152"/>
      <c r="BK84" s="152"/>
      <c r="BL84" s="152"/>
      <c r="BM84" s="152"/>
      <c r="BN84" s="152"/>
      <c r="BO84" s="152"/>
      <c r="BP84" s="152"/>
      <c r="BQ84" s="152"/>
      <c r="BR84" s="152"/>
      <c r="BS84" s="295"/>
      <c r="BT84" s="152"/>
      <c r="BU84" s="153"/>
      <c r="BV84" s="153"/>
    </row>
    <row r="85" spans="1:80" ht="18.649999999999999" customHeight="1">
      <c r="A85" s="179"/>
      <c r="B85" s="249"/>
      <c r="C85" s="1405" t="s">
        <v>1087</v>
      </c>
      <c r="D85" s="1406"/>
      <c r="E85" s="1406"/>
      <c r="F85" s="1406"/>
      <c r="G85" s="1406"/>
      <c r="H85" s="1407"/>
      <c r="I85" s="1645"/>
      <c r="J85" s="1646"/>
      <c r="K85" s="1646"/>
      <c r="L85" s="1646"/>
      <c r="M85" s="1646"/>
      <c r="N85" s="1646"/>
      <c r="O85" s="1646"/>
      <c r="P85" s="1646"/>
      <c r="Q85" s="1646"/>
      <c r="R85" s="1646"/>
      <c r="S85" s="1646"/>
      <c r="T85" s="1646"/>
      <c r="U85" s="1646"/>
      <c r="V85" s="1646"/>
      <c r="W85" s="1646"/>
      <c r="X85" s="1646"/>
      <c r="Y85" s="1646"/>
      <c r="Z85" s="1646"/>
      <c r="AA85" s="1647"/>
      <c r="AB85" s="1649" t="s">
        <v>1092</v>
      </c>
      <c r="AC85" s="1650"/>
      <c r="AD85" s="1650"/>
      <c r="AE85" s="1650"/>
      <c r="AF85" s="1651"/>
      <c r="AG85" s="1547" t="s">
        <v>1091</v>
      </c>
      <c r="AH85" s="1547"/>
      <c r="AI85" s="1549"/>
      <c r="AJ85" s="1549"/>
      <c r="AK85" s="1547" t="s">
        <v>1090</v>
      </c>
      <c r="AL85" s="1547"/>
      <c r="AM85" s="1549"/>
      <c r="AN85" s="1549"/>
      <c r="AO85" s="1547" t="s">
        <v>1089</v>
      </c>
      <c r="AP85" s="1547"/>
      <c r="AQ85" s="1549"/>
      <c r="AR85" s="1549"/>
      <c r="AS85" s="1547" t="s">
        <v>1088</v>
      </c>
      <c r="AT85" s="1652"/>
      <c r="AU85" s="160"/>
      <c r="AW85" s="151"/>
      <c r="AX85" s="151"/>
      <c r="AY85" s="151"/>
      <c r="AZ85" s="151"/>
      <c r="BA85" s="151"/>
      <c r="BB85" s="151"/>
      <c r="BC85" s="151"/>
      <c r="BD85" s="151"/>
      <c r="BE85" s="151"/>
      <c r="BF85" s="152"/>
      <c r="BG85" s="152"/>
      <c r="BH85" s="152"/>
      <c r="BI85" s="152"/>
      <c r="BJ85" s="152"/>
      <c r="BK85" s="152"/>
      <c r="BL85" s="152"/>
      <c r="BM85" s="152"/>
      <c r="BN85" s="152"/>
      <c r="BO85" s="152"/>
      <c r="BP85" s="152"/>
      <c r="BQ85" s="152"/>
      <c r="BR85" s="152"/>
      <c r="BS85" s="294"/>
      <c r="BT85" s="152"/>
      <c r="BU85" s="153"/>
      <c r="BV85" s="153"/>
    </row>
    <row r="86" spans="1:80" ht="18.649999999999999" customHeight="1">
      <c r="A86" s="179"/>
      <c r="B86" s="249"/>
      <c r="C86" s="1427"/>
      <c r="D86" s="1428"/>
      <c r="E86" s="1428"/>
      <c r="F86" s="1428"/>
      <c r="G86" s="1428"/>
      <c r="H86" s="1429"/>
      <c r="I86" s="1633"/>
      <c r="J86" s="1634"/>
      <c r="K86" s="1634"/>
      <c r="L86" s="1634"/>
      <c r="M86" s="1634"/>
      <c r="N86" s="1634"/>
      <c r="O86" s="1634"/>
      <c r="P86" s="1634"/>
      <c r="Q86" s="1634"/>
      <c r="R86" s="1634"/>
      <c r="S86" s="1634"/>
      <c r="T86" s="1634"/>
      <c r="U86" s="1634"/>
      <c r="V86" s="1634"/>
      <c r="W86" s="1634"/>
      <c r="X86" s="1634"/>
      <c r="Y86" s="1634"/>
      <c r="Z86" s="1634"/>
      <c r="AA86" s="1648"/>
      <c r="AB86" s="1649"/>
      <c r="AC86" s="1650"/>
      <c r="AD86" s="1650"/>
      <c r="AE86" s="1650"/>
      <c r="AF86" s="1651"/>
      <c r="AG86" s="1548"/>
      <c r="AH86" s="1548"/>
      <c r="AI86" s="1550"/>
      <c r="AJ86" s="1550"/>
      <c r="AK86" s="1548"/>
      <c r="AL86" s="1548"/>
      <c r="AM86" s="1550"/>
      <c r="AN86" s="1550"/>
      <c r="AO86" s="1548"/>
      <c r="AP86" s="1548"/>
      <c r="AQ86" s="1550"/>
      <c r="AR86" s="1550"/>
      <c r="AS86" s="1548"/>
      <c r="AT86" s="1653"/>
      <c r="AU86" s="160"/>
      <c r="AW86" s="151"/>
      <c r="AX86" s="151"/>
      <c r="AY86" s="151"/>
      <c r="AZ86" s="151"/>
      <c r="BA86" s="151"/>
      <c r="BB86" s="151"/>
      <c r="BC86" s="151"/>
      <c r="BD86" s="151"/>
      <c r="BE86" s="151"/>
      <c r="BF86" s="152"/>
      <c r="BG86" s="152"/>
      <c r="BH86" s="152"/>
      <c r="BI86" s="152"/>
      <c r="BJ86" s="152"/>
      <c r="BK86" s="152"/>
      <c r="BL86" s="152"/>
      <c r="BM86" s="152"/>
      <c r="BN86" s="152"/>
      <c r="BO86" s="152"/>
      <c r="BP86" s="152"/>
      <c r="BQ86" s="152"/>
      <c r="BR86" s="152"/>
      <c r="BS86" s="294"/>
      <c r="BT86" s="152"/>
      <c r="BU86" s="153"/>
      <c r="BV86" s="153"/>
    </row>
    <row r="87" spans="1:80" ht="18.649999999999999" customHeight="1">
      <c r="A87" s="179"/>
      <c r="B87" s="249"/>
      <c r="C87" s="1580" t="s">
        <v>836</v>
      </c>
      <c r="D87" s="1581"/>
      <c r="E87" s="1581"/>
      <c r="F87" s="1581"/>
      <c r="G87" s="1581"/>
      <c r="H87" s="1582"/>
      <c r="I87" s="1595" t="s">
        <v>777</v>
      </c>
      <c r="J87" s="1596"/>
      <c r="K87" s="1596"/>
      <c r="L87" s="1596"/>
      <c r="M87" s="1596"/>
      <c r="N87" s="1596"/>
      <c r="O87" s="1596"/>
      <c r="P87" s="1596"/>
      <c r="Q87" s="1596"/>
      <c r="R87" s="1596"/>
      <c r="S87" s="1597"/>
      <c r="T87" s="1601" t="s">
        <v>834</v>
      </c>
      <c r="U87" s="1581"/>
      <c r="V87" s="1581"/>
      <c r="W87" s="1581"/>
      <c r="X87" s="1581"/>
      <c r="Y87" s="1582"/>
      <c r="Z87" s="1603"/>
      <c r="AA87" s="1604"/>
      <c r="AB87" s="1604"/>
      <c r="AC87" s="1604"/>
      <c r="AD87" s="1604"/>
      <c r="AE87" s="1604"/>
      <c r="AF87" s="1604"/>
      <c r="AG87" s="1604"/>
      <c r="AH87" s="1604"/>
      <c r="AI87" s="1604"/>
      <c r="AJ87" s="1604"/>
      <c r="AK87" s="1605"/>
      <c r="AL87" s="1609" t="s">
        <v>780</v>
      </c>
      <c r="AM87" s="1609"/>
      <c r="AN87" s="1609"/>
      <c r="AO87" s="1609"/>
      <c r="AP87" s="1609"/>
      <c r="AQ87" s="1609"/>
      <c r="AR87" s="1609"/>
      <c r="AS87" s="1609"/>
      <c r="AT87" s="1610"/>
      <c r="AU87" s="160"/>
      <c r="AV87" s="151" t="str">
        <f>IF(AL88="00：選択して下さい","NG","OK")</f>
        <v>OK</v>
      </c>
      <c r="AW87" s="151" t="str">
        <f>IF(AND(AV88="05",Z87=""),"NG","OK")</f>
        <v>OK</v>
      </c>
      <c r="AX87" s="151"/>
      <c r="AY87" s="151"/>
      <c r="AZ87" s="151"/>
      <c r="BA87" s="151"/>
      <c r="BB87" s="151"/>
      <c r="BC87" s="151"/>
      <c r="BD87" s="151"/>
      <c r="BE87" s="151"/>
      <c r="BF87" s="152"/>
      <c r="BG87" s="152"/>
      <c r="BH87" s="152"/>
      <c r="BI87" s="152"/>
      <c r="BJ87" s="152"/>
      <c r="BK87" s="152"/>
      <c r="BL87" s="152"/>
      <c r="BM87" s="152"/>
      <c r="BN87" s="152"/>
      <c r="BO87" s="152"/>
      <c r="BP87" s="152"/>
      <c r="BQ87" s="152"/>
      <c r="BR87" s="152"/>
      <c r="BS87" s="295"/>
      <c r="BT87" s="152"/>
      <c r="BU87" s="153"/>
      <c r="BV87" s="153"/>
    </row>
    <row r="88" spans="1:80" ht="18.649999999999999" customHeight="1">
      <c r="A88" s="179"/>
      <c r="B88" s="249"/>
      <c r="C88" s="1427"/>
      <c r="D88" s="1428"/>
      <c r="E88" s="1428"/>
      <c r="F88" s="1428"/>
      <c r="G88" s="1428"/>
      <c r="H88" s="1429"/>
      <c r="I88" s="1598"/>
      <c r="J88" s="1599"/>
      <c r="K88" s="1599"/>
      <c r="L88" s="1599"/>
      <c r="M88" s="1599"/>
      <c r="N88" s="1599"/>
      <c r="O88" s="1599"/>
      <c r="P88" s="1599"/>
      <c r="Q88" s="1599"/>
      <c r="R88" s="1599"/>
      <c r="S88" s="1600"/>
      <c r="T88" s="1602"/>
      <c r="U88" s="1428"/>
      <c r="V88" s="1428"/>
      <c r="W88" s="1428"/>
      <c r="X88" s="1428"/>
      <c r="Y88" s="1429"/>
      <c r="Z88" s="1606"/>
      <c r="AA88" s="1607"/>
      <c r="AB88" s="1607"/>
      <c r="AC88" s="1607"/>
      <c r="AD88" s="1607"/>
      <c r="AE88" s="1607"/>
      <c r="AF88" s="1607"/>
      <c r="AG88" s="1607"/>
      <c r="AH88" s="1607"/>
      <c r="AI88" s="1607"/>
      <c r="AJ88" s="1607"/>
      <c r="AK88" s="1608"/>
      <c r="AL88" s="1611" t="s">
        <v>375</v>
      </c>
      <c r="AM88" s="1611"/>
      <c r="AN88" s="1611"/>
      <c r="AO88" s="1611"/>
      <c r="AP88" s="1611"/>
      <c r="AQ88" s="1611"/>
      <c r="AR88" s="1611"/>
      <c r="AS88" s="1611"/>
      <c r="AT88" s="1612"/>
      <c r="AU88" s="160"/>
      <c r="AV88" s="151" t="str">
        <f>LEFT(I87,2)</f>
        <v>00</v>
      </c>
      <c r="AW88" s="548" t="str">
        <f>LEFT(VLOOKUP(AL88,AZ2:BA18,2,FALSE),1)</f>
        <v>5</v>
      </c>
      <c r="AX88" s="631" t="str">
        <f>IF(AV88="00","",LEFT(VLOOKUP(AV88,BK15:BL21,2,FALSE),2))</f>
        <v/>
      </c>
      <c r="AY88" s="631" t="str">
        <f>IF(AV88="07",T(Z87),IF(AV88="05","電話勧誘販売",IF(AV88="06","連鎖販売","")))</f>
        <v/>
      </c>
      <c r="AZ88" s="631" t="str">
        <f>IF(AV88="00","",LEFT(VLOOKUP(AV88,BK24:BL30,2,FALSE),2))</f>
        <v/>
      </c>
      <c r="BA88" s="151"/>
      <c r="BB88" s="151"/>
      <c r="BC88" s="151"/>
      <c r="BD88" s="151"/>
      <c r="BE88" s="151"/>
      <c r="BF88" s="152"/>
      <c r="BG88" s="152"/>
      <c r="BH88" s="152"/>
      <c r="BI88" s="152"/>
      <c r="BJ88" s="152"/>
      <c r="BK88" s="152"/>
      <c r="BL88" s="152"/>
      <c r="BM88" s="152"/>
      <c r="BN88" s="152"/>
      <c r="BO88" s="152"/>
      <c r="BP88" s="152"/>
      <c r="BQ88" s="152"/>
      <c r="BR88" s="152"/>
      <c r="BS88" s="295"/>
      <c r="BT88" s="152"/>
      <c r="BU88" s="153"/>
      <c r="BV88" s="153"/>
    </row>
    <row r="89" spans="1:80" ht="18.649999999999999" customHeight="1">
      <c r="A89" s="179"/>
      <c r="B89" s="249"/>
      <c r="C89" s="1580" t="s">
        <v>864</v>
      </c>
      <c r="D89" s="1581"/>
      <c r="E89" s="1581"/>
      <c r="F89" s="1581"/>
      <c r="G89" s="1581"/>
      <c r="H89" s="1582"/>
      <c r="I89" s="1613"/>
      <c r="J89" s="1614"/>
      <c r="K89" s="1614"/>
      <c r="L89" s="1614"/>
      <c r="M89" s="1614"/>
      <c r="N89" s="1614"/>
      <c r="O89" s="1614"/>
      <c r="P89" s="1614"/>
      <c r="Q89" s="1614"/>
      <c r="R89" s="1614"/>
      <c r="S89" s="1617" t="s">
        <v>837</v>
      </c>
      <c r="T89" s="1433" t="s">
        <v>436</v>
      </c>
      <c r="U89" s="1433"/>
      <c r="V89" s="1433"/>
      <c r="W89" s="1433"/>
      <c r="X89" s="1433"/>
      <c r="Y89" s="1433"/>
      <c r="Z89" s="1618"/>
      <c r="AA89" s="1619"/>
      <c r="AB89" s="1619"/>
      <c r="AC89" s="1619"/>
      <c r="AD89" s="1619"/>
      <c r="AE89" s="1622" t="s">
        <v>837</v>
      </c>
      <c r="AF89" s="1624" t="s">
        <v>438</v>
      </c>
      <c r="AG89" s="1619"/>
      <c r="AH89" s="1619"/>
      <c r="AI89" s="1619"/>
      <c r="AJ89" s="1619"/>
      <c r="AK89" s="1626" t="s">
        <v>437</v>
      </c>
      <c r="AL89" s="1433" t="s">
        <v>439</v>
      </c>
      <c r="AM89" s="1433"/>
      <c r="AN89" s="1433"/>
      <c r="AO89" s="1433"/>
      <c r="AP89" s="1618"/>
      <c r="AQ89" s="1619"/>
      <c r="AR89" s="1619"/>
      <c r="AS89" s="1619"/>
      <c r="AT89" s="1628" t="s">
        <v>437</v>
      </c>
      <c r="AU89" s="160"/>
      <c r="AV89" s="151"/>
      <c r="AW89" s="151"/>
      <c r="AX89" s="151"/>
      <c r="AY89" s="151"/>
      <c r="AZ89" s="151"/>
      <c r="BA89" s="151"/>
      <c r="BB89" s="151"/>
      <c r="BC89" s="151"/>
      <c r="BD89" s="151"/>
      <c r="BE89" s="151"/>
      <c r="BF89" s="152"/>
      <c r="BG89" s="152"/>
      <c r="BH89" s="152"/>
      <c r="BI89" s="152"/>
      <c r="BJ89" s="152"/>
      <c r="BK89" s="152"/>
      <c r="BL89" s="152"/>
      <c r="BM89" s="152"/>
      <c r="BN89" s="152"/>
      <c r="BO89" s="152"/>
      <c r="BP89" s="152"/>
      <c r="BQ89" s="152"/>
      <c r="BR89" s="152"/>
      <c r="BS89" s="295"/>
      <c r="BT89" s="152"/>
      <c r="BU89" s="153"/>
      <c r="BV89" s="153"/>
    </row>
    <row r="90" spans="1:80" ht="18.649999999999999" customHeight="1">
      <c r="A90" s="179"/>
      <c r="B90" s="249"/>
      <c r="C90" s="1427"/>
      <c r="D90" s="1428"/>
      <c r="E90" s="1428"/>
      <c r="F90" s="1428"/>
      <c r="G90" s="1428"/>
      <c r="H90" s="1429"/>
      <c r="I90" s="1615"/>
      <c r="J90" s="1616"/>
      <c r="K90" s="1616"/>
      <c r="L90" s="1616"/>
      <c r="M90" s="1616"/>
      <c r="N90" s="1616"/>
      <c r="O90" s="1616"/>
      <c r="P90" s="1616"/>
      <c r="Q90" s="1616"/>
      <c r="R90" s="1616"/>
      <c r="S90" s="1548"/>
      <c r="T90" s="1433"/>
      <c r="U90" s="1433"/>
      <c r="V90" s="1433"/>
      <c r="W90" s="1433"/>
      <c r="X90" s="1433"/>
      <c r="Y90" s="1433"/>
      <c r="Z90" s="1620"/>
      <c r="AA90" s="1621"/>
      <c r="AB90" s="1621"/>
      <c r="AC90" s="1621"/>
      <c r="AD90" s="1621"/>
      <c r="AE90" s="1623"/>
      <c r="AF90" s="1625"/>
      <c r="AG90" s="1621"/>
      <c r="AH90" s="1621"/>
      <c r="AI90" s="1621"/>
      <c r="AJ90" s="1621"/>
      <c r="AK90" s="1627"/>
      <c r="AL90" s="1433"/>
      <c r="AM90" s="1433"/>
      <c r="AN90" s="1433"/>
      <c r="AO90" s="1433"/>
      <c r="AP90" s="1620"/>
      <c r="AQ90" s="1621"/>
      <c r="AR90" s="1621"/>
      <c r="AS90" s="1621"/>
      <c r="AT90" s="1629"/>
      <c r="AU90" s="160"/>
      <c r="AV90" s="266" t="s">
        <v>869</v>
      </c>
      <c r="AW90" s="266" t="s">
        <v>868</v>
      </c>
      <c r="AX90" s="266" t="s">
        <v>867</v>
      </c>
      <c r="AY90" s="266" t="s">
        <v>866</v>
      </c>
      <c r="AZ90" s="266" t="s">
        <v>874</v>
      </c>
      <c r="BA90" s="266" t="s">
        <v>872</v>
      </c>
      <c r="BB90" s="266" t="s">
        <v>873</v>
      </c>
      <c r="BC90" s="266" t="s">
        <v>878</v>
      </c>
      <c r="BD90" s="151"/>
      <c r="BE90" s="151"/>
      <c r="BF90" s="152"/>
      <c r="BG90" s="152"/>
      <c r="BH90" s="152"/>
      <c r="BI90" s="152"/>
      <c r="BJ90" s="152"/>
      <c r="BK90" s="152"/>
      <c r="BL90" s="152"/>
      <c r="BM90" s="152"/>
      <c r="BN90" s="152"/>
      <c r="BO90" s="152"/>
      <c r="BP90" s="152"/>
      <c r="BQ90" s="152"/>
      <c r="BR90" s="152"/>
      <c r="BS90" s="295"/>
      <c r="BT90" s="152"/>
      <c r="BU90" s="153"/>
      <c r="BV90" s="153"/>
    </row>
    <row r="91" spans="1:80" ht="18.649999999999999" customHeight="1">
      <c r="A91" s="179"/>
      <c r="B91" s="249"/>
      <c r="C91" s="1580" t="s">
        <v>443</v>
      </c>
      <c r="D91" s="1581"/>
      <c r="E91" s="1581"/>
      <c r="F91" s="1581"/>
      <c r="G91" s="1581"/>
      <c r="H91" s="1582"/>
      <c r="I91" s="257"/>
      <c r="J91" s="258"/>
      <c r="K91" s="260" t="s">
        <v>871</v>
      </c>
      <c r="L91" s="260"/>
      <c r="M91" s="261"/>
      <c r="N91" s="262"/>
      <c r="O91" s="260" t="s">
        <v>872</v>
      </c>
      <c r="P91" s="260"/>
      <c r="Q91" s="259"/>
      <c r="R91" s="259"/>
      <c r="S91" s="260" t="s">
        <v>873</v>
      </c>
      <c r="T91" s="260"/>
      <c r="U91" s="260"/>
      <c r="V91" s="261"/>
      <c r="W91" s="260"/>
      <c r="X91" s="260" t="s">
        <v>870</v>
      </c>
      <c r="Y91" s="260"/>
      <c r="Z91" s="263"/>
      <c r="AA91" s="261"/>
      <c r="AB91" s="260" t="s">
        <v>876</v>
      </c>
      <c r="AC91" s="260"/>
      <c r="AD91" s="260"/>
      <c r="AE91" s="264"/>
      <c r="AF91" s="260"/>
      <c r="AG91" s="260" t="s">
        <v>444</v>
      </c>
      <c r="AH91" s="265"/>
      <c r="AI91" s="1583" t="s">
        <v>445</v>
      </c>
      <c r="AJ91" s="1584"/>
      <c r="AK91" s="1584"/>
      <c r="AL91" s="1584"/>
      <c r="AM91" s="1584"/>
      <c r="AN91" s="1584"/>
      <c r="AO91" s="1584"/>
      <c r="AP91" s="1584"/>
      <c r="AQ91" s="1584"/>
      <c r="AR91" s="1584"/>
      <c r="AS91" s="1584"/>
      <c r="AT91" s="1585"/>
      <c r="AU91" s="160"/>
      <c r="AV91" s="151" t="b">
        <v>0</v>
      </c>
      <c r="AW91" s="151" t="b">
        <v>0</v>
      </c>
      <c r="AX91" s="151" t="b">
        <v>0</v>
      </c>
      <c r="AY91" s="151" t="b">
        <v>0</v>
      </c>
      <c r="AZ91" s="151" t="b">
        <v>0</v>
      </c>
      <c r="BA91" s="151" t="b">
        <v>0</v>
      </c>
      <c r="BB91" s="151" t="b">
        <v>0</v>
      </c>
      <c r="BC91" s="151" t="b">
        <v>0</v>
      </c>
      <c r="BD91" s="151"/>
      <c r="BE91" s="151"/>
      <c r="BF91" s="152"/>
      <c r="BG91" s="152"/>
      <c r="BH91" s="152"/>
      <c r="BI91" s="152"/>
      <c r="BJ91" s="152"/>
      <c r="BK91" s="152"/>
      <c r="BL91" s="152"/>
      <c r="BM91" s="152"/>
      <c r="BN91" s="152"/>
      <c r="BO91" s="152"/>
      <c r="BP91" s="152"/>
      <c r="BQ91" s="152"/>
      <c r="BR91" s="152"/>
      <c r="BS91" s="295"/>
      <c r="BT91" s="152"/>
      <c r="BU91" s="153"/>
      <c r="BV91" s="153"/>
    </row>
    <row r="92" spans="1:80" ht="18.649999999999999" customHeight="1">
      <c r="A92" s="179"/>
      <c r="B92" s="249"/>
      <c r="C92" s="1409"/>
      <c r="D92" s="1410"/>
      <c r="E92" s="1410"/>
      <c r="F92" s="1410"/>
      <c r="G92" s="1410"/>
      <c r="H92" s="1411"/>
      <c r="I92" s="1586" t="s">
        <v>762</v>
      </c>
      <c r="J92" s="1587"/>
      <c r="K92" s="1587"/>
      <c r="L92" s="1587"/>
      <c r="M92" s="1588"/>
      <c r="N92" s="1589"/>
      <c r="O92" s="1590"/>
      <c r="P92" s="1590"/>
      <c r="Q92" s="1590"/>
      <c r="R92" s="1590"/>
      <c r="S92" s="1590"/>
      <c r="T92" s="1590"/>
      <c r="U92" s="1590"/>
      <c r="V92" s="1591"/>
      <c r="W92" s="1586" t="s">
        <v>763</v>
      </c>
      <c r="X92" s="1587"/>
      <c r="Y92" s="1587"/>
      <c r="Z92" s="1587"/>
      <c r="AA92" s="1588"/>
      <c r="AB92" s="1592"/>
      <c r="AC92" s="1593"/>
      <c r="AD92" s="1593"/>
      <c r="AE92" s="1593"/>
      <c r="AF92" s="1593"/>
      <c r="AG92" s="1593"/>
      <c r="AH92" s="1594"/>
      <c r="AI92" s="1586" t="s">
        <v>764</v>
      </c>
      <c r="AJ92" s="1587"/>
      <c r="AK92" s="1587"/>
      <c r="AL92" s="1587"/>
      <c r="AM92" s="1588"/>
      <c r="AN92" s="1589"/>
      <c r="AO92" s="1590"/>
      <c r="AP92" s="405" t="s">
        <v>765</v>
      </c>
      <c r="AQ92" s="406"/>
      <c r="AR92" s="405" t="s">
        <v>766</v>
      </c>
      <c r="AS92" s="406"/>
      <c r="AT92" s="407" t="s">
        <v>767</v>
      </c>
      <c r="AU92" s="160"/>
      <c r="AV92" s="166" t="str">
        <f>IF(OR(AV91=TRUE,AW91=TRUE,AX91=TRUE,AY91=TRUE,AZ91=TRUE,BA91=TRUE,BB91=TRUE),"免許有","免許無")</f>
        <v>免許無</v>
      </c>
      <c r="AW92" s="166" t="str">
        <f>IF(OR(AV92="免許無",AND(AV92="免許有",N92&lt;&gt;"",AB92&lt;&gt;"",AN92&lt;&gt;"",AQ92&lt;&gt;"",AS92&lt;&gt;"")),"OK","NG")</f>
        <v>OK</v>
      </c>
      <c r="AZ92" s="151"/>
      <c r="BA92" s="151"/>
      <c r="BB92" s="151"/>
      <c r="BC92" s="151"/>
      <c r="BD92" s="151"/>
      <c r="BE92" s="151"/>
      <c r="BF92" s="152"/>
      <c r="BG92" s="152"/>
      <c r="BH92" s="152"/>
      <c r="BI92" s="152"/>
      <c r="BJ92" s="152"/>
      <c r="BK92" s="152"/>
      <c r="BL92" s="152"/>
      <c r="BM92" s="152"/>
      <c r="BN92" s="152"/>
      <c r="BO92" s="152"/>
      <c r="BP92" s="152"/>
      <c r="BQ92" s="152"/>
      <c r="BR92" s="152"/>
      <c r="BS92" s="294"/>
      <c r="BT92" s="152"/>
      <c r="BU92" s="153"/>
      <c r="BV92" s="153"/>
    </row>
    <row r="93" spans="1:80" ht="18.649999999999999" customHeight="1">
      <c r="A93" s="179"/>
      <c r="B93" s="249"/>
      <c r="C93" s="1571" t="s">
        <v>1077</v>
      </c>
      <c r="D93" s="1572"/>
      <c r="E93" s="1572"/>
      <c r="F93" s="1572"/>
      <c r="G93" s="1572"/>
      <c r="H93" s="1572"/>
      <c r="I93" s="412"/>
      <c r="J93" s="413"/>
      <c r="K93" s="1573" t="s">
        <v>1093</v>
      </c>
      <c r="L93" s="1573"/>
      <c r="M93" s="413"/>
      <c r="N93" s="413"/>
      <c r="O93" s="1573" t="s">
        <v>1094</v>
      </c>
      <c r="P93" s="1573"/>
      <c r="Q93" s="414"/>
      <c r="R93" s="1433" t="s">
        <v>1078</v>
      </c>
      <c r="S93" s="1433"/>
      <c r="T93" s="1433"/>
      <c r="U93" s="1433"/>
      <c r="V93" s="1433"/>
      <c r="W93" s="1433"/>
      <c r="X93" s="412"/>
      <c r="Y93" s="413"/>
      <c r="Z93" s="1573" t="s">
        <v>1093</v>
      </c>
      <c r="AA93" s="1573"/>
      <c r="AB93" s="413"/>
      <c r="AC93" s="413"/>
      <c r="AD93" s="1573" t="s">
        <v>1094</v>
      </c>
      <c r="AE93" s="1573"/>
      <c r="AF93" s="414"/>
      <c r="AG93" s="1433" t="s">
        <v>1079</v>
      </c>
      <c r="AH93" s="1433"/>
      <c r="AI93" s="1433"/>
      <c r="AJ93" s="1433"/>
      <c r="AK93" s="1433"/>
      <c r="AL93" s="1433"/>
      <c r="AM93" s="408"/>
      <c r="AN93" s="409"/>
      <c r="AO93" s="1576" t="s">
        <v>1093</v>
      </c>
      <c r="AP93" s="1576"/>
      <c r="AQ93" s="409"/>
      <c r="AR93" s="409"/>
      <c r="AS93" s="1576" t="s">
        <v>1095</v>
      </c>
      <c r="AT93" s="1578"/>
      <c r="AU93" s="160"/>
      <c r="AV93" s="433" t="s">
        <v>1082</v>
      </c>
      <c r="AW93" s="266" t="s">
        <v>1083</v>
      </c>
      <c r="AX93" s="433" t="s">
        <v>1084</v>
      </c>
      <c r="AY93" s="151" t="str">
        <f>IF(OR(AV94=0,AW94=0,AX94=0,AV96=0,AW96=0,AX96=0),"NG","OK")</f>
        <v>OK</v>
      </c>
      <c r="AZ93" s="432"/>
      <c r="BA93" s="151"/>
      <c r="BB93" s="151"/>
      <c r="BC93" s="151"/>
      <c r="BD93" s="151"/>
      <c r="BE93" s="151"/>
      <c r="BF93" s="152"/>
      <c r="BG93" s="152"/>
      <c r="BH93" s="152"/>
      <c r="BI93" s="152"/>
      <c r="BJ93" s="152"/>
      <c r="BK93" s="152"/>
      <c r="BL93" s="152"/>
      <c r="BM93" s="152"/>
      <c r="BN93" s="152"/>
      <c r="BO93" s="152"/>
      <c r="BP93" s="152"/>
      <c r="BQ93" s="152"/>
      <c r="BR93" s="152"/>
      <c r="BS93" s="295"/>
      <c r="BT93" s="178"/>
      <c r="BU93" s="153"/>
      <c r="BV93" s="153"/>
    </row>
    <row r="94" spans="1:80" ht="18.649999999999999" customHeight="1">
      <c r="A94" s="179"/>
      <c r="B94" s="249"/>
      <c r="C94" s="1571"/>
      <c r="D94" s="1572"/>
      <c r="E94" s="1572"/>
      <c r="F94" s="1572"/>
      <c r="G94" s="1572"/>
      <c r="H94" s="1572"/>
      <c r="I94" s="415"/>
      <c r="J94" s="416"/>
      <c r="K94" s="1574"/>
      <c r="L94" s="1574"/>
      <c r="M94" s="416"/>
      <c r="N94" s="416"/>
      <c r="O94" s="1574"/>
      <c r="P94" s="1574"/>
      <c r="Q94" s="417"/>
      <c r="R94" s="1433"/>
      <c r="S94" s="1433"/>
      <c r="T94" s="1433"/>
      <c r="U94" s="1433"/>
      <c r="V94" s="1433"/>
      <c r="W94" s="1433"/>
      <c r="X94" s="415"/>
      <c r="Y94" s="416"/>
      <c r="Z94" s="1574"/>
      <c r="AA94" s="1574"/>
      <c r="AB94" s="416"/>
      <c r="AC94" s="416"/>
      <c r="AD94" s="1574"/>
      <c r="AE94" s="1574"/>
      <c r="AF94" s="417"/>
      <c r="AG94" s="1433"/>
      <c r="AH94" s="1433"/>
      <c r="AI94" s="1433"/>
      <c r="AJ94" s="1433"/>
      <c r="AK94" s="1433"/>
      <c r="AL94" s="1433"/>
      <c r="AM94" s="410"/>
      <c r="AN94" s="411"/>
      <c r="AO94" s="1577"/>
      <c r="AP94" s="1577"/>
      <c r="AQ94" s="411"/>
      <c r="AR94" s="411"/>
      <c r="AS94" s="1577"/>
      <c r="AT94" s="1579"/>
      <c r="AU94" s="160"/>
      <c r="AV94" s="151">
        <v>1</v>
      </c>
      <c r="AW94" s="151">
        <v>1</v>
      </c>
      <c r="AX94" s="166">
        <v>1</v>
      </c>
      <c r="AY94" s="151"/>
      <c r="AZ94" s="432"/>
      <c r="BA94" s="151"/>
      <c r="BB94" s="151"/>
      <c r="BC94" s="151"/>
      <c r="BD94" s="151"/>
      <c r="BE94" s="151"/>
      <c r="BF94" s="152"/>
      <c r="BG94" s="152"/>
      <c r="BH94" s="152"/>
      <c r="BI94" s="152"/>
      <c r="BJ94" s="152"/>
      <c r="BK94" s="152"/>
      <c r="BL94" s="152"/>
      <c r="BM94" s="152"/>
      <c r="BN94" s="152"/>
      <c r="BO94" s="152"/>
      <c r="BP94" s="152"/>
      <c r="BQ94" s="152"/>
      <c r="BR94" s="152"/>
      <c r="BU94" s="153"/>
      <c r="BV94" s="153"/>
    </row>
    <row r="95" spans="1:80" s="154" customFormat="1" ht="18.649999999999999" customHeight="1">
      <c r="A95" s="179"/>
      <c r="B95" s="249"/>
      <c r="C95" s="1571" t="s">
        <v>1080</v>
      </c>
      <c r="D95" s="1572"/>
      <c r="E95" s="1572"/>
      <c r="F95" s="1572"/>
      <c r="G95" s="1572"/>
      <c r="H95" s="1572"/>
      <c r="I95" s="412"/>
      <c r="J95" s="413"/>
      <c r="K95" s="1573" t="s">
        <v>1093</v>
      </c>
      <c r="L95" s="1573"/>
      <c r="M95" s="413"/>
      <c r="N95" s="413"/>
      <c r="O95" s="1573" t="s">
        <v>1094</v>
      </c>
      <c r="P95" s="1573"/>
      <c r="Q95" s="414"/>
      <c r="R95" s="1575" t="s">
        <v>1081</v>
      </c>
      <c r="S95" s="1433"/>
      <c r="T95" s="1433"/>
      <c r="U95" s="1433"/>
      <c r="V95" s="1433"/>
      <c r="W95" s="1433"/>
      <c r="X95" s="412"/>
      <c r="Y95" s="413"/>
      <c r="Z95" s="1573" t="s">
        <v>1093</v>
      </c>
      <c r="AA95" s="1573"/>
      <c r="AB95" s="413"/>
      <c r="AC95" s="413"/>
      <c r="AD95" s="1573" t="s">
        <v>1094</v>
      </c>
      <c r="AE95" s="1573"/>
      <c r="AF95" s="414"/>
      <c r="AG95" s="1433" t="s">
        <v>1177</v>
      </c>
      <c r="AH95" s="1433"/>
      <c r="AI95" s="1433"/>
      <c r="AJ95" s="1433"/>
      <c r="AK95" s="1433"/>
      <c r="AL95" s="1433"/>
      <c r="AM95" s="408"/>
      <c r="AN95" s="409"/>
      <c r="AO95" s="1576" t="s">
        <v>1093</v>
      </c>
      <c r="AP95" s="1576"/>
      <c r="AQ95" s="409"/>
      <c r="AR95" s="409"/>
      <c r="AS95" s="1576" t="s">
        <v>1094</v>
      </c>
      <c r="AT95" s="1578"/>
      <c r="AU95" s="160"/>
      <c r="AV95" s="433" t="s">
        <v>1085</v>
      </c>
      <c r="AW95" s="266" t="s">
        <v>1086</v>
      </c>
      <c r="AX95" s="433" t="s">
        <v>1178</v>
      </c>
      <c r="AY95" s="151"/>
      <c r="AZ95" s="432"/>
      <c r="BA95" s="151"/>
      <c r="BB95" s="151"/>
      <c r="BC95" s="151"/>
      <c r="BD95" s="151"/>
      <c r="BE95" s="151"/>
      <c r="BF95" s="152"/>
      <c r="BG95" s="152"/>
      <c r="BH95" s="152"/>
      <c r="BI95" s="152"/>
      <c r="BJ95" s="152"/>
      <c r="BK95" s="152"/>
      <c r="BL95" s="152"/>
      <c r="BM95" s="152"/>
      <c r="BN95" s="152"/>
      <c r="BO95" s="152"/>
      <c r="BP95" s="152"/>
      <c r="BQ95" s="152"/>
      <c r="BR95" s="152"/>
      <c r="BS95" s="297"/>
      <c r="BT95" s="158"/>
      <c r="BU95" s="153"/>
      <c r="BV95" s="153"/>
      <c r="BW95" s="153"/>
      <c r="BX95" s="153"/>
      <c r="BY95" s="153"/>
      <c r="BZ95" s="153"/>
      <c r="CA95" s="153"/>
      <c r="CB95" s="153"/>
    </row>
    <row r="96" spans="1:80" s="154" customFormat="1" ht="18.649999999999999" customHeight="1">
      <c r="A96" s="179"/>
      <c r="B96" s="249"/>
      <c r="C96" s="1571"/>
      <c r="D96" s="1572"/>
      <c r="E96" s="1572"/>
      <c r="F96" s="1572"/>
      <c r="G96" s="1572"/>
      <c r="H96" s="1572"/>
      <c r="I96" s="415"/>
      <c r="J96" s="416"/>
      <c r="K96" s="1574"/>
      <c r="L96" s="1574"/>
      <c r="M96" s="416"/>
      <c r="N96" s="416"/>
      <c r="O96" s="1574"/>
      <c r="P96" s="1574"/>
      <c r="Q96" s="417"/>
      <c r="R96" s="1433"/>
      <c r="S96" s="1433"/>
      <c r="T96" s="1433"/>
      <c r="U96" s="1433"/>
      <c r="V96" s="1433"/>
      <c r="W96" s="1433"/>
      <c r="X96" s="415"/>
      <c r="Y96" s="416"/>
      <c r="Z96" s="1574"/>
      <c r="AA96" s="1574"/>
      <c r="AB96" s="416"/>
      <c r="AC96" s="416"/>
      <c r="AD96" s="1574"/>
      <c r="AE96" s="1574"/>
      <c r="AF96" s="417"/>
      <c r="AG96" s="1433"/>
      <c r="AH96" s="1433"/>
      <c r="AI96" s="1433"/>
      <c r="AJ96" s="1433"/>
      <c r="AK96" s="1433"/>
      <c r="AL96" s="1433"/>
      <c r="AM96" s="410"/>
      <c r="AN96" s="411"/>
      <c r="AO96" s="1577"/>
      <c r="AP96" s="1577"/>
      <c r="AQ96" s="411"/>
      <c r="AR96" s="411"/>
      <c r="AS96" s="1577"/>
      <c r="AT96" s="1579"/>
      <c r="AU96" s="160"/>
      <c r="AV96" s="166">
        <v>1</v>
      </c>
      <c r="AW96" s="151">
        <v>1</v>
      </c>
      <c r="AX96" s="166">
        <v>1</v>
      </c>
      <c r="AY96" s="151"/>
      <c r="AZ96" s="432"/>
      <c r="BA96" s="151"/>
      <c r="BB96" s="151"/>
      <c r="BC96" s="151"/>
      <c r="BD96" s="151"/>
      <c r="BE96" s="151"/>
      <c r="BF96" s="152"/>
      <c r="BG96" s="152"/>
      <c r="BH96" s="152"/>
      <c r="BI96" s="152"/>
      <c r="BJ96" s="152"/>
      <c r="BK96" s="152"/>
      <c r="BL96" s="152"/>
      <c r="BM96" s="152"/>
      <c r="BN96" s="152"/>
      <c r="BO96" s="152"/>
      <c r="BP96" s="152"/>
      <c r="BQ96" s="152"/>
      <c r="BR96" s="152"/>
      <c r="BS96" s="297"/>
      <c r="BT96" s="158"/>
      <c r="BU96" s="153"/>
      <c r="BV96" s="153"/>
      <c r="BW96" s="153"/>
      <c r="BX96" s="153"/>
      <c r="BY96" s="153"/>
      <c r="BZ96" s="153"/>
      <c r="CA96" s="153"/>
      <c r="CB96" s="153"/>
    </row>
    <row r="97" spans="1:80" s="154" customFormat="1" ht="18.649999999999999" customHeight="1">
      <c r="A97" s="179"/>
      <c r="B97" s="249"/>
      <c r="C97" s="1405" t="s">
        <v>1097</v>
      </c>
      <c r="D97" s="1406"/>
      <c r="E97" s="1406"/>
      <c r="F97" s="1406"/>
      <c r="G97" s="1406"/>
      <c r="H97" s="1406"/>
      <c r="I97" s="1406"/>
      <c r="J97" s="1406"/>
      <c r="K97" s="1407"/>
      <c r="L97" s="1539" t="s">
        <v>1109</v>
      </c>
      <c r="M97" s="1539"/>
      <c r="N97" s="1539"/>
      <c r="O97" s="1539"/>
      <c r="P97" s="1539"/>
      <c r="Q97" s="1539"/>
      <c r="R97" s="1539"/>
      <c r="S97" s="1539"/>
      <c r="T97" s="1539"/>
      <c r="U97" s="1539"/>
      <c r="V97" s="1541" t="s">
        <v>1098</v>
      </c>
      <c r="W97" s="1542"/>
      <c r="X97" s="1542"/>
      <c r="Y97" s="1542"/>
      <c r="Z97" s="1542"/>
      <c r="AA97" s="1542"/>
      <c r="AB97" s="1542"/>
      <c r="AC97" s="1543"/>
      <c r="AD97" s="1547" t="s">
        <v>1091</v>
      </c>
      <c r="AE97" s="1547"/>
      <c r="AF97" s="1549"/>
      <c r="AG97" s="1549"/>
      <c r="AH97" s="1547" t="s">
        <v>1090</v>
      </c>
      <c r="AI97" s="1547"/>
      <c r="AJ97" s="1549"/>
      <c r="AK97" s="1549"/>
      <c r="AL97" s="1547" t="s">
        <v>1089</v>
      </c>
      <c r="AM97" s="1547"/>
      <c r="AN97" s="1565" t="s">
        <v>5668</v>
      </c>
      <c r="AO97" s="1566"/>
      <c r="AP97" s="1566"/>
      <c r="AQ97" s="1567"/>
      <c r="AR97" s="2945"/>
      <c r="AS97" s="2945"/>
      <c r="AT97" s="2947" t="s">
        <v>767</v>
      </c>
      <c r="AU97" s="160"/>
      <c r="AV97" s="166">
        <f>IF(L97="",0,VALUE(LEFT(L97,2)))</f>
        <v>2</v>
      </c>
      <c r="AW97" s="151"/>
      <c r="AX97" s="166"/>
      <c r="AY97" s="151"/>
      <c r="AZ97" s="432"/>
      <c r="BA97" s="151"/>
      <c r="BB97" s="151"/>
      <c r="BC97" s="151"/>
      <c r="BD97" s="151"/>
      <c r="BE97" s="151"/>
      <c r="BF97" s="152"/>
      <c r="BG97" s="152"/>
      <c r="BH97" s="152"/>
      <c r="BI97" s="152"/>
      <c r="BJ97" s="152"/>
      <c r="BK97" s="152"/>
      <c r="BL97" s="152"/>
      <c r="BM97" s="152"/>
      <c r="BN97" s="152"/>
      <c r="BO97" s="152"/>
      <c r="BP97" s="152"/>
      <c r="BQ97" s="152"/>
      <c r="BR97" s="152"/>
      <c r="BS97" s="297"/>
      <c r="BT97" s="158"/>
      <c r="BU97" s="153"/>
      <c r="BV97" s="153"/>
      <c r="BW97" s="153"/>
      <c r="BX97" s="153"/>
      <c r="BY97" s="153"/>
      <c r="BZ97" s="153"/>
      <c r="CA97" s="153"/>
      <c r="CB97" s="153"/>
    </row>
    <row r="98" spans="1:80" s="154" customFormat="1" ht="18.649999999999999" customHeight="1">
      <c r="A98" s="179"/>
      <c r="B98" s="249"/>
      <c r="C98" s="1427"/>
      <c r="D98" s="1428"/>
      <c r="E98" s="1428"/>
      <c r="F98" s="1428"/>
      <c r="G98" s="1428"/>
      <c r="H98" s="1428"/>
      <c r="I98" s="1428"/>
      <c r="J98" s="1428"/>
      <c r="K98" s="1429"/>
      <c r="L98" s="1540"/>
      <c r="M98" s="1540"/>
      <c r="N98" s="1540"/>
      <c r="O98" s="1540"/>
      <c r="P98" s="1540"/>
      <c r="Q98" s="1540"/>
      <c r="R98" s="1540"/>
      <c r="S98" s="1540"/>
      <c r="T98" s="1540"/>
      <c r="U98" s="1540"/>
      <c r="V98" s="1544"/>
      <c r="W98" s="1545"/>
      <c r="X98" s="1545"/>
      <c r="Y98" s="1545"/>
      <c r="Z98" s="1545"/>
      <c r="AA98" s="1545"/>
      <c r="AB98" s="1545"/>
      <c r="AC98" s="1546"/>
      <c r="AD98" s="1548"/>
      <c r="AE98" s="1548"/>
      <c r="AF98" s="1550"/>
      <c r="AG98" s="1550"/>
      <c r="AH98" s="1548"/>
      <c r="AI98" s="1548"/>
      <c r="AJ98" s="1550"/>
      <c r="AK98" s="1550"/>
      <c r="AL98" s="1548"/>
      <c r="AM98" s="1548"/>
      <c r="AN98" s="1568"/>
      <c r="AO98" s="1569"/>
      <c r="AP98" s="1569"/>
      <c r="AQ98" s="1570"/>
      <c r="AR98" s="2946"/>
      <c r="AS98" s="2946"/>
      <c r="AT98" s="2948"/>
      <c r="AU98" s="160"/>
      <c r="AV98" s="166" t="str">
        <f>IF(AV97=3,IF(OR(AF97="",AJ97=""),"NG","OK"),IF(AV97=0,"NG","OK"))</f>
        <v>OK</v>
      </c>
      <c r="AW98" s="151" t="str">
        <f>IF(OR(AW96=2,AX96=2),IF(AR97="","NG","OK"),"OK")</f>
        <v>OK</v>
      </c>
      <c r="AX98" s="166"/>
      <c r="AY98" s="151"/>
      <c r="AZ98" s="432"/>
      <c r="BA98" s="151"/>
      <c r="BB98" s="151"/>
      <c r="BC98" s="151"/>
      <c r="BD98" s="151"/>
      <c r="BE98" s="151"/>
      <c r="BF98" s="152"/>
      <c r="BG98" s="152"/>
      <c r="BH98" s="152"/>
      <c r="BI98" s="152"/>
      <c r="BJ98" s="152"/>
      <c r="BK98" s="152"/>
      <c r="BL98" s="152"/>
      <c r="BM98" s="152"/>
      <c r="BN98" s="152"/>
      <c r="BO98" s="152"/>
      <c r="BP98" s="152"/>
      <c r="BQ98" s="152"/>
      <c r="BR98" s="152"/>
      <c r="BS98" s="297"/>
      <c r="BT98" s="158"/>
      <c r="BU98" s="153"/>
      <c r="BV98" s="153"/>
      <c r="BW98" s="153"/>
      <c r="BX98" s="153"/>
      <c r="BY98" s="153"/>
      <c r="BZ98" s="153"/>
      <c r="CA98" s="153"/>
      <c r="CB98" s="153"/>
    </row>
    <row r="99" spans="1:80" ht="18.649999999999999" customHeight="1">
      <c r="A99" s="179"/>
      <c r="B99" s="249"/>
      <c r="C99" s="1409" t="s">
        <v>1179</v>
      </c>
      <c r="D99" s="1410"/>
      <c r="E99" s="1410"/>
      <c r="F99" s="1410"/>
      <c r="G99" s="1410"/>
      <c r="H99" s="1410"/>
      <c r="I99" s="1410"/>
      <c r="J99" s="1410"/>
      <c r="K99" s="1411"/>
      <c r="L99" s="1732" t="s">
        <v>2233</v>
      </c>
      <c r="M99" s="1732"/>
      <c r="N99" s="1732"/>
      <c r="O99" s="1732"/>
      <c r="P99" s="1732"/>
      <c r="Q99" s="1732"/>
      <c r="R99" s="1732"/>
      <c r="S99" s="1732"/>
      <c r="T99" s="1732"/>
      <c r="U99" s="1732"/>
      <c r="V99" s="1649" t="s">
        <v>1180</v>
      </c>
      <c r="W99" s="1650"/>
      <c r="X99" s="1650"/>
      <c r="Y99" s="1650"/>
      <c r="Z99" s="1650"/>
      <c r="AA99" s="1650"/>
      <c r="AB99" s="1650"/>
      <c r="AC99" s="1651"/>
      <c r="AD99" s="1547" t="s">
        <v>1091</v>
      </c>
      <c r="AE99" s="1547"/>
      <c r="AF99" s="1549"/>
      <c r="AG99" s="1549"/>
      <c r="AH99" s="1547" t="s">
        <v>1090</v>
      </c>
      <c r="AI99" s="1547"/>
      <c r="AJ99" s="1549"/>
      <c r="AK99" s="1549"/>
      <c r="AL99" s="1547" t="s">
        <v>1089</v>
      </c>
      <c r="AM99" s="1547"/>
      <c r="AN99" s="440"/>
      <c r="AO99" s="438"/>
      <c r="AP99" s="438"/>
      <c r="AQ99" s="438"/>
      <c r="AR99" s="435"/>
      <c r="AS99" s="426"/>
      <c r="AT99" s="427"/>
      <c r="AU99" s="160"/>
      <c r="AV99" s="166">
        <f>IF(L99="",0,VALUE(LEFT(L99,2)))</f>
        <v>3</v>
      </c>
      <c r="AW99" s="151"/>
      <c r="AY99" s="151"/>
      <c r="AZ99" s="432"/>
      <c r="BA99" s="151"/>
      <c r="BB99" s="151"/>
      <c r="BC99" s="151"/>
      <c r="BD99" s="151"/>
      <c r="BE99" s="151"/>
      <c r="BF99" s="152"/>
      <c r="BG99" s="152"/>
      <c r="BH99" s="152"/>
      <c r="BI99" s="152"/>
      <c r="BJ99" s="152"/>
      <c r="BK99" s="152"/>
      <c r="BL99" s="152"/>
      <c r="BM99" s="152"/>
      <c r="BN99" s="152"/>
      <c r="BO99" s="152"/>
      <c r="BP99" s="152"/>
      <c r="BQ99" s="152"/>
      <c r="BR99" s="152"/>
      <c r="BU99" s="153"/>
      <c r="BV99" s="153"/>
    </row>
    <row r="100" spans="1:80" ht="18.649999999999999" customHeight="1" thickBot="1">
      <c r="A100" s="179"/>
      <c r="B100" s="249"/>
      <c r="C100" s="1412"/>
      <c r="D100" s="1413"/>
      <c r="E100" s="1413"/>
      <c r="F100" s="1413"/>
      <c r="G100" s="1413"/>
      <c r="H100" s="1413"/>
      <c r="I100" s="1413"/>
      <c r="J100" s="1413"/>
      <c r="K100" s="1414"/>
      <c r="L100" s="1837"/>
      <c r="M100" s="1837"/>
      <c r="N100" s="1837"/>
      <c r="O100" s="1837"/>
      <c r="P100" s="1837"/>
      <c r="Q100" s="1837"/>
      <c r="R100" s="1837"/>
      <c r="S100" s="1837"/>
      <c r="T100" s="1837"/>
      <c r="U100" s="1837"/>
      <c r="V100" s="1838"/>
      <c r="W100" s="1839"/>
      <c r="X100" s="1839"/>
      <c r="Y100" s="1839"/>
      <c r="Z100" s="1839"/>
      <c r="AA100" s="1839"/>
      <c r="AB100" s="1839"/>
      <c r="AC100" s="1840"/>
      <c r="AD100" s="1548"/>
      <c r="AE100" s="1548"/>
      <c r="AF100" s="1550"/>
      <c r="AG100" s="1550"/>
      <c r="AH100" s="1548"/>
      <c r="AI100" s="1548"/>
      <c r="AJ100" s="1550"/>
      <c r="AK100" s="1550"/>
      <c r="AL100" s="1548"/>
      <c r="AM100" s="1548"/>
      <c r="AN100" s="441"/>
      <c r="AO100" s="439"/>
      <c r="AP100" s="439"/>
      <c r="AQ100" s="439"/>
      <c r="AR100" s="436"/>
      <c r="AS100" s="428"/>
      <c r="AT100" s="429"/>
      <c r="AU100" s="160"/>
      <c r="AV100" s="166" t="str">
        <f>IF(AV99=2,IF(OR(AF99="",AJ99=""),"NG","OK"),IF(AV99=0,"NG","OK"))</f>
        <v>OK</v>
      </c>
      <c r="AW100" s="151"/>
      <c r="AY100" s="151"/>
      <c r="AZ100" s="432"/>
      <c r="BA100" s="151"/>
      <c r="BB100" s="151"/>
      <c r="BC100" s="151"/>
      <c r="BD100" s="151"/>
      <c r="BE100" s="151"/>
      <c r="BF100" s="152"/>
      <c r="BG100" s="152"/>
      <c r="BH100" s="152"/>
      <c r="BI100" s="152"/>
      <c r="BJ100" s="152"/>
      <c r="BK100" s="152"/>
      <c r="BL100" s="152"/>
      <c r="BM100" s="152"/>
      <c r="BN100" s="152"/>
      <c r="BO100" s="152"/>
      <c r="BP100" s="152"/>
      <c r="BQ100" s="152"/>
      <c r="BR100" s="152"/>
      <c r="BU100" s="153"/>
      <c r="BV100" s="153"/>
    </row>
    <row r="101" spans="1:80" s="154" customFormat="1" ht="18.649999999999999" customHeight="1">
      <c r="A101" s="179"/>
      <c r="B101" s="249"/>
      <c r="C101" s="165"/>
      <c r="D101" s="180"/>
      <c r="E101" s="180"/>
      <c r="F101" s="180"/>
      <c r="G101" s="180"/>
      <c r="H101" s="180"/>
      <c r="I101" s="180"/>
      <c r="J101" s="180"/>
      <c r="K101" s="180"/>
      <c r="L101" s="180"/>
      <c r="M101" s="180"/>
      <c r="N101" s="180"/>
      <c r="O101" s="180"/>
      <c r="P101" s="180"/>
      <c r="Q101" s="180"/>
      <c r="R101" s="180"/>
      <c r="S101" s="180"/>
      <c r="T101" s="180"/>
      <c r="U101" s="180"/>
      <c r="V101" s="180"/>
      <c r="W101" s="180"/>
      <c r="X101" s="180"/>
      <c r="Y101" s="180"/>
      <c r="Z101" s="180"/>
      <c r="AA101" s="180"/>
      <c r="AB101" s="180"/>
      <c r="AC101" s="180"/>
      <c r="AD101" s="180"/>
      <c r="AE101" s="180"/>
      <c r="AF101" s="180"/>
      <c r="AG101" s="180"/>
      <c r="AH101" s="180"/>
      <c r="AI101" s="180"/>
      <c r="AJ101" s="180"/>
      <c r="AK101" s="180"/>
      <c r="AL101" s="180"/>
      <c r="AM101" s="180"/>
      <c r="AN101" s="180"/>
      <c r="AO101" s="180"/>
      <c r="AP101" s="180"/>
      <c r="AQ101" s="180"/>
      <c r="AR101" s="180"/>
      <c r="AS101" s="180"/>
      <c r="AT101" s="180"/>
      <c r="AU101" s="160"/>
      <c r="AV101" s="151"/>
      <c r="AW101" s="151"/>
      <c r="AX101" s="151"/>
      <c r="AY101" s="151"/>
      <c r="AZ101" s="151"/>
      <c r="BA101" s="151"/>
      <c r="BB101" s="151"/>
      <c r="BC101" s="151"/>
      <c r="BD101" s="151"/>
      <c r="BE101" s="151"/>
      <c r="BF101" s="152"/>
      <c r="BG101" s="152"/>
      <c r="BH101" s="152"/>
      <c r="BI101" s="152"/>
      <c r="BJ101" s="152"/>
      <c r="BK101" s="152"/>
      <c r="BL101" s="152"/>
      <c r="BM101" s="152"/>
      <c r="BN101" s="152"/>
      <c r="BO101" s="152"/>
      <c r="BP101" s="152"/>
      <c r="BQ101" s="152"/>
      <c r="BR101" s="152"/>
      <c r="BS101" s="297"/>
      <c r="BT101" s="158"/>
      <c r="BU101" s="152"/>
      <c r="BV101" s="152"/>
      <c r="BW101" s="153"/>
      <c r="BX101" s="153"/>
      <c r="BY101" s="153"/>
      <c r="BZ101" s="153"/>
      <c r="CA101" s="153"/>
      <c r="CB101" s="153"/>
    </row>
    <row r="102" spans="1:80" ht="18.649999999999999" customHeight="1">
      <c r="A102" s="179"/>
      <c r="B102" s="249"/>
      <c r="C102" s="148"/>
      <c r="D102" s="148"/>
      <c r="E102" s="148"/>
      <c r="F102" s="148"/>
      <c r="G102" s="148"/>
      <c r="H102" s="148"/>
      <c r="I102" s="148"/>
      <c r="J102" s="148"/>
      <c r="K102" s="148"/>
      <c r="L102" s="148"/>
      <c r="M102" s="1395" t="s">
        <v>948</v>
      </c>
      <c r="N102" s="1474"/>
      <c r="O102" s="1474"/>
      <c r="P102" s="1474"/>
      <c r="Q102" s="1474"/>
      <c r="R102" s="1474"/>
      <c r="S102" s="1474"/>
      <c r="T102" s="1474"/>
      <c r="U102" s="1474"/>
      <c r="V102" s="1474"/>
      <c r="W102" s="1474"/>
      <c r="X102" s="1474"/>
      <c r="Y102" s="1474"/>
      <c r="Z102" s="1474"/>
      <c r="AA102" s="1474"/>
      <c r="AB102" s="1474"/>
      <c r="AC102" s="1474"/>
      <c r="AD102" s="1474"/>
      <c r="AE102" s="1474"/>
      <c r="AF102" s="1474"/>
      <c r="AG102" s="1474"/>
      <c r="AH102" s="1474"/>
      <c r="AI102" s="1474"/>
      <c r="AJ102" s="1474"/>
      <c r="AK102" s="1474"/>
      <c r="AL102" s="1474"/>
      <c r="AM102" s="1474"/>
      <c r="AN102" s="1474"/>
      <c r="AO102" s="1474"/>
      <c r="AP102" s="1474"/>
      <c r="AQ102" s="1474"/>
      <c r="AR102" s="1474"/>
      <c r="AS102" s="1474"/>
      <c r="AT102" s="1474"/>
      <c r="AU102" s="160"/>
      <c r="AV102" s="151"/>
      <c r="AW102" s="151"/>
      <c r="AX102" s="151"/>
      <c r="AY102" s="151"/>
      <c r="AZ102" s="151"/>
      <c r="BA102" s="151"/>
      <c r="BB102" s="151"/>
      <c r="BC102" s="151"/>
      <c r="BD102" s="151"/>
      <c r="BE102" s="151"/>
      <c r="BF102" s="152"/>
      <c r="BG102" s="152"/>
      <c r="BH102" s="152"/>
      <c r="BI102" s="152"/>
      <c r="BJ102" s="152"/>
      <c r="BK102" s="152"/>
      <c r="BL102" s="152"/>
      <c r="BM102" s="152"/>
      <c r="BN102" s="152"/>
      <c r="BO102" s="152"/>
      <c r="BP102" s="152"/>
      <c r="BQ102" s="152"/>
      <c r="BR102" s="152"/>
      <c r="BU102" s="152"/>
      <c r="BV102" s="152"/>
    </row>
    <row r="103" spans="1:80" ht="18.649999999999999" customHeight="1" thickBot="1">
      <c r="A103" s="179"/>
      <c r="B103" s="249"/>
      <c r="C103" s="148"/>
      <c r="D103" s="148"/>
      <c r="E103" s="148"/>
      <c r="F103" s="148"/>
      <c r="G103" s="148"/>
      <c r="H103" s="148"/>
      <c r="I103" s="148"/>
      <c r="J103" s="148"/>
      <c r="K103" s="148"/>
      <c r="L103" s="148"/>
      <c r="M103" s="1475"/>
      <c r="N103" s="1475"/>
      <c r="O103" s="1475"/>
      <c r="P103" s="1475"/>
      <c r="Q103" s="1475"/>
      <c r="R103" s="1475"/>
      <c r="S103" s="1475"/>
      <c r="T103" s="1475"/>
      <c r="U103" s="1475"/>
      <c r="V103" s="1475"/>
      <c r="W103" s="1475"/>
      <c r="X103" s="1475"/>
      <c r="Y103" s="1475"/>
      <c r="Z103" s="1475"/>
      <c r="AA103" s="1475"/>
      <c r="AB103" s="1475"/>
      <c r="AC103" s="1475"/>
      <c r="AD103" s="1475"/>
      <c r="AE103" s="1475"/>
      <c r="AF103" s="1475"/>
      <c r="AG103" s="1475"/>
      <c r="AH103" s="1475"/>
      <c r="AI103" s="1475"/>
      <c r="AJ103" s="1475"/>
      <c r="AK103" s="1475"/>
      <c r="AL103" s="1475"/>
      <c r="AM103" s="1475"/>
      <c r="AN103" s="1475"/>
      <c r="AO103" s="1475"/>
      <c r="AP103" s="1475"/>
      <c r="AQ103" s="1475"/>
      <c r="AR103" s="1475"/>
      <c r="AS103" s="1475"/>
      <c r="AT103" s="1475"/>
      <c r="AU103" s="160"/>
      <c r="AV103" s="151"/>
      <c r="AW103" s="151"/>
      <c r="AX103" s="151"/>
      <c r="AY103" s="151"/>
      <c r="AZ103" s="151"/>
      <c r="BA103" s="151"/>
      <c r="BB103" s="151"/>
      <c r="BC103" s="151"/>
      <c r="BD103" s="151"/>
      <c r="BE103" s="151"/>
      <c r="BF103" s="152"/>
      <c r="BG103" s="152"/>
      <c r="BH103" s="152"/>
      <c r="BI103" s="152"/>
      <c r="BJ103" s="152"/>
      <c r="BK103" s="152"/>
      <c r="BL103" s="152"/>
      <c r="BM103" s="152"/>
      <c r="BN103" s="152"/>
      <c r="BO103" s="152"/>
      <c r="BP103" s="152"/>
      <c r="BQ103" s="152"/>
      <c r="BR103" s="152"/>
      <c r="BU103" s="152"/>
      <c r="BV103" s="152"/>
    </row>
    <row r="104" spans="1:80" ht="18.649999999999999" customHeight="1">
      <c r="A104" s="148"/>
      <c r="B104" s="249">
        <f>IF(OR(I104="",AV104=0,AG104="",AV105=0,I106="",K106="",M106="",O106="",V106="",X106="",Z106="",AV108=0,V108="",X108="",Z108="",AB108="",AD108="",AF108="",AH108="",I110="",I112=""),1,0)</f>
        <v>1</v>
      </c>
      <c r="C104" s="1551" t="s">
        <v>563</v>
      </c>
      <c r="D104" s="1552"/>
      <c r="E104" s="1552"/>
      <c r="F104" s="1552"/>
      <c r="G104" s="1552"/>
      <c r="H104" s="1553"/>
      <c r="I104" s="1554"/>
      <c r="J104" s="1555"/>
      <c r="K104" s="1555"/>
      <c r="L104" s="1555"/>
      <c r="M104" s="1555"/>
      <c r="N104" s="1555"/>
      <c r="O104" s="1555"/>
      <c r="P104" s="1555"/>
      <c r="Q104" s="1555"/>
      <c r="R104" s="1556"/>
      <c r="S104" s="354"/>
      <c r="T104" s="1557" t="s">
        <v>564</v>
      </c>
      <c r="U104" s="1557"/>
      <c r="V104" s="181"/>
      <c r="W104" s="1557" t="s">
        <v>565</v>
      </c>
      <c r="X104" s="1557"/>
      <c r="Y104" s="181"/>
      <c r="Z104" s="1557" t="s">
        <v>566</v>
      </c>
      <c r="AA104" s="1558"/>
      <c r="AB104" s="1552" t="s">
        <v>567</v>
      </c>
      <c r="AC104" s="1552"/>
      <c r="AD104" s="1552"/>
      <c r="AE104" s="1552"/>
      <c r="AF104" s="1553"/>
      <c r="AG104" s="1559"/>
      <c r="AH104" s="1559"/>
      <c r="AI104" s="1559"/>
      <c r="AJ104" s="1559"/>
      <c r="AK104" s="1559"/>
      <c r="AL104" s="1559"/>
      <c r="AM104" s="1559"/>
      <c r="AN104" s="1559"/>
      <c r="AO104" s="354"/>
      <c r="AP104" s="1557" t="s">
        <v>568</v>
      </c>
      <c r="AQ104" s="1557"/>
      <c r="AR104" s="181"/>
      <c r="AS104" s="1557" t="s">
        <v>569</v>
      </c>
      <c r="AT104" s="1561"/>
      <c r="AU104" s="160"/>
      <c r="AV104" s="151">
        <v>0</v>
      </c>
      <c r="AW104" s="151"/>
      <c r="AX104" s="151"/>
      <c r="AY104" s="151"/>
      <c r="AZ104" s="151"/>
      <c r="BA104" s="151"/>
      <c r="BB104" s="151"/>
      <c r="BC104" s="151"/>
      <c r="BD104" s="151"/>
      <c r="BE104" s="151"/>
      <c r="BF104" s="152"/>
      <c r="BG104" s="152"/>
      <c r="BH104" s="152"/>
      <c r="BI104" s="152"/>
      <c r="BJ104" s="152"/>
      <c r="BK104" s="152"/>
      <c r="BL104" s="152"/>
      <c r="BM104" s="152"/>
      <c r="BN104" s="152"/>
      <c r="BO104" s="152"/>
      <c r="BP104" s="152"/>
      <c r="BQ104" s="152"/>
      <c r="BR104" s="152"/>
      <c r="BU104" s="152" t="s">
        <v>1064</v>
      </c>
      <c r="BV104" s="152"/>
    </row>
    <row r="105" spans="1:80" ht="18.649999999999999" customHeight="1">
      <c r="A105" s="148"/>
      <c r="B105" s="249"/>
      <c r="C105" s="1427"/>
      <c r="D105" s="1428"/>
      <c r="E105" s="1428"/>
      <c r="F105" s="1428"/>
      <c r="G105" s="1428"/>
      <c r="H105" s="1429"/>
      <c r="I105" s="1440"/>
      <c r="J105" s="1441"/>
      <c r="K105" s="1441"/>
      <c r="L105" s="1441"/>
      <c r="M105" s="1441"/>
      <c r="N105" s="1441"/>
      <c r="O105" s="1441"/>
      <c r="P105" s="1441"/>
      <c r="Q105" s="1441"/>
      <c r="R105" s="1445"/>
      <c r="S105" s="355"/>
      <c r="T105" s="1562" t="s">
        <v>570</v>
      </c>
      <c r="U105" s="1562"/>
      <c r="V105" s="356"/>
      <c r="W105" s="1562" t="s">
        <v>571</v>
      </c>
      <c r="X105" s="1562"/>
      <c r="Y105" s="356"/>
      <c r="Z105" s="1562" t="s">
        <v>572</v>
      </c>
      <c r="AA105" s="1563"/>
      <c r="AB105" s="1428"/>
      <c r="AC105" s="1428"/>
      <c r="AD105" s="1428"/>
      <c r="AE105" s="1428"/>
      <c r="AF105" s="1429"/>
      <c r="AG105" s="1560"/>
      <c r="AH105" s="1560"/>
      <c r="AI105" s="1560"/>
      <c r="AJ105" s="1560"/>
      <c r="AK105" s="1560"/>
      <c r="AL105" s="1560"/>
      <c r="AM105" s="1560"/>
      <c r="AN105" s="1560"/>
      <c r="AO105" s="355"/>
      <c r="AP105" s="1562" t="s">
        <v>573</v>
      </c>
      <c r="AQ105" s="1562"/>
      <c r="AR105" s="356"/>
      <c r="AS105" s="1562" t="s">
        <v>574</v>
      </c>
      <c r="AT105" s="1564"/>
      <c r="AU105" s="160"/>
      <c r="AV105" s="151">
        <v>0</v>
      </c>
      <c r="AX105" s="151"/>
      <c r="AY105" s="151"/>
      <c r="AZ105" s="151"/>
      <c r="BA105" s="151"/>
      <c r="BB105" s="151"/>
      <c r="BC105" s="151"/>
      <c r="BD105" s="151"/>
      <c r="BE105" s="151"/>
      <c r="BF105" s="152"/>
      <c r="BG105" s="152"/>
      <c r="BH105" s="152"/>
      <c r="BI105" s="152"/>
      <c r="BJ105" s="152"/>
      <c r="BK105" s="152"/>
      <c r="BL105" s="152"/>
      <c r="BM105" s="152"/>
      <c r="BN105" s="152"/>
      <c r="BO105" s="152"/>
      <c r="BP105" s="152"/>
      <c r="BQ105" s="152"/>
      <c r="BR105" s="152"/>
      <c r="BU105" s="152"/>
      <c r="BV105" s="152"/>
    </row>
    <row r="106" spans="1:80" ht="18.649999999999999" customHeight="1">
      <c r="A106" s="148"/>
      <c r="B106" s="249"/>
      <c r="C106" s="1492" t="s">
        <v>768</v>
      </c>
      <c r="D106" s="1493"/>
      <c r="E106" s="1493"/>
      <c r="F106" s="1493"/>
      <c r="G106" s="1493"/>
      <c r="H106" s="1494"/>
      <c r="I106" s="1530"/>
      <c r="J106" s="1531"/>
      <c r="K106" s="1531"/>
      <c r="L106" s="1531"/>
      <c r="M106" s="1531"/>
      <c r="N106" s="1531"/>
      <c r="O106" s="1531"/>
      <c r="P106" s="1533"/>
      <c r="Q106" s="1534" t="s">
        <v>769</v>
      </c>
      <c r="R106" s="1483"/>
      <c r="S106" s="1483"/>
      <c r="T106" s="1483"/>
      <c r="U106" s="1484"/>
      <c r="V106" s="1437"/>
      <c r="W106" s="1439"/>
      <c r="X106" s="1536"/>
      <c r="Y106" s="1439"/>
      <c r="Z106" s="1537"/>
      <c r="AA106" s="1538"/>
      <c r="AB106" s="1508" t="s">
        <v>575</v>
      </c>
      <c r="AC106" s="1509"/>
      <c r="AD106" s="1509"/>
      <c r="AE106" s="1509"/>
      <c r="AF106" s="1509"/>
      <c r="AG106" s="1509"/>
      <c r="AH106" s="1509"/>
      <c r="AI106" s="1509"/>
      <c r="AJ106" s="1509"/>
      <c r="AK106" s="1509"/>
      <c r="AL106" s="1509"/>
      <c r="AM106" s="1509"/>
      <c r="AN106" s="1509"/>
      <c r="AO106" s="1509"/>
      <c r="AP106" s="1509"/>
      <c r="AQ106" s="1509"/>
      <c r="AR106" s="1509"/>
      <c r="AS106" s="1509"/>
      <c r="AT106" s="1510"/>
      <c r="AU106" s="160"/>
      <c r="AV106" s="151"/>
      <c r="AW106" s="151"/>
      <c r="AX106" s="151"/>
      <c r="AY106" s="151"/>
      <c r="AZ106" s="151"/>
      <c r="BA106" s="151"/>
      <c r="BB106" s="151"/>
      <c r="BC106" s="151"/>
      <c r="BD106" s="151"/>
      <c r="BE106" s="151"/>
      <c r="BF106" s="152"/>
      <c r="BG106" s="152"/>
      <c r="BH106" s="152"/>
      <c r="BI106" s="152"/>
      <c r="BJ106" s="152"/>
      <c r="BK106" s="152"/>
      <c r="BL106" s="152"/>
      <c r="BM106" s="152"/>
      <c r="BN106" s="152"/>
      <c r="BO106" s="152"/>
      <c r="BP106" s="152"/>
      <c r="BQ106" s="152"/>
      <c r="BR106" s="152"/>
      <c r="BU106" s="152"/>
      <c r="BV106" s="152"/>
    </row>
    <row r="107" spans="1:80" ht="18.649999999999999" customHeight="1">
      <c r="A107" s="148"/>
      <c r="B107" s="249"/>
      <c r="C107" s="1461"/>
      <c r="D107" s="1462"/>
      <c r="E107" s="1462"/>
      <c r="F107" s="1462"/>
      <c r="G107" s="1462"/>
      <c r="H107" s="1463"/>
      <c r="I107" s="1532"/>
      <c r="J107" s="1522"/>
      <c r="K107" s="1522"/>
      <c r="L107" s="1522"/>
      <c r="M107" s="1522"/>
      <c r="N107" s="1522"/>
      <c r="O107" s="1522"/>
      <c r="P107" s="1523"/>
      <c r="Q107" s="1535"/>
      <c r="R107" s="1462"/>
      <c r="S107" s="1462"/>
      <c r="T107" s="1462"/>
      <c r="U107" s="1463"/>
      <c r="V107" s="1440"/>
      <c r="W107" s="1442"/>
      <c r="X107" s="1507"/>
      <c r="Y107" s="1442"/>
      <c r="Z107" s="1522"/>
      <c r="AA107" s="1523"/>
      <c r="AB107" s="1511"/>
      <c r="AC107" s="1512"/>
      <c r="AD107" s="1512"/>
      <c r="AE107" s="1512"/>
      <c r="AF107" s="1512"/>
      <c r="AG107" s="1512"/>
      <c r="AH107" s="1512"/>
      <c r="AI107" s="1512"/>
      <c r="AJ107" s="1512"/>
      <c r="AK107" s="1512"/>
      <c r="AL107" s="1512"/>
      <c r="AM107" s="1512"/>
      <c r="AN107" s="1512"/>
      <c r="AO107" s="1512"/>
      <c r="AP107" s="1512"/>
      <c r="AQ107" s="1512"/>
      <c r="AR107" s="1512"/>
      <c r="AS107" s="1512"/>
      <c r="AT107" s="1513"/>
      <c r="AU107" s="160"/>
      <c r="AV107" s="151"/>
      <c r="AW107" s="151"/>
      <c r="AX107" s="151"/>
      <c r="AY107" s="151"/>
      <c r="AZ107" s="151"/>
      <c r="BA107" s="151"/>
      <c r="BB107" s="151"/>
      <c r="BC107" s="151"/>
      <c r="BD107" s="151"/>
      <c r="BE107" s="151"/>
      <c r="BF107" s="152"/>
      <c r="BG107" s="152"/>
      <c r="BH107" s="152"/>
      <c r="BI107" s="152"/>
      <c r="BJ107" s="152"/>
      <c r="BK107" s="152"/>
      <c r="BL107" s="152"/>
      <c r="BM107" s="152"/>
      <c r="BN107" s="152"/>
      <c r="BO107" s="152"/>
      <c r="BP107" s="152"/>
      <c r="BQ107" s="152"/>
      <c r="BR107" s="152"/>
      <c r="BU107" s="152"/>
      <c r="BV107" s="152"/>
    </row>
    <row r="108" spans="1:80" ht="18.649999999999999" customHeight="1">
      <c r="A108" s="148"/>
      <c r="B108" s="249"/>
      <c r="C108" s="1492" t="s">
        <v>576</v>
      </c>
      <c r="D108" s="1493"/>
      <c r="E108" s="1493"/>
      <c r="F108" s="1493"/>
      <c r="G108" s="1493"/>
      <c r="H108" s="1493"/>
      <c r="I108" s="1514"/>
      <c r="J108" s="1516" t="s">
        <v>577</v>
      </c>
      <c r="K108" s="1516"/>
      <c r="L108" s="419"/>
      <c r="M108" s="1516"/>
      <c r="N108" s="1516" t="s">
        <v>578</v>
      </c>
      <c r="O108" s="1516"/>
      <c r="P108" s="1518"/>
      <c r="Q108" s="1493" t="s">
        <v>770</v>
      </c>
      <c r="R108" s="1493"/>
      <c r="S108" s="1493"/>
      <c r="T108" s="1493"/>
      <c r="U108" s="1494"/>
      <c r="V108" s="1504"/>
      <c r="W108" s="1505"/>
      <c r="X108" s="1506"/>
      <c r="Y108" s="1505"/>
      <c r="Z108" s="1506"/>
      <c r="AA108" s="1505"/>
      <c r="AB108" s="1506"/>
      <c r="AC108" s="1505"/>
      <c r="AD108" s="1506"/>
      <c r="AE108" s="1505"/>
      <c r="AF108" s="1506"/>
      <c r="AG108" s="1505"/>
      <c r="AH108" s="1520"/>
      <c r="AI108" s="1521"/>
      <c r="AJ108" s="1524" t="s">
        <v>1233</v>
      </c>
      <c r="AK108" s="1525"/>
      <c r="AL108" s="1525"/>
      <c r="AM108" s="1525"/>
      <c r="AN108" s="1525"/>
      <c r="AO108" s="1525"/>
      <c r="AP108" s="1525"/>
      <c r="AQ108" s="1525"/>
      <c r="AR108" s="1525"/>
      <c r="AS108" s="1525"/>
      <c r="AT108" s="1526"/>
      <c r="AU108" s="160"/>
      <c r="AV108" s="151">
        <v>0</v>
      </c>
      <c r="AW108" s="151"/>
      <c r="AX108" s="151"/>
      <c r="AY108" s="151"/>
      <c r="AZ108" s="151"/>
      <c r="BA108" s="151"/>
      <c r="BB108" s="151"/>
      <c r="BC108" s="151"/>
      <c r="BD108" s="151"/>
      <c r="BE108" s="151"/>
      <c r="BF108" s="152"/>
      <c r="BG108" s="152"/>
      <c r="BH108" s="152"/>
      <c r="BI108" s="152"/>
      <c r="BJ108" s="152"/>
      <c r="BK108" s="152"/>
      <c r="BL108" s="152"/>
      <c r="BM108" s="152"/>
      <c r="BN108" s="152"/>
      <c r="BO108" s="152"/>
      <c r="BP108" s="152"/>
      <c r="BQ108" s="152"/>
      <c r="BR108" s="152"/>
      <c r="BU108" s="152"/>
      <c r="BV108" s="152"/>
    </row>
    <row r="109" spans="1:80" ht="18.649999999999999" customHeight="1">
      <c r="A109" s="148"/>
      <c r="B109" s="249"/>
      <c r="C109" s="1461"/>
      <c r="D109" s="1462"/>
      <c r="E109" s="1462"/>
      <c r="F109" s="1462"/>
      <c r="G109" s="1462"/>
      <c r="H109" s="1462"/>
      <c r="I109" s="1515"/>
      <c r="J109" s="1517"/>
      <c r="K109" s="1517"/>
      <c r="L109" s="418"/>
      <c r="M109" s="1517"/>
      <c r="N109" s="1517"/>
      <c r="O109" s="1517"/>
      <c r="P109" s="1519"/>
      <c r="Q109" s="1462"/>
      <c r="R109" s="1462"/>
      <c r="S109" s="1462"/>
      <c r="T109" s="1462"/>
      <c r="U109" s="1463"/>
      <c r="V109" s="1440"/>
      <c r="W109" s="1442"/>
      <c r="X109" s="1507"/>
      <c r="Y109" s="1442"/>
      <c r="Z109" s="1507"/>
      <c r="AA109" s="1442"/>
      <c r="AB109" s="1507"/>
      <c r="AC109" s="1442"/>
      <c r="AD109" s="1507"/>
      <c r="AE109" s="1442"/>
      <c r="AF109" s="1507"/>
      <c r="AG109" s="1442"/>
      <c r="AH109" s="1522"/>
      <c r="AI109" s="1523"/>
      <c r="AJ109" s="1527"/>
      <c r="AK109" s="1528"/>
      <c r="AL109" s="1528"/>
      <c r="AM109" s="1528"/>
      <c r="AN109" s="1528"/>
      <c r="AO109" s="1528"/>
      <c r="AP109" s="1528"/>
      <c r="AQ109" s="1528"/>
      <c r="AR109" s="1528"/>
      <c r="AS109" s="1528"/>
      <c r="AT109" s="1529"/>
      <c r="AU109" s="160"/>
      <c r="AV109" s="151"/>
      <c r="AW109" s="151"/>
      <c r="AX109" s="151"/>
      <c r="AY109" s="151"/>
      <c r="AZ109" s="151"/>
      <c r="BA109" s="151"/>
      <c r="BB109" s="151"/>
      <c r="BC109" s="151"/>
      <c r="BD109" s="151"/>
      <c r="BE109" s="151"/>
      <c r="BF109" s="152"/>
      <c r="BG109" s="152"/>
      <c r="BH109" s="152"/>
      <c r="BI109" s="152"/>
      <c r="BJ109" s="152"/>
      <c r="BK109" s="152"/>
      <c r="BL109" s="152"/>
      <c r="BM109" s="152"/>
      <c r="BN109" s="152"/>
      <c r="BO109" s="152"/>
      <c r="BP109" s="152"/>
      <c r="BQ109" s="152"/>
      <c r="BR109" s="152"/>
      <c r="BU109" s="152"/>
      <c r="BV109" s="152"/>
    </row>
    <row r="110" spans="1:80" ht="18.649999999999999" customHeight="1">
      <c r="A110" s="148"/>
      <c r="B110" s="249"/>
      <c r="C110" s="1409" t="s">
        <v>579</v>
      </c>
      <c r="D110" s="1410"/>
      <c r="E110" s="1410"/>
      <c r="F110" s="1410"/>
      <c r="G110" s="1410"/>
      <c r="H110" s="1411"/>
      <c r="I110" s="1418"/>
      <c r="J110" s="1419"/>
      <c r="K110" s="1419"/>
      <c r="L110" s="1419"/>
      <c r="M110" s="1419"/>
      <c r="N110" s="1419"/>
      <c r="O110" s="1419"/>
      <c r="P110" s="1419"/>
      <c r="Q110" s="1419"/>
      <c r="R110" s="1419"/>
      <c r="S110" s="1419"/>
      <c r="T110" s="1419"/>
      <c r="U110" s="1419"/>
      <c r="V110" s="1419"/>
      <c r="W110" s="1419"/>
      <c r="X110" s="1419"/>
      <c r="Y110" s="1419"/>
      <c r="Z110" s="1419"/>
      <c r="AA110" s="1419"/>
      <c r="AB110" s="1419"/>
      <c r="AC110" s="1419"/>
      <c r="AD110" s="1419"/>
      <c r="AE110" s="1419"/>
      <c r="AF110" s="1419"/>
      <c r="AG110" s="1419"/>
      <c r="AH110" s="1419"/>
      <c r="AI110" s="1419"/>
      <c r="AJ110" s="1419"/>
      <c r="AK110" s="1419"/>
      <c r="AL110" s="1419"/>
      <c r="AM110" s="1419"/>
      <c r="AN110" s="1419"/>
      <c r="AO110" s="1419"/>
      <c r="AP110" s="1419"/>
      <c r="AQ110" s="1419"/>
      <c r="AR110" s="1419"/>
      <c r="AS110" s="1419"/>
      <c r="AT110" s="1420"/>
      <c r="AU110" s="160"/>
      <c r="AV110" s="151"/>
      <c r="AW110" s="151"/>
      <c r="AX110" s="151"/>
      <c r="AY110" s="151"/>
      <c r="AZ110" s="151"/>
      <c r="BA110" s="151"/>
      <c r="BB110" s="151"/>
      <c r="BC110" s="151"/>
      <c r="BD110" s="151"/>
      <c r="BE110" s="151"/>
      <c r="BF110" s="152"/>
      <c r="BG110" s="152"/>
      <c r="BH110" s="152"/>
      <c r="BI110" s="152"/>
      <c r="BJ110" s="152"/>
      <c r="BK110" s="152"/>
      <c r="BL110" s="152"/>
      <c r="BM110" s="152"/>
      <c r="BN110" s="152"/>
      <c r="BO110" s="152"/>
      <c r="BU110" s="152"/>
      <c r="BV110" s="152"/>
    </row>
    <row r="111" spans="1:80" ht="18.649999999999999" customHeight="1">
      <c r="A111" s="148"/>
      <c r="B111" s="249"/>
      <c r="C111" s="1427"/>
      <c r="D111" s="1428"/>
      <c r="E111" s="1428"/>
      <c r="F111" s="1428"/>
      <c r="G111" s="1428"/>
      <c r="H111" s="1429"/>
      <c r="I111" s="1489"/>
      <c r="J111" s="1490"/>
      <c r="K111" s="1490"/>
      <c r="L111" s="1490"/>
      <c r="M111" s="1490"/>
      <c r="N111" s="1490"/>
      <c r="O111" s="1490"/>
      <c r="P111" s="1490"/>
      <c r="Q111" s="1490"/>
      <c r="R111" s="1490"/>
      <c r="S111" s="1490"/>
      <c r="T111" s="1490"/>
      <c r="U111" s="1490"/>
      <c r="V111" s="1490"/>
      <c r="W111" s="1490"/>
      <c r="X111" s="1490"/>
      <c r="Y111" s="1490"/>
      <c r="Z111" s="1490"/>
      <c r="AA111" s="1490"/>
      <c r="AB111" s="1490"/>
      <c r="AC111" s="1490"/>
      <c r="AD111" s="1490"/>
      <c r="AE111" s="1490"/>
      <c r="AF111" s="1490"/>
      <c r="AG111" s="1490"/>
      <c r="AH111" s="1490"/>
      <c r="AI111" s="1490"/>
      <c r="AJ111" s="1490"/>
      <c r="AK111" s="1490"/>
      <c r="AL111" s="1490"/>
      <c r="AM111" s="1490"/>
      <c r="AN111" s="1490"/>
      <c r="AO111" s="1490"/>
      <c r="AP111" s="1490"/>
      <c r="AQ111" s="1490"/>
      <c r="AR111" s="1490"/>
      <c r="AS111" s="1490"/>
      <c r="AT111" s="1491"/>
      <c r="AU111" s="160"/>
      <c r="AV111" s="151"/>
      <c r="AW111" s="151"/>
      <c r="AX111" s="151"/>
      <c r="AY111" s="151"/>
      <c r="AZ111" s="151"/>
      <c r="BA111" s="151"/>
      <c r="BB111" s="151"/>
      <c r="BC111" s="151"/>
      <c r="BD111" s="151"/>
      <c r="BE111" s="151"/>
      <c r="BF111" s="152"/>
      <c r="BG111" s="152"/>
      <c r="BH111" s="152"/>
      <c r="BI111" s="152"/>
      <c r="BJ111" s="152"/>
      <c r="BK111" s="152"/>
      <c r="BL111" s="152"/>
      <c r="BM111" s="152"/>
      <c r="BN111" s="152"/>
      <c r="BU111" s="152"/>
      <c r="BV111" s="152"/>
    </row>
    <row r="112" spans="1:80" ht="18.649999999999999" customHeight="1">
      <c r="A112" s="148"/>
      <c r="B112" s="249"/>
      <c r="C112" s="1492" t="s">
        <v>771</v>
      </c>
      <c r="D112" s="1493"/>
      <c r="E112" s="1493"/>
      <c r="F112" s="1493"/>
      <c r="G112" s="1493"/>
      <c r="H112" s="1494"/>
      <c r="I112" s="1498"/>
      <c r="J112" s="1499"/>
      <c r="K112" s="1499"/>
      <c r="L112" s="1499"/>
      <c r="M112" s="1499"/>
      <c r="N112" s="1499"/>
      <c r="O112" s="1499"/>
      <c r="P112" s="1499"/>
      <c r="Q112" s="1499"/>
      <c r="R112" s="1499"/>
      <c r="S112" s="1499"/>
      <c r="T112" s="1499"/>
      <c r="U112" s="1499"/>
      <c r="V112" s="1499"/>
      <c r="W112" s="1499"/>
      <c r="X112" s="1499"/>
      <c r="Y112" s="1499"/>
      <c r="Z112" s="1499"/>
      <c r="AA112" s="1499"/>
      <c r="AB112" s="1499"/>
      <c r="AC112" s="1499"/>
      <c r="AD112" s="1499"/>
      <c r="AE112" s="1499"/>
      <c r="AF112" s="1499"/>
      <c r="AG112" s="1499"/>
      <c r="AH112" s="1499"/>
      <c r="AI112" s="1499"/>
      <c r="AJ112" s="1499"/>
      <c r="AK112" s="1499"/>
      <c r="AL112" s="1499"/>
      <c r="AM112" s="1499"/>
      <c r="AN112" s="1499"/>
      <c r="AO112" s="1499"/>
      <c r="AP112" s="1499"/>
      <c r="AQ112" s="1499"/>
      <c r="AR112" s="1499"/>
      <c r="AS112" s="1499"/>
      <c r="AT112" s="1500"/>
      <c r="AU112" s="160"/>
      <c r="AV112" s="151"/>
      <c r="AW112" s="151"/>
      <c r="AX112" s="151"/>
      <c r="AY112" s="151"/>
      <c r="AZ112" s="151"/>
      <c r="BA112" s="151"/>
      <c r="BB112" s="151"/>
      <c r="BC112" s="151"/>
      <c r="BD112" s="151"/>
      <c r="BE112" s="151"/>
      <c r="BF112" s="152"/>
      <c r="BG112" s="152"/>
      <c r="BH112" s="152"/>
      <c r="BI112" s="152"/>
      <c r="BJ112" s="152"/>
      <c r="BK112" s="152"/>
      <c r="BL112" s="152"/>
      <c r="BM112" s="152"/>
      <c r="BN112" s="152"/>
      <c r="BU112" s="152"/>
      <c r="BV112" s="152"/>
    </row>
    <row r="113" spans="1:74" ht="18.649999999999999" customHeight="1" thickBot="1">
      <c r="A113" s="148"/>
      <c r="B113" s="249"/>
      <c r="C113" s="1495"/>
      <c r="D113" s="1496"/>
      <c r="E113" s="1496"/>
      <c r="F113" s="1496"/>
      <c r="G113" s="1496"/>
      <c r="H113" s="1497"/>
      <c r="I113" s="1501"/>
      <c r="J113" s="1502"/>
      <c r="K113" s="1502"/>
      <c r="L113" s="1502"/>
      <c r="M113" s="1502"/>
      <c r="N113" s="1502"/>
      <c r="O113" s="1502"/>
      <c r="P113" s="1502"/>
      <c r="Q113" s="1502"/>
      <c r="R113" s="1502"/>
      <c r="S113" s="1502"/>
      <c r="T113" s="1502"/>
      <c r="U113" s="1502"/>
      <c r="V113" s="1502"/>
      <c r="W113" s="1502"/>
      <c r="X113" s="1502"/>
      <c r="Y113" s="1502"/>
      <c r="Z113" s="1502"/>
      <c r="AA113" s="1502"/>
      <c r="AB113" s="1502"/>
      <c r="AC113" s="1502"/>
      <c r="AD113" s="1502"/>
      <c r="AE113" s="1502"/>
      <c r="AF113" s="1502"/>
      <c r="AG113" s="1502"/>
      <c r="AH113" s="1502"/>
      <c r="AI113" s="1502"/>
      <c r="AJ113" s="1502"/>
      <c r="AK113" s="1502"/>
      <c r="AL113" s="1502"/>
      <c r="AM113" s="1502"/>
      <c r="AN113" s="1502"/>
      <c r="AO113" s="1502"/>
      <c r="AP113" s="1502"/>
      <c r="AQ113" s="1502"/>
      <c r="AR113" s="1502"/>
      <c r="AS113" s="1502"/>
      <c r="AT113" s="1503"/>
      <c r="AU113" s="160"/>
      <c r="AV113" s="151"/>
      <c r="AW113" s="151"/>
      <c r="AX113" s="151"/>
      <c r="AY113" s="151"/>
      <c r="AZ113" s="151"/>
      <c r="BA113" s="151"/>
      <c r="BB113" s="151"/>
      <c r="BC113" s="151"/>
      <c r="BD113" s="151"/>
      <c r="BE113" s="151"/>
      <c r="BF113" s="152"/>
      <c r="BG113" s="152"/>
      <c r="BH113" s="152"/>
      <c r="BU113" s="152"/>
      <c r="BV113" s="152"/>
    </row>
    <row r="114" spans="1:74" ht="18.649999999999999" customHeight="1">
      <c r="A114" s="179"/>
      <c r="B114" s="249"/>
      <c r="C114" s="148"/>
      <c r="D114" s="148"/>
      <c r="E114" s="148"/>
      <c r="F114" s="148"/>
      <c r="G114" s="148"/>
      <c r="H114" s="148"/>
      <c r="I114" s="148"/>
      <c r="J114" s="148"/>
      <c r="K114" s="148"/>
      <c r="L114" s="148"/>
      <c r="M114" s="148"/>
      <c r="N114" s="148"/>
      <c r="O114" s="148"/>
      <c r="P114" s="148"/>
      <c r="Q114" s="148"/>
      <c r="R114" s="148"/>
      <c r="S114" s="148"/>
      <c r="T114" s="148"/>
      <c r="U114" s="148"/>
      <c r="V114" s="148"/>
      <c r="W114" s="148"/>
      <c r="X114" s="148"/>
      <c r="Y114" s="148"/>
      <c r="Z114" s="148"/>
      <c r="AA114" s="148"/>
      <c r="AB114" s="148"/>
      <c r="AC114" s="148"/>
      <c r="AD114" s="148"/>
      <c r="AE114" s="148"/>
      <c r="AF114" s="148"/>
      <c r="AG114" s="148"/>
      <c r="AH114" s="148"/>
      <c r="AI114" s="148"/>
      <c r="AJ114" s="148"/>
      <c r="AK114" s="148"/>
      <c r="AL114" s="148"/>
      <c r="AM114" s="148"/>
      <c r="AN114" s="148"/>
      <c r="AO114" s="148"/>
      <c r="AP114" s="148"/>
      <c r="AQ114" s="148"/>
      <c r="AR114" s="148"/>
      <c r="AS114" s="148"/>
      <c r="AT114" s="148"/>
      <c r="AU114" s="160"/>
      <c r="AV114" s="151"/>
      <c r="AW114" s="151"/>
      <c r="AX114" s="151"/>
      <c r="AY114" s="151"/>
      <c r="AZ114" s="151"/>
      <c r="BA114" s="151"/>
      <c r="BB114" s="151"/>
      <c r="BC114" s="151"/>
      <c r="BD114" s="151"/>
      <c r="BE114" s="151"/>
      <c r="BF114" s="152"/>
      <c r="BG114" s="152"/>
      <c r="BH114" s="152"/>
      <c r="BU114" s="152"/>
      <c r="BV114" s="152"/>
    </row>
    <row r="115" spans="1:74" ht="18.649999999999999" customHeight="1">
      <c r="A115" s="179"/>
      <c r="B115" s="249"/>
      <c r="C115" s="148"/>
      <c r="D115" s="148"/>
      <c r="E115" s="148"/>
      <c r="F115" s="148"/>
      <c r="G115" s="148"/>
      <c r="H115" s="148"/>
      <c r="I115" s="148"/>
      <c r="J115" s="148"/>
      <c r="K115" s="148"/>
      <c r="L115" s="148"/>
      <c r="M115" s="1395" t="s">
        <v>947</v>
      </c>
      <c r="N115" s="1474"/>
      <c r="O115" s="1474"/>
      <c r="P115" s="1474"/>
      <c r="Q115" s="1474"/>
      <c r="R115" s="1474"/>
      <c r="S115" s="1474"/>
      <c r="T115" s="1474"/>
      <c r="U115" s="1474"/>
      <c r="V115" s="1474"/>
      <c r="W115" s="1474"/>
      <c r="X115" s="1474"/>
      <c r="Y115" s="1474"/>
      <c r="Z115" s="1474"/>
      <c r="AA115" s="1474"/>
      <c r="AB115" s="1474"/>
      <c r="AC115" s="1474"/>
      <c r="AD115" s="1474"/>
      <c r="AE115" s="1474"/>
      <c r="AF115" s="1474"/>
      <c r="AG115" s="1474"/>
      <c r="AH115" s="1474"/>
      <c r="AI115" s="1474"/>
      <c r="AJ115" s="1474"/>
      <c r="AK115" s="1474"/>
      <c r="AL115" s="1474"/>
      <c r="AM115" s="1474"/>
      <c r="AN115" s="1474"/>
      <c r="AO115" s="1474"/>
      <c r="AP115" s="1474"/>
      <c r="AQ115" s="1474"/>
      <c r="AR115" s="1474"/>
      <c r="AS115" s="1474"/>
      <c r="AT115" s="1474"/>
      <c r="AU115" s="160"/>
      <c r="AV115" s="151"/>
      <c r="AW115" s="151"/>
      <c r="AX115" s="151"/>
      <c r="AY115" s="151"/>
      <c r="AZ115" s="151"/>
      <c r="BA115" s="151"/>
      <c r="BB115" s="151"/>
      <c r="BC115" s="151"/>
      <c r="BD115" s="151"/>
      <c r="BE115" s="151"/>
      <c r="BF115" s="152"/>
      <c r="BG115" s="152"/>
      <c r="BH115" s="152"/>
      <c r="BU115" s="152"/>
      <c r="BV115" s="152"/>
    </row>
    <row r="116" spans="1:74" ht="18.649999999999999" customHeight="1" thickBot="1">
      <c r="A116" s="179"/>
      <c r="B116" s="249"/>
      <c r="C116" s="148"/>
      <c r="D116" s="148"/>
      <c r="E116" s="148"/>
      <c r="F116" s="148"/>
      <c r="G116" s="148"/>
      <c r="H116" s="148"/>
      <c r="I116" s="148"/>
      <c r="J116" s="148"/>
      <c r="K116" s="148"/>
      <c r="L116" s="148"/>
      <c r="M116" s="1475"/>
      <c r="N116" s="1475"/>
      <c r="O116" s="1475"/>
      <c r="P116" s="1475"/>
      <c r="Q116" s="1475"/>
      <c r="R116" s="1475"/>
      <c r="S116" s="1475"/>
      <c r="T116" s="1475"/>
      <c r="U116" s="1475"/>
      <c r="V116" s="1475"/>
      <c r="W116" s="1475"/>
      <c r="X116" s="1475"/>
      <c r="Y116" s="1475"/>
      <c r="Z116" s="1475"/>
      <c r="AA116" s="1475"/>
      <c r="AB116" s="1475"/>
      <c r="AC116" s="1475"/>
      <c r="AD116" s="1475"/>
      <c r="AE116" s="1475"/>
      <c r="AF116" s="1475"/>
      <c r="AG116" s="1475"/>
      <c r="AH116" s="1475"/>
      <c r="AI116" s="1475"/>
      <c r="AJ116" s="1475"/>
      <c r="AK116" s="1475"/>
      <c r="AL116" s="1475"/>
      <c r="AM116" s="1475"/>
      <c r="AN116" s="1475"/>
      <c r="AO116" s="1475"/>
      <c r="AP116" s="1475"/>
      <c r="AQ116" s="1475"/>
      <c r="AR116" s="1475"/>
      <c r="AS116" s="1475"/>
      <c r="AT116" s="1475"/>
      <c r="AU116" s="160"/>
      <c r="AV116" s="151"/>
      <c r="AW116" s="151"/>
      <c r="AX116" s="151"/>
      <c r="AY116" s="151"/>
      <c r="AZ116" s="151"/>
      <c r="BA116" s="151"/>
      <c r="BB116" s="151"/>
      <c r="BC116" s="151"/>
      <c r="BD116" s="151"/>
      <c r="BE116" s="151"/>
      <c r="BF116" s="152"/>
      <c r="BG116" s="152"/>
      <c r="BH116" s="152"/>
      <c r="BU116" s="152"/>
      <c r="BV116" s="152"/>
    </row>
    <row r="117" spans="1:74" ht="18.649999999999999" customHeight="1">
      <c r="A117" s="179"/>
      <c r="B117" s="249">
        <f>IF(OR(I117="",Q117="",I118="",Q118="",AE118="",AK118="",AP118="",AE120="",I124="",Q124="",I125="",Q125="",AE125="",AK125="",AP125="",AE127="",AV127="NG",AV120="NG",AV128=0),1,0)</f>
        <v>1</v>
      </c>
      <c r="C117" s="1476" t="s">
        <v>772</v>
      </c>
      <c r="D117" s="1477"/>
      <c r="E117" s="1477"/>
      <c r="F117" s="1477"/>
      <c r="G117" s="1477"/>
      <c r="H117" s="1478"/>
      <c r="I117" s="2989"/>
      <c r="J117" s="2990"/>
      <c r="K117" s="2990"/>
      <c r="L117" s="2990"/>
      <c r="M117" s="2990"/>
      <c r="N117" s="2990"/>
      <c r="O117" s="2990"/>
      <c r="P117" s="2991"/>
      <c r="Q117" s="2990"/>
      <c r="R117" s="2990"/>
      <c r="S117" s="2990"/>
      <c r="T117" s="2990"/>
      <c r="U117" s="2990"/>
      <c r="V117" s="2990"/>
      <c r="W117" s="2990"/>
      <c r="X117" s="2990"/>
      <c r="Y117" s="2992"/>
      <c r="Z117" s="1479" t="s">
        <v>555</v>
      </c>
      <c r="AA117" s="1479"/>
      <c r="AB117" s="1479"/>
      <c r="AC117" s="1479"/>
      <c r="AD117" s="1479"/>
      <c r="AE117" s="2937"/>
      <c r="AF117" s="2937"/>
      <c r="AG117" s="2937"/>
      <c r="AH117" s="2937"/>
      <c r="AI117" s="2937"/>
      <c r="AJ117" s="2937"/>
      <c r="AK117" s="2937"/>
      <c r="AL117" s="2937"/>
      <c r="AM117" s="2937"/>
      <c r="AN117" s="2937"/>
      <c r="AO117" s="2937"/>
      <c r="AP117" s="2937"/>
      <c r="AQ117" s="2937"/>
      <c r="AR117" s="2937"/>
      <c r="AS117" s="2937"/>
      <c r="AT117" s="2938"/>
      <c r="AU117" s="160"/>
      <c r="AV117" s="151"/>
      <c r="AW117" s="151"/>
      <c r="AX117" s="151"/>
      <c r="AY117" s="151"/>
      <c r="AZ117" s="151"/>
      <c r="BA117" s="151"/>
      <c r="BB117" s="151"/>
      <c r="BC117" s="151"/>
      <c r="BD117" s="151"/>
      <c r="BE117" s="151"/>
      <c r="BF117" s="152"/>
      <c r="BG117" s="152"/>
      <c r="BH117" s="152"/>
    </row>
    <row r="118" spans="1:74" ht="18.649999999999999" customHeight="1">
      <c r="A118" s="179"/>
      <c r="B118" s="249"/>
      <c r="C118" s="1458" t="s">
        <v>557</v>
      </c>
      <c r="D118" s="1459"/>
      <c r="E118" s="1459"/>
      <c r="F118" s="1459"/>
      <c r="G118" s="1459"/>
      <c r="H118" s="1460"/>
      <c r="I118" s="2993"/>
      <c r="J118" s="2994"/>
      <c r="K118" s="2994"/>
      <c r="L118" s="2994"/>
      <c r="M118" s="2994"/>
      <c r="N118" s="2994"/>
      <c r="O118" s="2994"/>
      <c r="P118" s="2995"/>
      <c r="Q118" s="2994"/>
      <c r="R118" s="2994"/>
      <c r="S118" s="2994"/>
      <c r="T118" s="2994"/>
      <c r="U118" s="2994"/>
      <c r="V118" s="2994"/>
      <c r="W118" s="2994"/>
      <c r="X118" s="2994"/>
      <c r="Y118" s="3002"/>
      <c r="Z118" s="1433" t="s">
        <v>838</v>
      </c>
      <c r="AA118" s="1433"/>
      <c r="AB118" s="1433"/>
      <c r="AC118" s="1433"/>
      <c r="AD118" s="1433"/>
      <c r="AE118" s="1430"/>
      <c r="AF118" s="1431"/>
      <c r="AG118" s="1431"/>
      <c r="AH118" s="1431"/>
      <c r="AI118" s="1431"/>
      <c r="AJ118" s="1258" t="s">
        <v>1231</v>
      </c>
      <c r="AK118" s="1431"/>
      <c r="AL118" s="1431"/>
      <c r="AM118" s="1431"/>
      <c r="AN118" s="1431"/>
      <c r="AO118" s="1258" t="s">
        <v>1232</v>
      </c>
      <c r="AP118" s="1431"/>
      <c r="AQ118" s="1431"/>
      <c r="AR118" s="1431"/>
      <c r="AS118" s="1431"/>
      <c r="AT118" s="1432"/>
      <c r="AU118" s="160"/>
      <c r="AV118" s="151" t="str">
        <f>IF(AND(AE118&lt;&gt;"",AK118&lt;&gt;"",AP118&lt;&gt;""),IF(LENB(AE118)+LENB(AK118)+LENB(AP118)&lt;13,"OK","NG"),"OK")</f>
        <v>OK</v>
      </c>
      <c r="AW118" s="151"/>
      <c r="AX118" s="151"/>
      <c r="AY118" s="151"/>
      <c r="AZ118" s="151"/>
      <c r="BA118" s="151"/>
      <c r="BB118" s="151"/>
      <c r="BC118" s="151"/>
      <c r="BD118" s="151"/>
      <c r="BE118" s="151"/>
      <c r="BF118" s="152"/>
      <c r="BG118" s="152"/>
      <c r="BH118" s="152"/>
    </row>
    <row r="119" spans="1:74" ht="18.649999999999999" customHeight="1">
      <c r="A119" s="179"/>
      <c r="B119" s="249"/>
      <c r="C119" s="1482"/>
      <c r="D119" s="1483"/>
      <c r="E119" s="1483"/>
      <c r="F119" s="1483"/>
      <c r="G119" s="1483"/>
      <c r="H119" s="1484"/>
      <c r="I119" s="2996"/>
      <c r="J119" s="2997"/>
      <c r="K119" s="2997"/>
      <c r="L119" s="2997"/>
      <c r="M119" s="2997"/>
      <c r="N119" s="2997"/>
      <c r="O119" s="2997"/>
      <c r="P119" s="2998"/>
      <c r="Q119" s="2997"/>
      <c r="R119" s="2997"/>
      <c r="S119" s="2997"/>
      <c r="T119" s="2997"/>
      <c r="U119" s="2997"/>
      <c r="V119" s="2997"/>
      <c r="W119" s="2997"/>
      <c r="X119" s="2997"/>
      <c r="Y119" s="3003"/>
      <c r="Z119" s="1433" t="s">
        <v>399</v>
      </c>
      <c r="AA119" s="1433"/>
      <c r="AB119" s="1433"/>
      <c r="AC119" s="1433"/>
      <c r="AD119" s="1433"/>
      <c r="AE119" s="1430"/>
      <c r="AF119" s="1431"/>
      <c r="AG119" s="1431"/>
      <c r="AH119" s="1431"/>
      <c r="AI119" s="1431"/>
      <c r="AJ119" s="1258" t="s">
        <v>1231</v>
      </c>
      <c r="AK119" s="1431"/>
      <c r="AL119" s="1431"/>
      <c r="AM119" s="1431"/>
      <c r="AN119" s="1431"/>
      <c r="AO119" s="1258" t="s">
        <v>1182</v>
      </c>
      <c r="AP119" s="1431"/>
      <c r="AQ119" s="1431"/>
      <c r="AR119" s="1431"/>
      <c r="AS119" s="1431"/>
      <c r="AT119" s="1432"/>
      <c r="AU119" s="160"/>
      <c r="AV119" s="151" t="str">
        <f>IF(AND(AE119&lt;&gt;"",AK119&lt;&gt;"",AP119&lt;&gt;""),IF(LENB(AE119)+LENB(AK119)+LENB(AP119)&lt;13,"OK","NG"),"OK")</f>
        <v>OK</v>
      </c>
      <c r="AW119" s="151"/>
      <c r="AX119" s="151"/>
      <c r="AY119" s="151"/>
      <c r="AZ119" s="151"/>
      <c r="BA119" s="151"/>
      <c r="BB119" s="151"/>
      <c r="BC119" s="151"/>
      <c r="BD119" s="151"/>
      <c r="BE119" s="151"/>
      <c r="BF119" s="152"/>
      <c r="BG119" s="152"/>
      <c r="BH119" s="152"/>
    </row>
    <row r="120" spans="1:74" ht="18.649999999999999" customHeight="1">
      <c r="A120" s="179"/>
      <c r="B120" s="249"/>
      <c r="C120" s="1461"/>
      <c r="D120" s="1462"/>
      <c r="E120" s="1462"/>
      <c r="F120" s="1462"/>
      <c r="G120" s="1462"/>
      <c r="H120" s="1463"/>
      <c r="I120" s="2999"/>
      <c r="J120" s="3000"/>
      <c r="K120" s="3000"/>
      <c r="L120" s="3000"/>
      <c r="M120" s="3000"/>
      <c r="N120" s="3000"/>
      <c r="O120" s="3000"/>
      <c r="P120" s="3001"/>
      <c r="Q120" s="3000"/>
      <c r="R120" s="3000"/>
      <c r="S120" s="3000"/>
      <c r="T120" s="3000"/>
      <c r="U120" s="3000"/>
      <c r="V120" s="3000"/>
      <c r="W120" s="3000"/>
      <c r="X120" s="3000"/>
      <c r="Y120" s="3004"/>
      <c r="Z120" s="1433" t="s">
        <v>773</v>
      </c>
      <c r="AA120" s="1433"/>
      <c r="AB120" s="1433"/>
      <c r="AC120" s="1433"/>
      <c r="AD120" s="1433"/>
      <c r="AE120" s="2939"/>
      <c r="AF120" s="2940"/>
      <c r="AG120" s="2940"/>
      <c r="AH120" s="2940"/>
      <c r="AI120" s="2940"/>
      <c r="AJ120" s="2940"/>
      <c r="AK120" s="2940"/>
      <c r="AL120" s="2940"/>
      <c r="AM120" s="2940"/>
      <c r="AN120" s="2940"/>
      <c r="AO120" s="2940"/>
      <c r="AP120" s="2940"/>
      <c r="AQ120" s="2940"/>
      <c r="AR120" s="2940"/>
      <c r="AS120" s="2940"/>
      <c r="AT120" s="2941"/>
      <c r="AU120" s="160"/>
      <c r="AV120" s="151" t="str">
        <f>IF(ISERROR(FIND("@",AE120,FIND("@",AE120,1)+1)),"OK","NG")</f>
        <v>OK</v>
      </c>
      <c r="AW120" s="619" t="str">
        <f>IF(AND(AX120="OK",AY120="OK",AZ120="OK"),"OK","NG")</f>
        <v>NG</v>
      </c>
      <c r="AX120" s="151" t="str">
        <f>IF(COUNTIF(AE120,"*@*"),"OK","NG")</f>
        <v>NG</v>
      </c>
      <c r="AY120" s="151" t="str">
        <f>IF(LEFT(AE120,1)="@","NG","OK")</f>
        <v>OK</v>
      </c>
      <c r="AZ120" s="619" t="str">
        <f>IF(ISERR(FIND(";",AE120)),"OK","NG")</f>
        <v>OK</v>
      </c>
      <c r="BA120" s="151"/>
      <c r="BB120" s="151"/>
      <c r="BC120" s="151"/>
      <c r="BD120" s="151"/>
      <c r="BF120" s="152"/>
      <c r="BG120" s="152"/>
      <c r="BH120" s="152"/>
    </row>
    <row r="121" spans="1:74" ht="18.649999999999999" hidden="1" customHeight="1">
      <c r="A121" s="179" t="s">
        <v>3838</v>
      </c>
      <c r="B121" s="249"/>
      <c r="C121" s="1449" t="s">
        <v>772</v>
      </c>
      <c r="D121" s="1450"/>
      <c r="E121" s="1450"/>
      <c r="F121" s="1450"/>
      <c r="G121" s="1450"/>
      <c r="H121" s="1451"/>
      <c r="I121" s="1455"/>
      <c r="J121" s="1456"/>
      <c r="K121" s="1456"/>
      <c r="L121" s="1456"/>
      <c r="M121" s="1456"/>
      <c r="N121" s="1456"/>
      <c r="O121" s="1456"/>
      <c r="P121" s="1456"/>
      <c r="Q121" s="1456"/>
      <c r="R121" s="1456"/>
      <c r="S121" s="1456"/>
      <c r="T121" s="1456"/>
      <c r="U121" s="1456"/>
      <c r="V121" s="1456"/>
      <c r="W121" s="1456"/>
      <c r="X121" s="1456"/>
      <c r="Y121" s="1457"/>
      <c r="Z121" s="1433" t="s">
        <v>555</v>
      </c>
      <c r="AA121" s="1433"/>
      <c r="AB121" s="1433"/>
      <c r="AC121" s="1433"/>
      <c r="AD121" s="1433"/>
      <c r="AE121" s="2935"/>
      <c r="AF121" s="2935"/>
      <c r="AG121" s="2935"/>
      <c r="AH121" s="2935"/>
      <c r="AI121" s="2935"/>
      <c r="AJ121" s="2935"/>
      <c r="AK121" s="2935"/>
      <c r="AL121" s="2935"/>
      <c r="AM121" s="2935"/>
      <c r="AN121" s="2935"/>
      <c r="AO121" s="2935"/>
      <c r="AP121" s="2935"/>
      <c r="AQ121" s="2935"/>
      <c r="AR121" s="2935"/>
      <c r="AS121" s="2935"/>
      <c r="AT121" s="2936"/>
      <c r="AU121" s="160"/>
      <c r="AV121" s="151"/>
      <c r="AW121" s="151"/>
      <c r="AX121" s="151"/>
      <c r="AY121" s="151"/>
      <c r="AZ121" s="431" t="s">
        <v>1073</v>
      </c>
      <c r="BA121" s="151"/>
      <c r="BB121" s="151"/>
      <c r="BC121" s="151"/>
      <c r="BD121" s="151"/>
    </row>
    <row r="122" spans="1:74" ht="18.649999999999999" hidden="1" customHeight="1">
      <c r="A122" s="179" t="s">
        <v>3838</v>
      </c>
      <c r="B122" s="249"/>
      <c r="C122" s="1458" t="s">
        <v>560</v>
      </c>
      <c r="D122" s="1459"/>
      <c r="E122" s="1459"/>
      <c r="F122" s="1459"/>
      <c r="G122" s="1459"/>
      <c r="H122" s="1460"/>
      <c r="I122" s="1464"/>
      <c r="J122" s="1465"/>
      <c r="K122" s="1465"/>
      <c r="L122" s="1465"/>
      <c r="M122" s="1465"/>
      <c r="N122" s="1465"/>
      <c r="O122" s="1465"/>
      <c r="P122" s="1465"/>
      <c r="Q122" s="1465"/>
      <c r="R122" s="1465"/>
      <c r="S122" s="1465"/>
      <c r="T122" s="1465"/>
      <c r="U122" s="1465"/>
      <c r="V122" s="1465"/>
      <c r="W122" s="1465"/>
      <c r="X122" s="1465"/>
      <c r="Y122" s="1466"/>
      <c r="Z122" s="1433" t="s">
        <v>398</v>
      </c>
      <c r="AA122" s="1433"/>
      <c r="AB122" s="1433"/>
      <c r="AC122" s="1433"/>
      <c r="AD122" s="1433"/>
      <c r="AE122" s="1430"/>
      <c r="AF122" s="1431"/>
      <c r="AG122" s="1431"/>
      <c r="AH122" s="1431"/>
      <c r="AI122" s="1431"/>
      <c r="AJ122" s="1258" t="s">
        <v>1182</v>
      </c>
      <c r="AK122" s="1431"/>
      <c r="AL122" s="1431"/>
      <c r="AM122" s="1431"/>
      <c r="AN122" s="1431"/>
      <c r="AO122" s="1258" t="s">
        <v>1182</v>
      </c>
      <c r="AP122" s="1431"/>
      <c r="AQ122" s="1431"/>
      <c r="AR122" s="1431"/>
      <c r="AS122" s="1431"/>
      <c r="AT122" s="1432"/>
      <c r="AU122" s="160"/>
      <c r="AV122" s="151" t="str">
        <f>IF(AND(AE122&lt;&gt;"",AK122&lt;&gt;"",AP122&lt;&gt;""),IF(LENB(AE122)+LENB(AK122)+LENB(AP122)&lt;13,"OK","NG"),"OK")</f>
        <v>OK</v>
      </c>
      <c r="AW122" s="151"/>
      <c r="AX122" s="151"/>
      <c r="AY122" s="151"/>
      <c r="AZ122" s="431" t="s">
        <v>1073</v>
      </c>
      <c r="BA122" s="151"/>
      <c r="BB122" s="151"/>
      <c r="BC122" s="151"/>
      <c r="BD122" s="151"/>
    </row>
    <row r="123" spans="1:74" ht="18.649999999999999" hidden="1" customHeight="1">
      <c r="A123" s="179" t="s">
        <v>3838</v>
      </c>
      <c r="B123" s="249"/>
      <c r="C123" s="1461"/>
      <c r="D123" s="1462"/>
      <c r="E123" s="1462"/>
      <c r="F123" s="1462"/>
      <c r="G123" s="1462"/>
      <c r="H123" s="1463"/>
      <c r="I123" s="1467"/>
      <c r="J123" s="1468"/>
      <c r="K123" s="1468"/>
      <c r="L123" s="1468"/>
      <c r="M123" s="1468"/>
      <c r="N123" s="1468"/>
      <c r="O123" s="1468"/>
      <c r="P123" s="1468"/>
      <c r="Q123" s="1468"/>
      <c r="R123" s="1468"/>
      <c r="S123" s="1468"/>
      <c r="T123" s="1468"/>
      <c r="U123" s="1468"/>
      <c r="V123" s="1468"/>
      <c r="W123" s="1468"/>
      <c r="X123" s="1468"/>
      <c r="Y123" s="1469"/>
      <c r="Z123" s="1433" t="s">
        <v>773</v>
      </c>
      <c r="AA123" s="1433"/>
      <c r="AB123" s="1433"/>
      <c r="AC123" s="1433"/>
      <c r="AD123" s="1433"/>
      <c r="AE123" s="2942"/>
      <c r="AF123" s="2935"/>
      <c r="AG123" s="2935"/>
      <c r="AH123" s="2935"/>
      <c r="AI123" s="2935"/>
      <c r="AJ123" s="2935"/>
      <c r="AK123" s="2935"/>
      <c r="AL123" s="2935"/>
      <c r="AM123" s="2935"/>
      <c r="AN123" s="2935"/>
      <c r="AO123" s="2935"/>
      <c r="AP123" s="2935"/>
      <c r="AQ123" s="2935"/>
      <c r="AR123" s="2935"/>
      <c r="AS123" s="2935"/>
      <c r="AT123" s="2936"/>
      <c r="AU123" s="160"/>
      <c r="AV123" s="151"/>
      <c r="AW123" s="151"/>
      <c r="AX123" s="151"/>
      <c r="AY123" s="151"/>
      <c r="AZ123" s="431" t="s">
        <v>1073</v>
      </c>
      <c r="BA123" s="151"/>
    </row>
    <row r="124" spans="1:74" ht="18.649999999999999" customHeight="1">
      <c r="A124" s="179"/>
      <c r="B124" s="249"/>
      <c r="C124" s="1449" t="s">
        <v>772</v>
      </c>
      <c r="D124" s="1450"/>
      <c r="E124" s="1450"/>
      <c r="F124" s="1450"/>
      <c r="G124" s="1450"/>
      <c r="H124" s="1451"/>
      <c r="I124" s="3007"/>
      <c r="J124" s="3005"/>
      <c r="K124" s="3005"/>
      <c r="L124" s="3005"/>
      <c r="M124" s="3005"/>
      <c r="N124" s="3005"/>
      <c r="O124" s="3005"/>
      <c r="P124" s="3008"/>
      <c r="Q124" s="3005"/>
      <c r="R124" s="3005"/>
      <c r="S124" s="3005"/>
      <c r="T124" s="3005"/>
      <c r="U124" s="3005"/>
      <c r="V124" s="3005"/>
      <c r="W124" s="3005"/>
      <c r="X124" s="3005"/>
      <c r="Y124" s="3006"/>
      <c r="Z124" s="1452" t="s">
        <v>555</v>
      </c>
      <c r="AA124" s="1452"/>
      <c r="AB124" s="1452"/>
      <c r="AC124" s="1452"/>
      <c r="AD124" s="1452"/>
      <c r="AE124" s="2943"/>
      <c r="AF124" s="2943"/>
      <c r="AG124" s="2943"/>
      <c r="AH124" s="2943"/>
      <c r="AI124" s="2943"/>
      <c r="AJ124" s="2943"/>
      <c r="AK124" s="2943"/>
      <c r="AL124" s="2943"/>
      <c r="AM124" s="2943"/>
      <c r="AN124" s="2943"/>
      <c r="AO124" s="2943"/>
      <c r="AP124" s="2943"/>
      <c r="AQ124" s="2943"/>
      <c r="AR124" s="2943"/>
      <c r="AS124" s="2943"/>
      <c r="AT124" s="2944"/>
      <c r="AU124" s="160"/>
      <c r="AV124" s="151"/>
      <c r="AW124" s="151"/>
      <c r="AX124" s="151"/>
      <c r="AY124" s="151"/>
    </row>
    <row r="125" spans="1:74" ht="18.649999999999999" customHeight="1">
      <c r="A125" s="179"/>
      <c r="B125" s="249"/>
      <c r="C125" s="1424" t="s">
        <v>562</v>
      </c>
      <c r="D125" s="1425"/>
      <c r="E125" s="1425"/>
      <c r="F125" s="1425"/>
      <c r="G125" s="1425"/>
      <c r="H125" s="1426"/>
      <c r="I125" s="2993"/>
      <c r="J125" s="2994"/>
      <c r="K125" s="2994"/>
      <c r="L125" s="2994"/>
      <c r="M125" s="2994"/>
      <c r="N125" s="2994"/>
      <c r="O125" s="2994"/>
      <c r="P125" s="2995"/>
      <c r="Q125" s="2994"/>
      <c r="R125" s="2994"/>
      <c r="S125" s="2994"/>
      <c r="T125" s="2994"/>
      <c r="U125" s="2994"/>
      <c r="V125" s="2994"/>
      <c r="W125" s="2994"/>
      <c r="X125" s="2994"/>
      <c r="Y125" s="3002"/>
      <c r="Z125" s="1399" t="s">
        <v>398</v>
      </c>
      <c r="AA125" s="1400"/>
      <c r="AB125" s="1400"/>
      <c r="AC125" s="1400"/>
      <c r="AD125" s="1401"/>
      <c r="AE125" s="1430"/>
      <c r="AF125" s="1431"/>
      <c r="AG125" s="1431"/>
      <c r="AH125" s="1431"/>
      <c r="AI125" s="1431"/>
      <c r="AJ125" s="1258" t="s">
        <v>1231</v>
      </c>
      <c r="AK125" s="1431"/>
      <c r="AL125" s="1431"/>
      <c r="AM125" s="1431"/>
      <c r="AN125" s="1431"/>
      <c r="AO125" s="1258" t="s">
        <v>1232</v>
      </c>
      <c r="AP125" s="1431"/>
      <c r="AQ125" s="1431"/>
      <c r="AR125" s="1431"/>
      <c r="AS125" s="1431"/>
      <c r="AT125" s="1432"/>
      <c r="AU125" s="160"/>
      <c r="AV125" s="151" t="str">
        <f>IF(AND(AE125&lt;&gt;"",AK125&lt;&gt;"",AP125&lt;&gt;""),IF(LENB(AE125)+LENB(AK125)+LENB(AP125)&lt;13,"OK","NG"),"OK")</f>
        <v>OK</v>
      </c>
      <c r="AW125" s="151"/>
      <c r="AX125" s="151"/>
      <c r="AY125" s="151"/>
    </row>
    <row r="126" spans="1:74" ht="18.649999999999999" customHeight="1">
      <c r="A126" s="179"/>
      <c r="B126" s="249"/>
      <c r="C126" s="1409"/>
      <c r="D126" s="1410"/>
      <c r="E126" s="1410"/>
      <c r="F126" s="1410"/>
      <c r="G126" s="1410"/>
      <c r="H126" s="1411"/>
      <c r="I126" s="2996"/>
      <c r="J126" s="2997"/>
      <c r="K126" s="2997"/>
      <c r="L126" s="2997"/>
      <c r="M126" s="2997"/>
      <c r="N126" s="2997"/>
      <c r="O126" s="2997"/>
      <c r="P126" s="2998"/>
      <c r="Q126" s="2997"/>
      <c r="R126" s="2997"/>
      <c r="S126" s="2997"/>
      <c r="T126" s="2997"/>
      <c r="U126" s="2997"/>
      <c r="V126" s="2997"/>
      <c r="W126" s="2997"/>
      <c r="X126" s="2997"/>
      <c r="Y126" s="3003"/>
      <c r="Z126" s="1433" t="s">
        <v>399</v>
      </c>
      <c r="AA126" s="1433"/>
      <c r="AB126" s="1433"/>
      <c r="AC126" s="1433"/>
      <c r="AD126" s="1433"/>
      <c r="AE126" s="1430"/>
      <c r="AF126" s="1431"/>
      <c r="AG126" s="1431"/>
      <c r="AH126" s="1431"/>
      <c r="AI126" s="1431"/>
      <c r="AJ126" s="1258" t="s">
        <v>1231</v>
      </c>
      <c r="AK126" s="1431"/>
      <c r="AL126" s="1431"/>
      <c r="AM126" s="1431"/>
      <c r="AN126" s="1431"/>
      <c r="AO126" s="1258" t="s">
        <v>1182</v>
      </c>
      <c r="AP126" s="1431"/>
      <c r="AQ126" s="1431"/>
      <c r="AR126" s="1431"/>
      <c r="AS126" s="1431"/>
      <c r="AT126" s="1432"/>
      <c r="AU126" s="160"/>
      <c r="AV126" s="151" t="str">
        <f>IF(AND(AE126&lt;&gt;"",AK126&lt;&gt;"",AP126&lt;&gt;""),IF(LENB(AE126)+LENB(AK126)+LENB(AP126)&lt;13,"OK","NG"),"OK")</f>
        <v>OK</v>
      </c>
      <c r="AW126" s="151"/>
      <c r="AX126" s="151"/>
      <c r="AY126" s="151"/>
    </row>
    <row r="127" spans="1:74" ht="18.649999999999999" customHeight="1">
      <c r="A127" s="179"/>
      <c r="B127" s="249"/>
      <c r="C127" s="1427"/>
      <c r="D127" s="1428"/>
      <c r="E127" s="1428"/>
      <c r="F127" s="1428"/>
      <c r="G127" s="1428"/>
      <c r="H127" s="1429"/>
      <c r="I127" s="2999"/>
      <c r="J127" s="3000"/>
      <c r="K127" s="3000"/>
      <c r="L127" s="3000"/>
      <c r="M127" s="3000"/>
      <c r="N127" s="3000"/>
      <c r="O127" s="3000"/>
      <c r="P127" s="3001"/>
      <c r="Q127" s="3000"/>
      <c r="R127" s="3000"/>
      <c r="S127" s="3000"/>
      <c r="T127" s="3000"/>
      <c r="U127" s="3000"/>
      <c r="V127" s="3000"/>
      <c r="W127" s="3000"/>
      <c r="X127" s="3000"/>
      <c r="Y127" s="3004"/>
      <c r="Z127" s="1399" t="s">
        <v>773</v>
      </c>
      <c r="AA127" s="1400"/>
      <c r="AB127" s="1400"/>
      <c r="AC127" s="1400"/>
      <c r="AD127" s="1401"/>
      <c r="AE127" s="2939"/>
      <c r="AF127" s="2940"/>
      <c r="AG127" s="2940"/>
      <c r="AH127" s="2940"/>
      <c r="AI127" s="2940"/>
      <c r="AJ127" s="2940"/>
      <c r="AK127" s="2940"/>
      <c r="AL127" s="2940"/>
      <c r="AM127" s="2940"/>
      <c r="AN127" s="2940"/>
      <c r="AO127" s="2940"/>
      <c r="AP127" s="2940"/>
      <c r="AQ127" s="2940"/>
      <c r="AR127" s="2940"/>
      <c r="AS127" s="2940"/>
      <c r="AT127" s="2941"/>
      <c r="AU127" s="160"/>
      <c r="AV127" s="182" t="str">
        <f>IF(ISERROR(FIND("@",AE127,FIND("@",AE127,1)+1)),"OK","NG")</f>
        <v>OK</v>
      </c>
      <c r="AW127" s="619" t="str">
        <f>IF(AND(AX127="OK",AY127="OK",AZ127="OK"),"OK","NG")</f>
        <v>NG</v>
      </c>
      <c r="AX127" s="151" t="str">
        <f>IF(COUNTIF(AE127,"*@*"),"OK","NG")</f>
        <v>NG</v>
      </c>
      <c r="AY127" s="151" t="str">
        <f>IF(LEFT(AE127,1)="@","NG","OK")</f>
        <v>OK</v>
      </c>
      <c r="AZ127" s="619" t="str">
        <f>IF(ISERR(FIND(";",AE127)),"OK","NG")</f>
        <v>OK</v>
      </c>
    </row>
    <row r="128" spans="1:74" ht="18.649999999999999" customHeight="1" thickBot="1">
      <c r="A128" s="179"/>
      <c r="B128" s="249"/>
      <c r="C128" s="1405" t="s">
        <v>840</v>
      </c>
      <c r="D128" s="1406"/>
      <c r="E128" s="1406"/>
      <c r="F128" s="1406"/>
      <c r="G128" s="1406"/>
      <c r="H128" s="1407"/>
      <c r="I128" s="587"/>
      <c r="J128" s="588"/>
      <c r="K128" s="1408" t="s">
        <v>996</v>
      </c>
      <c r="L128" s="1408"/>
      <c r="M128" s="1408"/>
      <c r="N128" s="1408"/>
      <c r="O128" s="1408"/>
      <c r="P128" s="1408"/>
      <c r="Q128" s="1408"/>
      <c r="R128" s="1408"/>
      <c r="S128" s="1408"/>
      <c r="T128" s="1408"/>
      <c r="U128" s="588"/>
      <c r="V128" s="588"/>
      <c r="W128" s="1408" t="s">
        <v>841</v>
      </c>
      <c r="X128" s="1408"/>
      <c r="Y128" s="1408"/>
      <c r="Z128" s="1408"/>
      <c r="AA128" s="1408"/>
      <c r="AB128" s="1408"/>
      <c r="AC128" s="1408"/>
      <c r="AD128" s="1408"/>
      <c r="AE128" s="1408"/>
      <c r="AF128" s="1408"/>
      <c r="AG128" s="589"/>
      <c r="AH128" s="589"/>
      <c r="AI128" s="589"/>
      <c r="AJ128" s="589"/>
      <c r="AK128" s="589"/>
      <c r="AL128" s="589"/>
      <c r="AM128" s="589"/>
      <c r="AN128" s="589"/>
      <c r="AO128" s="589"/>
      <c r="AP128" s="589"/>
      <c r="AQ128" s="589"/>
      <c r="AR128" s="589"/>
      <c r="AS128" s="589"/>
      <c r="AT128" s="590"/>
      <c r="AU128" s="160"/>
      <c r="AV128" s="151">
        <v>0</v>
      </c>
      <c r="AW128" s="151"/>
      <c r="AX128" s="151"/>
      <c r="AY128" s="151"/>
    </row>
    <row r="129" spans="1:52" ht="18.649999999999999" hidden="1" customHeight="1">
      <c r="A129" s="179"/>
      <c r="B129" s="249"/>
      <c r="C129" s="1405" t="s">
        <v>839</v>
      </c>
      <c r="D129" s="1406"/>
      <c r="E129" s="1406"/>
      <c r="F129" s="1406"/>
      <c r="G129" s="1406"/>
      <c r="H129" s="1407"/>
      <c r="I129" s="591" t="s">
        <v>774</v>
      </c>
      <c r="J129" s="1415"/>
      <c r="K129" s="1415"/>
      <c r="L129" s="545" t="s">
        <v>775</v>
      </c>
      <c r="M129" s="1415"/>
      <c r="N129" s="1415"/>
      <c r="O129" s="1416"/>
      <c r="P129" s="1416"/>
      <c r="Q129" s="1416"/>
      <c r="R129" s="1416"/>
      <c r="S129" s="1416"/>
      <c r="T129" s="1416"/>
      <c r="U129" s="1416"/>
      <c r="V129" s="1416"/>
      <c r="W129" s="1416"/>
      <c r="X129" s="1416"/>
      <c r="Y129" s="1416"/>
      <c r="Z129" s="1416"/>
      <c r="AA129" s="1416"/>
      <c r="AB129" s="1416"/>
      <c r="AC129" s="1416"/>
      <c r="AD129" s="1416"/>
      <c r="AE129" s="1416"/>
      <c r="AF129" s="1416"/>
      <c r="AG129" s="1416"/>
      <c r="AH129" s="1416"/>
      <c r="AI129" s="1416"/>
      <c r="AJ129" s="1416"/>
      <c r="AK129" s="1416"/>
      <c r="AL129" s="1416"/>
      <c r="AM129" s="1416"/>
      <c r="AN129" s="1416"/>
      <c r="AO129" s="1416"/>
      <c r="AP129" s="1416"/>
      <c r="AQ129" s="1416"/>
      <c r="AR129" s="1416"/>
      <c r="AS129" s="1416"/>
      <c r="AT129" s="1417"/>
      <c r="AU129" s="160"/>
      <c r="AV129" s="151"/>
      <c r="AW129" s="151"/>
      <c r="AX129" s="151"/>
      <c r="AY129" s="151"/>
      <c r="AZ129" s="431" t="s">
        <v>1073</v>
      </c>
    </row>
    <row r="130" spans="1:52" ht="18.649999999999999" hidden="1" customHeight="1">
      <c r="A130" s="179"/>
      <c r="B130" s="249"/>
      <c r="C130" s="1409"/>
      <c r="D130" s="1410"/>
      <c r="E130" s="1410"/>
      <c r="F130" s="1410"/>
      <c r="G130" s="1410"/>
      <c r="H130" s="1411"/>
      <c r="I130" s="1418"/>
      <c r="J130" s="1419"/>
      <c r="K130" s="1419"/>
      <c r="L130" s="1419"/>
      <c r="M130" s="1419"/>
      <c r="N130" s="1419"/>
      <c r="O130" s="1419"/>
      <c r="P130" s="1419"/>
      <c r="Q130" s="1419"/>
      <c r="R130" s="1419"/>
      <c r="S130" s="1419"/>
      <c r="T130" s="1419"/>
      <c r="U130" s="1419"/>
      <c r="V130" s="1419"/>
      <c r="W130" s="1419"/>
      <c r="X130" s="1419"/>
      <c r="Y130" s="1419"/>
      <c r="Z130" s="1419"/>
      <c r="AA130" s="1419"/>
      <c r="AB130" s="1419"/>
      <c r="AC130" s="1419"/>
      <c r="AD130" s="1419"/>
      <c r="AE130" s="1419"/>
      <c r="AF130" s="1419"/>
      <c r="AG130" s="1419"/>
      <c r="AH130" s="1419"/>
      <c r="AI130" s="1419"/>
      <c r="AJ130" s="1419"/>
      <c r="AK130" s="1419"/>
      <c r="AL130" s="1419"/>
      <c r="AM130" s="1419"/>
      <c r="AN130" s="1419"/>
      <c r="AO130" s="1419"/>
      <c r="AP130" s="1419"/>
      <c r="AQ130" s="1419"/>
      <c r="AR130" s="1419"/>
      <c r="AS130" s="1419"/>
      <c r="AT130" s="1420"/>
      <c r="AU130" s="160"/>
      <c r="AV130" s="151"/>
      <c r="AW130" s="151"/>
      <c r="AX130" s="151"/>
      <c r="AY130" s="151"/>
      <c r="AZ130" s="431" t="s">
        <v>1073</v>
      </c>
    </row>
    <row r="131" spans="1:52" ht="18.649999999999999" hidden="1" customHeight="1" thickBot="1">
      <c r="A131" s="179"/>
      <c r="B131" s="249"/>
      <c r="C131" s="1412"/>
      <c r="D131" s="1413"/>
      <c r="E131" s="1413"/>
      <c r="F131" s="1413"/>
      <c r="G131" s="1413"/>
      <c r="H131" s="1414"/>
      <c r="I131" s="1421"/>
      <c r="J131" s="1422"/>
      <c r="K131" s="1422"/>
      <c r="L131" s="1422"/>
      <c r="M131" s="1422"/>
      <c r="N131" s="1422"/>
      <c r="O131" s="1422"/>
      <c r="P131" s="1422"/>
      <c r="Q131" s="1422"/>
      <c r="R131" s="1422"/>
      <c r="S131" s="1422"/>
      <c r="T131" s="1422"/>
      <c r="U131" s="1422"/>
      <c r="V131" s="1422"/>
      <c r="W131" s="1422"/>
      <c r="X131" s="1422"/>
      <c r="Y131" s="1422"/>
      <c r="Z131" s="1422"/>
      <c r="AA131" s="1422"/>
      <c r="AB131" s="1422"/>
      <c r="AC131" s="1422"/>
      <c r="AD131" s="1422"/>
      <c r="AE131" s="1422"/>
      <c r="AF131" s="1422"/>
      <c r="AG131" s="1422"/>
      <c r="AH131" s="1422"/>
      <c r="AI131" s="1422"/>
      <c r="AJ131" s="1422"/>
      <c r="AK131" s="1422"/>
      <c r="AL131" s="1422"/>
      <c r="AM131" s="1422"/>
      <c r="AN131" s="1422"/>
      <c r="AO131" s="1422"/>
      <c r="AP131" s="1422"/>
      <c r="AQ131" s="1422"/>
      <c r="AR131" s="1422"/>
      <c r="AS131" s="1422"/>
      <c r="AT131" s="1423"/>
      <c r="AU131" s="160"/>
      <c r="AV131" s="151"/>
      <c r="AW131" s="151"/>
      <c r="AZ131" s="431" t="s">
        <v>1073</v>
      </c>
    </row>
    <row r="132" spans="1:52" ht="18" customHeight="1" thickBot="1">
      <c r="A132" s="179"/>
      <c r="B132" s="249"/>
      <c r="C132" s="592"/>
      <c r="D132" s="592"/>
      <c r="E132" s="592"/>
      <c r="F132" s="592"/>
      <c r="G132" s="592"/>
      <c r="H132" s="592"/>
      <c r="I132" s="601"/>
      <c r="J132" s="601"/>
      <c r="K132" s="601"/>
      <c r="L132" s="601"/>
      <c r="M132" s="601"/>
      <c r="N132" s="601"/>
      <c r="O132" s="601"/>
      <c r="P132" s="601"/>
      <c r="Q132" s="601"/>
      <c r="R132" s="601"/>
      <c r="S132" s="601"/>
      <c r="T132" s="601"/>
      <c r="U132" s="601"/>
      <c r="V132" s="601"/>
      <c r="W132" s="601"/>
      <c r="X132" s="601"/>
      <c r="Y132" s="601"/>
      <c r="Z132" s="601"/>
      <c r="AA132" s="601"/>
      <c r="AB132" s="601"/>
      <c r="AC132" s="601"/>
      <c r="AD132" s="601"/>
      <c r="AE132" s="601"/>
      <c r="AF132" s="601"/>
      <c r="AG132" s="601"/>
      <c r="AH132" s="601"/>
      <c r="AI132" s="601"/>
      <c r="AJ132" s="601"/>
      <c r="AK132" s="601"/>
      <c r="AL132" s="601"/>
      <c r="AM132" s="601"/>
      <c r="AN132" s="601"/>
      <c r="AO132" s="601"/>
      <c r="AP132" s="601"/>
      <c r="AQ132" s="601"/>
      <c r="AR132" s="601"/>
      <c r="AS132" s="601"/>
      <c r="AT132" s="601"/>
      <c r="AU132" s="160"/>
      <c r="AV132" s="151"/>
    </row>
    <row r="133" spans="1:52" ht="18" customHeight="1">
      <c r="A133" s="179"/>
      <c r="B133" s="249"/>
      <c r="C133" s="1389" t="s">
        <v>776</v>
      </c>
      <c r="D133" s="1390"/>
      <c r="E133" s="1390"/>
      <c r="F133" s="1390"/>
      <c r="G133" s="1390"/>
      <c r="H133" s="1391"/>
      <c r="I133" s="1395" t="s">
        <v>2017</v>
      </c>
      <c r="J133" s="1395"/>
      <c r="K133" s="1395"/>
      <c r="L133" s="1395"/>
      <c r="M133" s="1395"/>
      <c r="N133" s="1395"/>
      <c r="O133" s="1395"/>
      <c r="P133" s="1395"/>
      <c r="Q133" s="1395"/>
      <c r="R133" s="1395"/>
      <c r="S133" s="1395"/>
      <c r="T133" s="1395"/>
      <c r="U133" s="1395"/>
      <c r="V133" s="1395"/>
      <c r="W133" s="1395"/>
      <c r="X133" s="1395"/>
      <c r="Y133" s="1395"/>
      <c r="Z133" s="1395"/>
      <c r="AA133" s="1395"/>
      <c r="AB133" s="1395"/>
      <c r="AC133" s="1395"/>
      <c r="AD133" s="1395"/>
      <c r="AE133" s="1395"/>
      <c r="AF133" s="1395"/>
      <c r="AG133" s="1395"/>
      <c r="AH133" s="1395"/>
      <c r="AI133" s="1395"/>
      <c r="AJ133" s="1395"/>
      <c r="AK133" s="1395"/>
      <c r="AL133" s="1395"/>
      <c r="AM133" s="1395"/>
      <c r="AN133" s="1395"/>
      <c r="AO133" s="1395"/>
      <c r="AP133" s="1395"/>
      <c r="AQ133" s="1395"/>
      <c r="AR133" s="1395"/>
      <c r="AS133" s="1395"/>
      <c r="AT133" s="1396"/>
      <c r="AU133" s="183"/>
    </row>
    <row r="134" spans="1:52" ht="18.649999999999999" customHeight="1">
      <c r="A134" s="179"/>
      <c r="B134" s="249"/>
      <c r="C134" s="1389"/>
      <c r="D134" s="1390"/>
      <c r="E134" s="1390"/>
      <c r="F134" s="1390"/>
      <c r="G134" s="1390"/>
      <c r="H134" s="1391"/>
      <c r="I134" s="1395"/>
      <c r="J134" s="1395"/>
      <c r="K134" s="1395"/>
      <c r="L134" s="1395"/>
      <c r="M134" s="1395"/>
      <c r="N134" s="1395"/>
      <c r="O134" s="1395"/>
      <c r="P134" s="1395"/>
      <c r="Q134" s="1395"/>
      <c r="R134" s="1395"/>
      <c r="S134" s="1395"/>
      <c r="T134" s="1395"/>
      <c r="U134" s="1395"/>
      <c r="V134" s="1395"/>
      <c r="W134" s="1395"/>
      <c r="X134" s="1395"/>
      <c r="Y134" s="1395"/>
      <c r="Z134" s="1395"/>
      <c r="AA134" s="1395"/>
      <c r="AB134" s="1395"/>
      <c r="AC134" s="1395"/>
      <c r="AD134" s="1395"/>
      <c r="AE134" s="1395"/>
      <c r="AF134" s="1395"/>
      <c r="AG134" s="1395"/>
      <c r="AH134" s="1395"/>
      <c r="AI134" s="1395"/>
      <c r="AJ134" s="1395"/>
      <c r="AK134" s="1395"/>
      <c r="AL134" s="1395"/>
      <c r="AM134" s="1395"/>
      <c r="AN134" s="1395"/>
      <c r="AO134" s="1395"/>
      <c r="AP134" s="1395"/>
      <c r="AQ134" s="1395"/>
      <c r="AR134" s="1395"/>
      <c r="AS134" s="1395"/>
      <c r="AT134" s="1396"/>
      <c r="AU134" s="183"/>
    </row>
    <row r="135" spans="1:52" ht="18.649999999999999" customHeight="1">
      <c r="A135" s="179"/>
      <c r="B135" s="249"/>
      <c r="C135" s="1389"/>
      <c r="D135" s="1390"/>
      <c r="E135" s="1390"/>
      <c r="F135" s="1390"/>
      <c r="G135" s="1390"/>
      <c r="H135" s="1391"/>
      <c r="I135" s="1395"/>
      <c r="J135" s="1395"/>
      <c r="K135" s="1395"/>
      <c r="L135" s="1395"/>
      <c r="M135" s="1395"/>
      <c r="N135" s="1395"/>
      <c r="O135" s="1395"/>
      <c r="P135" s="1395"/>
      <c r="Q135" s="1395"/>
      <c r="R135" s="1395"/>
      <c r="S135" s="1395"/>
      <c r="T135" s="1395"/>
      <c r="U135" s="1395"/>
      <c r="V135" s="1395"/>
      <c r="W135" s="1395"/>
      <c r="X135" s="1395"/>
      <c r="Y135" s="1395"/>
      <c r="Z135" s="1395"/>
      <c r="AA135" s="1395"/>
      <c r="AB135" s="1395"/>
      <c r="AC135" s="1395"/>
      <c r="AD135" s="1395"/>
      <c r="AE135" s="1395"/>
      <c r="AF135" s="1395"/>
      <c r="AG135" s="1395"/>
      <c r="AH135" s="1395"/>
      <c r="AI135" s="1395"/>
      <c r="AJ135" s="1395"/>
      <c r="AK135" s="1395"/>
      <c r="AL135" s="1395"/>
      <c r="AM135" s="1395"/>
      <c r="AN135" s="1395"/>
      <c r="AO135" s="1395"/>
      <c r="AP135" s="1395"/>
      <c r="AQ135" s="1395"/>
      <c r="AR135" s="1395"/>
      <c r="AS135" s="1395"/>
      <c r="AT135" s="1396"/>
      <c r="AU135" s="183"/>
    </row>
    <row r="136" spans="1:52" ht="18.649999999999999" customHeight="1">
      <c r="A136" s="179"/>
      <c r="B136" s="249"/>
      <c r="C136" s="1389"/>
      <c r="D136" s="1390"/>
      <c r="E136" s="1390"/>
      <c r="F136" s="1390"/>
      <c r="G136" s="1390"/>
      <c r="H136" s="1391"/>
      <c r="I136" s="1395"/>
      <c r="J136" s="1395"/>
      <c r="K136" s="1395"/>
      <c r="L136" s="1395"/>
      <c r="M136" s="1395"/>
      <c r="N136" s="1395"/>
      <c r="O136" s="1395"/>
      <c r="P136" s="1395"/>
      <c r="Q136" s="1395"/>
      <c r="R136" s="1395"/>
      <c r="S136" s="1395"/>
      <c r="T136" s="1395"/>
      <c r="U136" s="1395"/>
      <c r="V136" s="1395"/>
      <c r="W136" s="1395"/>
      <c r="X136" s="1395"/>
      <c r="Y136" s="1395"/>
      <c r="Z136" s="1395"/>
      <c r="AA136" s="1395"/>
      <c r="AB136" s="1395"/>
      <c r="AC136" s="1395"/>
      <c r="AD136" s="1395"/>
      <c r="AE136" s="1395"/>
      <c r="AF136" s="1395"/>
      <c r="AG136" s="1395"/>
      <c r="AH136" s="1395"/>
      <c r="AI136" s="1395"/>
      <c r="AJ136" s="1395"/>
      <c r="AK136" s="1395"/>
      <c r="AL136" s="1395"/>
      <c r="AM136" s="1395"/>
      <c r="AN136" s="1395"/>
      <c r="AO136" s="1395"/>
      <c r="AP136" s="1395"/>
      <c r="AQ136" s="1395"/>
      <c r="AR136" s="1395"/>
      <c r="AS136" s="1395"/>
      <c r="AT136" s="1396"/>
      <c r="AU136" s="183"/>
    </row>
    <row r="137" spans="1:52" ht="18.649999999999999" customHeight="1">
      <c r="A137" s="179"/>
      <c r="B137" s="249"/>
      <c r="C137" s="1389"/>
      <c r="D137" s="1390"/>
      <c r="E137" s="1390"/>
      <c r="F137" s="1390"/>
      <c r="G137" s="1390"/>
      <c r="H137" s="1391"/>
      <c r="I137" s="1395"/>
      <c r="J137" s="1395"/>
      <c r="K137" s="1395"/>
      <c r="L137" s="1395"/>
      <c r="M137" s="1395"/>
      <c r="N137" s="1395"/>
      <c r="O137" s="1395"/>
      <c r="P137" s="1395"/>
      <c r="Q137" s="1395"/>
      <c r="R137" s="1395"/>
      <c r="S137" s="1395"/>
      <c r="T137" s="1395"/>
      <c r="U137" s="1395"/>
      <c r="V137" s="1395"/>
      <c r="W137" s="1395"/>
      <c r="X137" s="1395"/>
      <c r="Y137" s="1395"/>
      <c r="Z137" s="1395"/>
      <c r="AA137" s="1395"/>
      <c r="AB137" s="1395"/>
      <c r="AC137" s="1395"/>
      <c r="AD137" s="1395"/>
      <c r="AE137" s="1395"/>
      <c r="AF137" s="1395"/>
      <c r="AG137" s="1395"/>
      <c r="AH137" s="1395"/>
      <c r="AI137" s="1395"/>
      <c r="AJ137" s="1395"/>
      <c r="AK137" s="1395"/>
      <c r="AL137" s="1395"/>
      <c r="AM137" s="1395"/>
      <c r="AN137" s="1395"/>
      <c r="AO137" s="1395"/>
      <c r="AP137" s="1395"/>
      <c r="AQ137" s="1395"/>
      <c r="AR137" s="1395"/>
      <c r="AS137" s="1395"/>
      <c r="AT137" s="1396"/>
      <c r="AU137" s="183"/>
    </row>
    <row r="138" spans="1:52" ht="18.649999999999999" customHeight="1" thickBot="1">
      <c r="A138" s="179"/>
      <c r="B138" s="249"/>
      <c r="C138" s="1392"/>
      <c r="D138" s="1393"/>
      <c r="E138" s="1393"/>
      <c r="F138" s="1393"/>
      <c r="G138" s="1393"/>
      <c r="H138" s="1394"/>
      <c r="I138" s="1397"/>
      <c r="J138" s="1397"/>
      <c r="K138" s="1397"/>
      <c r="L138" s="1397"/>
      <c r="M138" s="1397"/>
      <c r="N138" s="1397"/>
      <c r="O138" s="1397"/>
      <c r="P138" s="1397"/>
      <c r="Q138" s="1397"/>
      <c r="R138" s="1397"/>
      <c r="S138" s="1397"/>
      <c r="T138" s="1397"/>
      <c r="U138" s="1397"/>
      <c r="V138" s="1397"/>
      <c r="W138" s="1397"/>
      <c r="X138" s="1397"/>
      <c r="Y138" s="1397"/>
      <c r="Z138" s="1397"/>
      <c r="AA138" s="1397"/>
      <c r="AB138" s="1397"/>
      <c r="AC138" s="1397"/>
      <c r="AD138" s="1397"/>
      <c r="AE138" s="1397"/>
      <c r="AF138" s="1397"/>
      <c r="AG138" s="1397"/>
      <c r="AH138" s="1397"/>
      <c r="AI138" s="1397"/>
      <c r="AJ138" s="1397"/>
      <c r="AK138" s="1397"/>
      <c r="AL138" s="1397"/>
      <c r="AM138" s="1397"/>
      <c r="AN138" s="1397"/>
      <c r="AO138" s="1397"/>
      <c r="AP138" s="1397"/>
      <c r="AQ138" s="1397"/>
      <c r="AR138" s="1397"/>
      <c r="AS138" s="1397"/>
      <c r="AT138" s="1398"/>
      <c r="AU138" s="183"/>
    </row>
    <row r="139" spans="1:52" ht="18.649999999999999" customHeight="1">
      <c r="A139" s="179"/>
      <c r="B139" s="249"/>
      <c r="C139" s="195"/>
      <c r="D139" s="195"/>
      <c r="E139" s="195"/>
      <c r="F139" s="195"/>
      <c r="G139" s="195"/>
      <c r="H139" s="195"/>
      <c r="I139" s="194"/>
      <c r="J139" s="194"/>
      <c r="K139" s="194"/>
      <c r="L139" s="194"/>
      <c r="M139" s="194"/>
      <c r="N139" s="194"/>
      <c r="O139" s="194"/>
      <c r="P139" s="194"/>
      <c r="Q139" s="194"/>
      <c r="R139" s="194"/>
      <c r="S139" s="194"/>
      <c r="T139" s="194"/>
      <c r="U139" s="194"/>
      <c r="V139" s="194"/>
      <c r="W139" s="194"/>
      <c r="X139" s="194"/>
      <c r="Y139" s="194"/>
      <c r="Z139" s="194"/>
      <c r="AA139" s="194"/>
      <c r="AB139" s="194"/>
      <c r="AC139" s="194"/>
      <c r="AD139" s="194"/>
      <c r="AE139" s="194"/>
      <c r="AF139" s="194"/>
      <c r="AG139" s="194"/>
      <c r="AH139" s="194"/>
      <c r="AI139" s="194"/>
      <c r="AJ139" s="194"/>
      <c r="AK139" s="194"/>
      <c r="AL139" s="194"/>
      <c r="AM139" s="194"/>
      <c r="AN139" s="194"/>
      <c r="AO139" s="194"/>
      <c r="AP139" s="194"/>
      <c r="AQ139" s="194"/>
      <c r="AR139" s="194"/>
      <c r="AS139" s="194"/>
      <c r="AT139" s="194"/>
      <c r="AU139" s="183"/>
    </row>
    <row r="140" spans="1:52" ht="18.649999999999999" customHeight="1">
      <c r="A140" s="179"/>
      <c r="B140" s="249"/>
      <c r="C140" s="148"/>
      <c r="D140" s="148"/>
      <c r="E140" s="148"/>
      <c r="F140" s="148"/>
      <c r="G140" s="148"/>
      <c r="H140" s="148"/>
      <c r="I140" s="148"/>
      <c r="J140" s="148"/>
      <c r="K140" s="148"/>
      <c r="L140" s="148"/>
      <c r="M140" s="148"/>
      <c r="N140" s="148"/>
      <c r="O140" s="148"/>
      <c r="P140" s="148"/>
      <c r="Q140" s="148"/>
      <c r="R140" s="148"/>
      <c r="S140" s="148"/>
      <c r="T140" s="148"/>
      <c r="U140" s="148"/>
      <c r="V140" s="148"/>
      <c r="W140" s="148"/>
      <c r="X140" s="148"/>
      <c r="Y140" s="148"/>
      <c r="Z140" s="148"/>
      <c r="AA140" s="148"/>
      <c r="AB140" s="148"/>
      <c r="AC140" s="148"/>
      <c r="AD140" s="148"/>
      <c r="AE140" s="148"/>
      <c r="AF140" s="148"/>
      <c r="AG140" s="148"/>
      <c r="AH140" s="148"/>
      <c r="AI140" s="148"/>
      <c r="AJ140" s="148"/>
      <c r="AK140" s="148"/>
      <c r="AL140" s="148"/>
      <c r="AM140" s="148"/>
      <c r="AN140" s="148"/>
      <c r="AO140" s="148"/>
      <c r="AP140" s="148"/>
      <c r="AQ140" s="148"/>
      <c r="AR140" s="148"/>
      <c r="AS140" s="148"/>
      <c r="AT140" s="148"/>
      <c r="AU140" s="183"/>
    </row>
    <row r="141" spans="1:52" ht="18" customHeight="1">
      <c r="A141" s="179"/>
      <c r="B141" s="249"/>
      <c r="C141" s="148"/>
      <c r="D141" s="148"/>
      <c r="E141" s="148"/>
      <c r="F141" s="148"/>
      <c r="G141" s="148"/>
      <c r="H141" s="148"/>
      <c r="I141" s="148"/>
      <c r="J141" s="148"/>
      <c r="K141" s="148"/>
      <c r="L141" s="148"/>
      <c r="M141" s="148"/>
      <c r="N141" s="148"/>
      <c r="O141" s="148"/>
      <c r="P141" s="148"/>
      <c r="Q141" s="148"/>
      <c r="R141" s="148"/>
      <c r="S141" s="148"/>
      <c r="T141" s="148"/>
      <c r="U141" s="148"/>
      <c r="V141" s="148"/>
      <c r="W141" s="148"/>
      <c r="X141" s="148"/>
      <c r="Y141" s="148"/>
      <c r="Z141" s="148"/>
      <c r="AA141" s="148"/>
      <c r="AB141" s="148"/>
      <c r="AC141" s="148"/>
      <c r="AD141" s="148"/>
      <c r="AE141" s="148"/>
      <c r="AF141" s="148"/>
      <c r="AG141" s="148"/>
      <c r="AH141" s="148"/>
      <c r="AI141" s="148"/>
      <c r="AJ141" s="148"/>
      <c r="AK141" s="148"/>
      <c r="AL141" s="148"/>
      <c r="AM141" s="148"/>
      <c r="AN141" s="148"/>
      <c r="AO141" s="148"/>
      <c r="AP141" s="148"/>
      <c r="AQ141" s="148"/>
      <c r="AR141" s="148"/>
      <c r="AS141" s="148"/>
      <c r="AT141" s="148"/>
      <c r="AU141" s="183"/>
    </row>
    <row r="142" spans="1:52" ht="18" customHeight="1">
      <c r="A142" s="179"/>
      <c r="B142" s="249"/>
      <c r="C142" s="148"/>
      <c r="D142" s="148"/>
      <c r="E142" s="148"/>
      <c r="F142" s="148"/>
      <c r="G142" s="148"/>
      <c r="H142" s="148"/>
      <c r="I142" s="148"/>
      <c r="J142" s="148"/>
      <c r="K142" s="148"/>
      <c r="L142" s="148"/>
      <c r="M142" s="148"/>
      <c r="N142" s="148"/>
      <c r="O142" s="148"/>
      <c r="P142" s="148"/>
      <c r="Q142" s="148"/>
      <c r="R142" s="148"/>
      <c r="S142" s="148"/>
      <c r="T142" s="148"/>
      <c r="U142" s="148"/>
      <c r="V142" s="148"/>
      <c r="W142" s="148"/>
      <c r="X142" s="148"/>
      <c r="Y142" s="148"/>
      <c r="Z142" s="148"/>
      <c r="AA142" s="148"/>
      <c r="AB142" s="148"/>
      <c r="AC142" s="148"/>
      <c r="AD142" s="148"/>
      <c r="AE142" s="148"/>
      <c r="AF142" s="148"/>
      <c r="AG142" s="148"/>
      <c r="AH142" s="148"/>
      <c r="AI142" s="148"/>
      <c r="AJ142" s="148"/>
      <c r="AK142" s="148"/>
      <c r="AL142" s="148"/>
      <c r="AM142" s="148"/>
      <c r="AN142" s="148"/>
      <c r="AO142" s="148"/>
      <c r="AP142" s="148"/>
      <c r="AQ142" s="148"/>
      <c r="AR142" s="148"/>
      <c r="AS142" s="148"/>
      <c r="AT142" s="148"/>
      <c r="AU142" s="183"/>
    </row>
    <row r="143" spans="1:52" ht="18.649999999999999" customHeight="1" thickBot="1">
      <c r="A143" s="179"/>
      <c r="B143" s="250"/>
      <c r="C143" s="184"/>
      <c r="D143" s="184"/>
      <c r="E143" s="184"/>
      <c r="F143" s="184"/>
      <c r="G143" s="184"/>
      <c r="H143" s="184"/>
      <c r="I143" s="184"/>
      <c r="J143" s="184"/>
      <c r="K143" s="184"/>
      <c r="L143" s="184"/>
      <c r="M143" s="184"/>
      <c r="N143" s="184"/>
      <c r="O143" s="184"/>
      <c r="P143" s="184"/>
      <c r="Q143" s="184"/>
      <c r="R143" s="184"/>
      <c r="S143" s="184"/>
      <c r="T143" s="184"/>
      <c r="U143" s="184"/>
      <c r="V143" s="184"/>
      <c r="W143" s="184"/>
      <c r="X143" s="184"/>
      <c r="Y143" s="184"/>
      <c r="Z143" s="184"/>
      <c r="AA143" s="184"/>
      <c r="AB143" s="184"/>
      <c r="AC143" s="184"/>
      <c r="AD143" s="184"/>
      <c r="AE143" s="184"/>
      <c r="AF143" s="184"/>
      <c r="AG143" s="184"/>
      <c r="AH143" s="184"/>
      <c r="AI143" s="184"/>
      <c r="AJ143" s="184"/>
      <c r="AK143" s="184"/>
      <c r="AL143" s="184"/>
      <c r="AM143" s="184"/>
      <c r="AN143" s="184"/>
      <c r="AO143" s="184"/>
      <c r="AP143" s="184"/>
      <c r="AQ143" s="184"/>
      <c r="AR143" s="184"/>
      <c r="AS143" s="184"/>
      <c r="AT143" s="184"/>
      <c r="AU143" s="185"/>
    </row>
    <row r="144" spans="1:52" ht="18.649999999999999" customHeight="1" thickTop="1">
      <c r="A144" s="179"/>
      <c r="C144" s="187"/>
      <c r="AC144" s="187"/>
      <c r="AD144" s="187"/>
      <c r="AE144" s="187"/>
      <c r="AF144" s="187"/>
      <c r="AG144" s="187"/>
      <c r="AH144" s="187"/>
      <c r="AI144" s="187"/>
      <c r="AJ144" s="187"/>
      <c r="AK144" s="187"/>
      <c r="AT144" s="188"/>
      <c r="AU144" s="189"/>
    </row>
    <row r="145" spans="1:47" ht="18.649999999999999" customHeight="1">
      <c r="A145" s="179"/>
      <c r="C145" s="187"/>
      <c r="AC145" s="187"/>
      <c r="AD145" s="187"/>
      <c r="AE145" s="187"/>
      <c r="AF145" s="187"/>
      <c r="AG145" s="187"/>
      <c r="AH145" s="187"/>
      <c r="AI145" s="187"/>
      <c r="AJ145" s="187"/>
      <c r="AK145" s="187"/>
      <c r="AT145" s="188"/>
      <c r="AU145" s="189"/>
    </row>
    <row r="146" spans="1:47" ht="18.649999999999999" customHeight="1">
      <c r="A146" s="179"/>
      <c r="C146" s="187"/>
      <c r="AC146" s="187"/>
      <c r="AD146" s="187"/>
      <c r="AE146" s="187"/>
      <c r="AF146" s="187"/>
      <c r="AG146" s="187"/>
      <c r="AH146" s="187"/>
      <c r="AI146" s="187"/>
      <c r="AJ146" s="187"/>
      <c r="AK146" s="187"/>
      <c r="AT146" s="188"/>
      <c r="AU146" s="189"/>
    </row>
    <row r="147" spans="1:47" ht="18.649999999999999" customHeight="1">
      <c r="A147" s="179"/>
      <c r="C147" s="187"/>
      <c r="AC147" s="187"/>
      <c r="AD147" s="187"/>
      <c r="AE147" s="187"/>
      <c r="AF147" s="187"/>
      <c r="AG147" s="187"/>
      <c r="AH147" s="187"/>
      <c r="AI147" s="187"/>
      <c r="AJ147" s="187"/>
      <c r="AK147" s="187"/>
      <c r="AT147" s="188"/>
      <c r="AU147" s="189"/>
    </row>
    <row r="148" spans="1:47" ht="18.649999999999999" customHeight="1">
      <c r="A148" s="179"/>
      <c r="C148" s="187"/>
      <c r="AC148" s="187"/>
      <c r="AD148" s="187"/>
      <c r="AE148" s="187"/>
      <c r="AF148" s="187"/>
      <c r="AG148" s="187"/>
      <c r="AH148" s="187"/>
      <c r="AI148" s="187"/>
      <c r="AJ148" s="187"/>
      <c r="AK148" s="187"/>
      <c r="AT148" s="188"/>
      <c r="AU148" s="189"/>
    </row>
    <row r="149" spans="1:47" ht="18.649999999999999" customHeight="1">
      <c r="A149" s="179"/>
      <c r="C149" s="187"/>
      <c r="AC149" s="187"/>
      <c r="AD149" s="187"/>
      <c r="AE149" s="187"/>
      <c r="AF149" s="187"/>
      <c r="AG149" s="187"/>
      <c r="AH149" s="187"/>
      <c r="AI149" s="187"/>
      <c r="AJ149" s="187"/>
      <c r="AK149" s="187"/>
      <c r="AT149" s="188"/>
      <c r="AU149" s="189"/>
    </row>
    <row r="150" spans="1:47" ht="18.649999999999999" customHeight="1">
      <c r="A150" s="179"/>
      <c r="C150" s="187"/>
      <c r="AC150" s="187"/>
      <c r="AD150" s="187"/>
      <c r="AE150" s="187"/>
      <c r="AF150" s="187"/>
      <c r="AG150" s="187"/>
      <c r="AH150" s="187"/>
      <c r="AI150" s="187"/>
      <c r="AJ150" s="187"/>
      <c r="AK150" s="187"/>
      <c r="AT150" s="188"/>
      <c r="AU150" s="189"/>
    </row>
    <row r="151" spans="1:47" ht="18.649999999999999" customHeight="1">
      <c r="A151" s="179"/>
      <c r="C151" s="187"/>
      <c r="AC151" s="187"/>
      <c r="AD151" s="187"/>
      <c r="AE151" s="187"/>
      <c r="AF151" s="187"/>
      <c r="AG151" s="187"/>
      <c r="AH151" s="187"/>
      <c r="AI151" s="187"/>
      <c r="AJ151" s="187"/>
      <c r="AK151" s="187"/>
      <c r="AT151" s="188"/>
      <c r="AU151" s="189"/>
    </row>
    <row r="152" spans="1:47" ht="18.649999999999999" customHeight="1">
      <c r="A152" s="179"/>
      <c r="C152" s="187"/>
      <c r="AC152" s="187"/>
      <c r="AD152" s="187"/>
      <c r="AE152" s="187"/>
      <c r="AF152" s="187"/>
      <c r="AG152" s="187"/>
      <c r="AH152" s="187"/>
      <c r="AI152" s="187"/>
      <c r="AJ152" s="187"/>
      <c r="AK152" s="187"/>
      <c r="AT152" s="188"/>
      <c r="AU152" s="189"/>
    </row>
    <row r="153" spans="1:47" ht="18.649999999999999" customHeight="1">
      <c r="C153" s="187"/>
      <c r="AC153" s="187"/>
      <c r="AD153" s="187"/>
      <c r="AE153" s="187"/>
      <c r="AF153" s="187"/>
      <c r="AG153" s="187"/>
      <c r="AH153" s="187"/>
      <c r="AI153" s="187"/>
      <c r="AJ153" s="187"/>
      <c r="AK153" s="187"/>
      <c r="AT153" s="188"/>
      <c r="AU153" s="189"/>
    </row>
    <row r="154" spans="1:47" ht="18.649999999999999" customHeight="1">
      <c r="C154" s="187"/>
      <c r="AC154" s="187"/>
      <c r="AD154" s="187"/>
      <c r="AE154" s="187"/>
      <c r="AF154" s="187"/>
      <c r="AG154" s="187"/>
      <c r="AH154" s="187"/>
      <c r="AI154" s="187"/>
      <c r="AJ154" s="187"/>
      <c r="AK154" s="187"/>
      <c r="AT154" s="188"/>
      <c r="AU154" s="189"/>
    </row>
    <row r="155" spans="1:47" ht="18.649999999999999" customHeight="1">
      <c r="C155" s="187"/>
      <c r="AC155" s="187"/>
      <c r="AD155" s="187"/>
      <c r="AE155" s="187"/>
      <c r="AF155" s="187"/>
      <c r="AG155" s="187"/>
      <c r="AH155" s="187"/>
      <c r="AI155" s="187"/>
      <c r="AJ155" s="187"/>
      <c r="AK155" s="187"/>
      <c r="AT155" s="188"/>
      <c r="AU155" s="189"/>
    </row>
    <row r="156" spans="1:47" ht="18.649999999999999" customHeight="1">
      <c r="C156" s="187"/>
      <c r="AC156" s="187"/>
      <c r="AD156" s="187"/>
      <c r="AE156" s="187"/>
      <c r="AF156" s="187"/>
      <c r="AG156" s="187"/>
      <c r="AH156" s="187"/>
      <c r="AI156" s="187"/>
      <c r="AJ156" s="187"/>
      <c r="AK156" s="187"/>
      <c r="AT156" s="188"/>
      <c r="AU156" s="189"/>
    </row>
    <row r="157" spans="1:47" ht="18.649999999999999" customHeight="1">
      <c r="C157" s="187"/>
      <c r="AC157" s="187"/>
      <c r="AD157" s="187"/>
      <c r="AE157" s="187"/>
      <c r="AF157" s="187"/>
      <c r="AG157" s="187"/>
      <c r="AH157" s="187"/>
      <c r="AI157" s="187"/>
      <c r="AJ157" s="187"/>
      <c r="AK157" s="187"/>
      <c r="AT157" s="188"/>
      <c r="AU157" s="189"/>
    </row>
    <row r="158" spans="1:47" ht="18.649999999999999" customHeight="1">
      <c r="C158" s="187"/>
      <c r="AC158" s="187"/>
      <c r="AD158" s="187"/>
      <c r="AE158" s="187"/>
      <c r="AF158" s="187"/>
      <c r="AG158" s="187"/>
      <c r="AH158" s="187"/>
      <c r="AI158" s="187"/>
      <c r="AJ158" s="187"/>
      <c r="AK158" s="187"/>
      <c r="AT158" s="188"/>
      <c r="AU158" s="189"/>
    </row>
    <row r="159" spans="1:47" ht="18.649999999999999" customHeight="1">
      <c r="C159" s="187"/>
      <c r="AC159" s="187"/>
      <c r="AD159" s="187"/>
      <c r="AE159" s="187"/>
      <c r="AF159" s="187"/>
      <c r="AG159" s="187"/>
      <c r="AH159" s="187"/>
      <c r="AI159" s="187"/>
      <c r="AJ159" s="187"/>
      <c r="AK159" s="187"/>
      <c r="AT159" s="188"/>
      <c r="AU159" s="189"/>
    </row>
    <row r="160" spans="1:47" ht="18.649999999999999" customHeight="1">
      <c r="C160" s="187"/>
      <c r="AC160" s="187"/>
      <c r="AD160" s="187"/>
      <c r="AE160" s="187"/>
      <c r="AF160" s="187"/>
      <c r="AG160" s="187"/>
      <c r="AH160" s="187"/>
      <c r="AI160" s="187"/>
      <c r="AJ160" s="187"/>
      <c r="AK160" s="187"/>
      <c r="AT160" s="188"/>
      <c r="AU160" s="189"/>
    </row>
    <row r="161" spans="3:47" ht="18.649999999999999" customHeight="1">
      <c r="C161" s="187"/>
      <c r="AC161" s="187"/>
      <c r="AD161" s="187"/>
      <c r="AE161" s="187"/>
      <c r="AF161" s="187"/>
      <c r="AG161" s="187"/>
      <c r="AH161" s="187"/>
      <c r="AI161" s="187"/>
      <c r="AJ161" s="187"/>
      <c r="AK161" s="187"/>
      <c r="AT161" s="188"/>
      <c r="AU161" s="189"/>
    </row>
    <row r="162" spans="3:47" ht="18.649999999999999" customHeight="1">
      <c r="C162" s="187"/>
      <c r="AC162" s="187"/>
      <c r="AD162" s="187"/>
      <c r="AE162" s="187"/>
      <c r="AF162" s="187"/>
      <c r="AG162" s="187"/>
      <c r="AH162" s="187"/>
      <c r="AI162" s="187"/>
      <c r="AJ162" s="187"/>
      <c r="AK162" s="187"/>
      <c r="AT162" s="188"/>
      <c r="AU162" s="189"/>
    </row>
    <row r="163" spans="3:47" ht="18.649999999999999" customHeight="1">
      <c r="C163" s="187"/>
      <c r="AC163" s="187"/>
      <c r="AD163" s="187"/>
      <c r="AE163" s="187"/>
      <c r="AF163" s="187"/>
      <c r="AG163" s="187"/>
      <c r="AH163" s="187"/>
      <c r="AI163" s="187"/>
      <c r="AJ163" s="187"/>
      <c r="AK163" s="187"/>
      <c r="AT163" s="188"/>
      <c r="AU163" s="189"/>
    </row>
    <row r="164" spans="3:47" ht="18.649999999999999" customHeight="1">
      <c r="C164" s="187"/>
      <c r="AC164" s="187"/>
      <c r="AD164" s="187"/>
      <c r="AE164" s="187"/>
      <c r="AF164" s="187"/>
      <c r="AG164" s="187"/>
      <c r="AH164" s="187"/>
      <c r="AI164" s="187"/>
      <c r="AJ164" s="187"/>
      <c r="AK164" s="187"/>
      <c r="AT164" s="188"/>
      <c r="AU164" s="189"/>
    </row>
    <row r="165" spans="3:47" ht="18.649999999999999" customHeight="1">
      <c r="C165" s="187"/>
      <c r="AC165" s="187"/>
      <c r="AD165" s="187"/>
      <c r="AE165" s="187"/>
      <c r="AF165" s="187"/>
      <c r="AG165" s="187"/>
      <c r="AH165" s="187"/>
      <c r="AI165" s="187"/>
      <c r="AJ165" s="187"/>
      <c r="AK165" s="187"/>
      <c r="AT165" s="188"/>
      <c r="AU165" s="189"/>
    </row>
    <row r="166" spans="3:47" ht="18.649999999999999" customHeight="1">
      <c r="C166" s="187"/>
      <c r="AC166" s="187"/>
      <c r="AD166" s="187"/>
      <c r="AE166" s="187"/>
      <c r="AF166" s="187"/>
      <c r="AG166" s="187"/>
      <c r="AH166" s="187"/>
      <c r="AI166" s="187"/>
      <c r="AJ166" s="187"/>
      <c r="AK166" s="187"/>
      <c r="AU166" s="189"/>
    </row>
    <row r="167" spans="3:47" ht="18.649999999999999" customHeight="1">
      <c r="C167" s="187"/>
      <c r="AC167" s="187"/>
      <c r="AD167" s="187"/>
      <c r="AE167" s="187"/>
      <c r="AF167" s="187"/>
      <c r="AG167" s="187"/>
      <c r="AH167" s="187"/>
      <c r="AI167" s="187"/>
      <c r="AJ167" s="187"/>
      <c r="AK167" s="187"/>
      <c r="AU167" s="189"/>
    </row>
    <row r="168" spans="3:47" ht="18.649999999999999" customHeight="1">
      <c r="C168" s="187"/>
      <c r="AC168" s="187"/>
      <c r="AD168" s="187"/>
      <c r="AE168" s="187"/>
      <c r="AF168" s="187"/>
      <c r="AG168" s="187"/>
      <c r="AH168" s="187"/>
      <c r="AI168" s="187"/>
      <c r="AJ168" s="187"/>
      <c r="AK168" s="187"/>
      <c r="AU168" s="189"/>
    </row>
    <row r="169" spans="3:47" ht="18.649999999999999" customHeight="1">
      <c r="C169" s="187"/>
      <c r="AC169" s="187"/>
      <c r="AD169" s="187"/>
      <c r="AE169" s="187"/>
      <c r="AF169" s="187"/>
      <c r="AG169" s="187"/>
      <c r="AH169" s="187"/>
      <c r="AI169" s="187"/>
      <c r="AJ169" s="187"/>
      <c r="AK169" s="187"/>
      <c r="AU169" s="189"/>
    </row>
    <row r="170" spans="3:47" ht="18.649999999999999" customHeight="1">
      <c r="C170" s="187"/>
      <c r="AC170" s="187"/>
      <c r="AD170" s="187"/>
      <c r="AE170" s="187"/>
      <c r="AF170" s="187"/>
      <c r="AG170" s="187"/>
      <c r="AH170" s="187"/>
      <c r="AI170" s="187"/>
      <c r="AJ170" s="187"/>
      <c r="AK170" s="187"/>
      <c r="AU170" s="189"/>
    </row>
    <row r="171" spans="3:47" ht="18.649999999999999" customHeight="1">
      <c r="C171" s="187"/>
      <c r="AC171" s="187"/>
      <c r="AD171" s="187"/>
      <c r="AE171" s="187"/>
      <c r="AF171" s="187"/>
      <c r="AG171" s="187"/>
      <c r="AH171" s="187"/>
      <c r="AI171" s="187"/>
      <c r="AJ171" s="187"/>
      <c r="AK171" s="187"/>
      <c r="AU171" s="189"/>
    </row>
    <row r="172" spans="3:47" ht="18.649999999999999" customHeight="1">
      <c r="C172" s="187"/>
      <c r="AC172" s="187"/>
      <c r="AD172" s="187"/>
      <c r="AE172" s="187"/>
      <c r="AF172" s="187"/>
      <c r="AG172" s="187"/>
      <c r="AH172" s="187"/>
      <c r="AI172" s="187"/>
      <c r="AJ172" s="187"/>
      <c r="AK172" s="187"/>
      <c r="AU172" s="189"/>
    </row>
    <row r="173" spans="3:47" ht="18.649999999999999" customHeight="1">
      <c r="C173" s="187"/>
      <c r="AC173" s="187"/>
      <c r="AD173" s="187"/>
      <c r="AE173" s="187"/>
      <c r="AF173" s="187"/>
      <c r="AG173" s="187"/>
      <c r="AH173" s="187"/>
      <c r="AI173" s="187"/>
      <c r="AJ173" s="187"/>
      <c r="AK173" s="187"/>
      <c r="AU173" s="189"/>
    </row>
    <row r="174" spans="3:47" ht="18.649999999999999" customHeight="1">
      <c r="C174" s="187"/>
      <c r="AC174" s="187"/>
      <c r="AD174" s="187"/>
      <c r="AE174" s="187"/>
      <c r="AF174" s="187"/>
      <c r="AG174" s="187"/>
      <c r="AH174" s="187"/>
      <c r="AI174" s="187"/>
      <c r="AJ174" s="187"/>
      <c r="AK174" s="187"/>
      <c r="AU174" s="189"/>
    </row>
    <row r="175" spans="3:47" ht="18.649999999999999" customHeight="1">
      <c r="C175" s="187"/>
      <c r="AC175" s="187"/>
      <c r="AD175" s="187"/>
      <c r="AE175" s="187"/>
      <c r="AF175" s="187"/>
      <c r="AG175" s="187"/>
      <c r="AH175" s="187"/>
      <c r="AI175" s="187"/>
      <c r="AJ175" s="187"/>
      <c r="AK175" s="187"/>
      <c r="AU175" s="189"/>
    </row>
    <row r="176" spans="3:47" ht="18.649999999999999" customHeight="1">
      <c r="C176" s="187"/>
      <c r="AC176" s="187"/>
      <c r="AD176" s="187"/>
      <c r="AE176" s="187"/>
      <c r="AF176" s="187"/>
      <c r="AG176" s="187"/>
      <c r="AH176" s="187"/>
      <c r="AI176" s="187"/>
      <c r="AJ176" s="187"/>
      <c r="AK176" s="187"/>
      <c r="AU176" s="189"/>
    </row>
    <row r="177" spans="3:47" ht="18.649999999999999" customHeight="1">
      <c r="C177" s="187"/>
      <c r="AC177" s="187"/>
      <c r="AD177" s="187"/>
      <c r="AE177" s="187"/>
      <c r="AF177" s="187"/>
      <c r="AG177" s="187"/>
      <c r="AH177" s="187"/>
      <c r="AI177" s="187"/>
      <c r="AJ177" s="187"/>
      <c r="AK177" s="187"/>
      <c r="AU177" s="189"/>
    </row>
    <row r="178" spans="3:47" ht="18.649999999999999" customHeight="1">
      <c r="C178" s="187"/>
      <c r="AC178" s="187"/>
      <c r="AD178" s="187"/>
      <c r="AE178" s="187"/>
      <c r="AF178" s="187"/>
      <c r="AG178" s="187"/>
      <c r="AH178" s="187"/>
      <c r="AI178" s="187"/>
      <c r="AJ178" s="187"/>
      <c r="AK178" s="187"/>
      <c r="AU178" s="189"/>
    </row>
    <row r="179" spans="3:47" ht="18.649999999999999" customHeight="1">
      <c r="C179" s="187"/>
      <c r="AC179" s="187"/>
      <c r="AD179" s="187"/>
      <c r="AE179" s="187"/>
      <c r="AF179" s="187"/>
      <c r="AG179" s="187"/>
      <c r="AH179" s="187"/>
      <c r="AI179" s="187"/>
      <c r="AJ179" s="187"/>
      <c r="AK179" s="187"/>
      <c r="AU179" s="189"/>
    </row>
    <row r="180" spans="3:47" ht="18.649999999999999" customHeight="1">
      <c r="C180" s="187"/>
      <c r="AC180" s="187"/>
      <c r="AD180" s="187"/>
      <c r="AE180" s="187"/>
      <c r="AF180" s="187"/>
      <c r="AG180" s="187"/>
      <c r="AH180" s="187"/>
      <c r="AI180" s="187"/>
      <c r="AJ180" s="187"/>
      <c r="AK180" s="187"/>
      <c r="AU180" s="189"/>
    </row>
    <row r="181" spans="3:47" ht="18.649999999999999" customHeight="1">
      <c r="C181" s="187"/>
      <c r="AC181" s="187"/>
      <c r="AD181" s="187"/>
      <c r="AE181" s="187"/>
      <c r="AF181" s="187"/>
      <c r="AG181" s="187"/>
      <c r="AH181" s="187"/>
      <c r="AI181" s="187"/>
      <c r="AJ181" s="187"/>
      <c r="AK181" s="187"/>
      <c r="AU181" s="189"/>
    </row>
    <row r="182" spans="3:47" ht="18.649999999999999" customHeight="1">
      <c r="AL182" s="191"/>
    </row>
    <row r="183" spans="3:47" ht="18.649999999999999" customHeight="1">
      <c r="AL183" s="191"/>
    </row>
    <row r="184" spans="3:47" ht="18.649999999999999" customHeight="1">
      <c r="AL184" s="191"/>
    </row>
    <row r="185" spans="3:47" ht="18.649999999999999" customHeight="1">
      <c r="AL185" s="191"/>
    </row>
    <row r="186" spans="3:47" ht="18.649999999999999" customHeight="1">
      <c r="AL186" s="191"/>
    </row>
    <row r="187" spans="3:47" ht="18.649999999999999" customHeight="1">
      <c r="AL187" s="191"/>
    </row>
    <row r="188" spans="3:47" ht="18.649999999999999" customHeight="1">
      <c r="AL188" s="191"/>
    </row>
    <row r="189" spans="3:47" ht="18.649999999999999" customHeight="1">
      <c r="AL189" s="191"/>
    </row>
    <row r="190" spans="3:47" ht="18.649999999999999" customHeight="1">
      <c r="AL190" s="191"/>
    </row>
    <row r="191" spans="3:47" ht="18.649999999999999" customHeight="1">
      <c r="AL191" s="191"/>
    </row>
    <row r="192" spans="3:47" ht="18.649999999999999" customHeight="1">
      <c r="AL192" s="191"/>
    </row>
    <row r="193" spans="38:38" ht="18.649999999999999" customHeight="1">
      <c r="AL193" s="191"/>
    </row>
    <row r="194" spans="38:38" ht="18.649999999999999" customHeight="1">
      <c r="AL194" s="191"/>
    </row>
    <row r="195" spans="38:38" ht="18.649999999999999" customHeight="1">
      <c r="AL195" s="191"/>
    </row>
    <row r="196" spans="38:38" ht="18.649999999999999" customHeight="1">
      <c r="AL196" s="191"/>
    </row>
    <row r="197" spans="38:38" ht="18.649999999999999" customHeight="1">
      <c r="AL197" s="191"/>
    </row>
    <row r="198" spans="38:38" ht="18.649999999999999" customHeight="1">
      <c r="AL198" s="191"/>
    </row>
    <row r="199" spans="38:38" ht="18.649999999999999" customHeight="1">
      <c r="AL199" s="191"/>
    </row>
    <row r="200" spans="38:38" ht="18.649999999999999" customHeight="1">
      <c r="AL200" s="191"/>
    </row>
    <row r="201" spans="38:38" ht="18.649999999999999" customHeight="1">
      <c r="AL201" s="191"/>
    </row>
    <row r="202" spans="38:38" ht="18.649999999999999" customHeight="1">
      <c r="AL202" s="191"/>
    </row>
    <row r="203" spans="38:38" ht="18.649999999999999" customHeight="1">
      <c r="AL203" s="191"/>
    </row>
    <row r="204" spans="38:38" ht="18.649999999999999" customHeight="1">
      <c r="AL204" s="191"/>
    </row>
    <row r="205" spans="38:38" ht="18.649999999999999" customHeight="1">
      <c r="AL205" s="191"/>
    </row>
    <row r="206" spans="38:38" ht="18.649999999999999" customHeight="1">
      <c r="AL206" s="191"/>
    </row>
    <row r="207" spans="38:38" ht="18.649999999999999" customHeight="1">
      <c r="AL207" s="191"/>
    </row>
    <row r="208" spans="38:38" ht="18.649999999999999" customHeight="1">
      <c r="AL208" s="191"/>
    </row>
    <row r="209" spans="38:38" ht="18.649999999999999" customHeight="1">
      <c r="AL209" s="191"/>
    </row>
    <row r="210" spans="38:38" ht="18.649999999999999" customHeight="1">
      <c r="AL210" s="191"/>
    </row>
    <row r="211" spans="38:38" ht="18.649999999999999" customHeight="1">
      <c r="AL211" s="191"/>
    </row>
    <row r="212" spans="38:38" ht="18.649999999999999" customHeight="1">
      <c r="AL212" s="191"/>
    </row>
    <row r="213" spans="38:38" ht="18.649999999999999" customHeight="1">
      <c r="AL213" s="191"/>
    </row>
    <row r="214" spans="38:38" ht="18.649999999999999" customHeight="1">
      <c r="AL214" s="191"/>
    </row>
    <row r="215" spans="38:38" ht="18.649999999999999" customHeight="1">
      <c r="AL215" s="191"/>
    </row>
    <row r="216" spans="38:38" ht="18.649999999999999" customHeight="1">
      <c r="AL216" s="191"/>
    </row>
    <row r="217" spans="38:38" ht="18.649999999999999" customHeight="1">
      <c r="AL217" s="191"/>
    </row>
    <row r="218" spans="38:38" ht="18.649999999999999" customHeight="1">
      <c r="AL218" s="191"/>
    </row>
    <row r="219" spans="38:38" ht="18.649999999999999" customHeight="1">
      <c r="AL219" s="191"/>
    </row>
    <row r="220" spans="38:38" ht="18.649999999999999" customHeight="1">
      <c r="AL220" s="191"/>
    </row>
    <row r="221" spans="38:38" ht="18.649999999999999" customHeight="1">
      <c r="AL221" s="191"/>
    </row>
    <row r="222" spans="38:38" ht="18.649999999999999" customHeight="1">
      <c r="AL222" s="191"/>
    </row>
    <row r="223" spans="38:38" ht="18.649999999999999" customHeight="1">
      <c r="AL223" s="191"/>
    </row>
    <row r="224" spans="38:38" ht="18.649999999999999" customHeight="1">
      <c r="AL224" s="191"/>
    </row>
    <row r="225" spans="38:38" ht="18.649999999999999" customHeight="1">
      <c r="AL225" s="191"/>
    </row>
    <row r="226" spans="38:38" ht="18.649999999999999" customHeight="1">
      <c r="AL226" s="191"/>
    </row>
    <row r="227" spans="38:38" ht="18.649999999999999" customHeight="1">
      <c r="AL227" s="191"/>
    </row>
    <row r="228" spans="38:38" ht="18.649999999999999" customHeight="1">
      <c r="AL228" s="191"/>
    </row>
    <row r="229" spans="38:38" ht="18.649999999999999" customHeight="1">
      <c r="AL229" s="191"/>
    </row>
    <row r="230" spans="38:38" ht="18.649999999999999" customHeight="1">
      <c r="AL230" s="191"/>
    </row>
    <row r="231" spans="38:38" ht="18.649999999999999" customHeight="1">
      <c r="AL231" s="191"/>
    </row>
    <row r="232" spans="38:38" ht="18.649999999999999" customHeight="1">
      <c r="AL232" s="191"/>
    </row>
    <row r="233" spans="38:38" ht="18.649999999999999" customHeight="1">
      <c r="AL233" s="191"/>
    </row>
    <row r="234" spans="38:38" ht="18.649999999999999" customHeight="1">
      <c r="AL234" s="191"/>
    </row>
    <row r="235" spans="38:38" ht="18.649999999999999" customHeight="1">
      <c r="AL235" s="191"/>
    </row>
    <row r="236" spans="38:38" ht="18.649999999999999" customHeight="1">
      <c r="AL236" s="191"/>
    </row>
    <row r="237" spans="38:38" ht="18.649999999999999" customHeight="1">
      <c r="AL237" s="191"/>
    </row>
    <row r="238" spans="38:38" ht="18.649999999999999" customHeight="1">
      <c r="AL238" s="191"/>
    </row>
    <row r="239" spans="38:38" ht="18.649999999999999" customHeight="1">
      <c r="AL239" s="191"/>
    </row>
    <row r="240" spans="38:38" ht="18.649999999999999" customHeight="1">
      <c r="AL240" s="191"/>
    </row>
    <row r="241" spans="38:38" ht="18.649999999999999" customHeight="1">
      <c r="AL241" s="191"/>
    </row>
    <row r="242" spans="38:38" ht="18.649999999999999" customHeight="1">
      <c r="AL242" s="191"/>
    </row>
    <row r="243" spans="38:38" ht="18.649999999999999" customHeight="1">
      <c r="AL243" s="191"/>
    </row>
    <row r="244" spans="38:38" ht="18.649999999999999" customHeight="1">
      <c r="AL244" s="191"/>
    </row>
    <row r="245" spans="38:38" ht="18.649999999999999" customHeight="1">
      <c r="AL245" s="191"/>
    </row>
    <row r="246" spans="38:38" ht="18.649999999999999" customHeight="1">
      <c r="AL246" s="191"/>
    </row>
    <row r="247" spans="38:38" ht="18.649999999999999" customHeight="1">
      <c r="AL247" s="191"/>
    </row>
    <row r="248" spans="38:38" ht="18.649999999999999" customHeight="1">
      <c r="AL248" s="191"/>
    </row>
    <row r="249" spans="38:38" ht="18.649999999999999" customHeight="1">
      <c r="AL249" s="191"/>
    </row>
    <row r="250" spans="38:38" ht="18.649999999999999" customHeight="1">
      <c r="AL250" s="191"/>
    </row>
    <row r="251" spans="38:38" ht="18.649999999999999" customHeight="1">
      <c r="AL251" s="191"/>
    </row>
    <row r="252" spans="38:38" ht="18.649999999999999" customHeight="1">
      <c r="AL252" s="191"/>
    </row>
    <row r="253" spans="38:38" ht="18.649999999999999" customHeight="1">
      <c r="AL253" s="191"/>
    </row>
    <row r="254" spans="38:38" ht="18.649999999999999" customHeight="1">
      <c r="AL254" s="191"/>
    </row>
    <row r="255" spans="38:38" ht="18.649999999999999" customHeight="1">
      <c r="AL255" s="191"/>
    </row>
    <row r="256" spans="38:38" ht="18.649999999999999" customHeight="1">
      <c r="AL256" s="191"/>
    </row>
    <row r="257" spans="38:38" ht="18.649999999999999" customHeight="1">
      <c r="AL257" s="191"/>
    </row>
    <row r="258" spans="38:38" ht="18.649999999999999" customHeight="1">
      <c r="AL258" s="191"/>
    </row>
    <row r="259" spans="38:38" ht="18.649999999999999" customHeight="1">
      <c r="AL259" s="191"/>
    </row>
    <row r="260" spans="38:38" ht="18.649999999999999" customHeight="1">
      <c r="AL260" s="191"/>
    </row>
    <row r="261" spans="38:38" ht="18.649999999999999" customHeight="1">
      <c r="AL261" s="191"/>
    </row>
    <row r="262" spans="38:38" ht="18.649999999999999" customHeight="1">
      <c r="AL262" s="191"/>
    </row>
    <row r="263" spans="38:38" ht="18.649999999999999" customHeight="1">
      <c r="AL263" s="191"/>
    </row>
  </sheetData>
  <sheetProtection algorithmName="SHA-512" hashValue="iHGte2iWC30FJjQm0fHITchiFJQT7vC+WBntdIY1BHu9Xr78NfzH633e6cuD0LRGvp3US+XIW/QiU36Ogfz0Fg==" saltValue="XEkDuDBANRqsGV2UoVEJlw==" spinCount="100000" sheet="1" objects="1" scenarios="1" selectLockedCells="1"/>
  <mergeCells count="363">
    <mergeCell ref="C8:AT8"/>
    <mergeCell ref="C9:AT9"/>
    <mergeCell ref="C10:AT10"/>
    <mergeCell ref="I14:AT14"/>
    <mergeCell ref="I11:AT11"/>
    <mergeCell ref="I12:AT12"/>
    <mergeCell ref="I13:AT13"/>
    <mergeCell ref="I61:AT62"/>
    <mergeCell ref="C55:H55"/>
    <mergeCell ref="AQ49:AR50"/>
    <mergeCell ref="AA44:AT44"/>
    <mergeCell ref="AD48:AF48"/>
    <mergeCell ref="I55:M55"/>
    <mergeCell ref="O55:R55"/>
    <mergeCell ref="I53:M54"/>
    <mergeCell ref="C60:H60"/>
    <mergeCell ref="M58:AT59"/>
    <mergeCell ref="M46:AT47"/>
    <mergeCell ref="AF43:AK43"/>
    <mergeCell ref="AL43:AT43"/>
    <mergeCell ref="O51:U51"/>
    <mergeCell ref="W51:AC51"/>
    <mergeCell ref="AE51:AK51"/>
    <mergeCell ref="AM51:AT51"/>
    <mergeCell ref="I117:P117"/>
    <mergeCell ref="Q117:Y117"/>
    <mergeCell ref="I118:P120"/>
    <mergeCell ref="Q118:Y120"/>
    <mergeCell ref="Q125:Y127"/>
    <mergeCell ref="I125:P127"/>
    <mergeCell ref="Q124:Y124"/>
    <mergeCell ref="I124:P124"/>
    <mergeCell ref="E70:H70"/>
    <mergeCell ref="W70:AC70"/>
    <mergeCell ref="I76:M76"/>
    <mergeCell ref="O76:R76"/>
    <mergeCell ref="I74:AT75"/>
    <mergeCell ref="AG85:AH86"/>
    <mergeCell ref="L79:M80"/>
    <mergeCell ref="N79:N80"/>
    <mergeCell ref="O79:P80"/>
    <mergeCell ref="AN80:AO80"/>
    <mergeCell ref="C85:H86"/>
    <mergeCell ref="AO85:AP86"/>
    <mergeCell ref="AM85:AN86"/>
    <mergeCell ref="AK85:AL86"/>
    <mergeCell ref="AF79:AG79"/>
    <mergeCell ref="AH79:AI79"/>
    <mergeCell ref="AK49:AL50"/>
    <mergeCell ref="AS49:AT50"/>
    <mergeCell ref="AI49:AJ50"/>
    <mergeCell ref="AG48:AH48"/>
    <mergeCell ref="AM49:AN50"/>
    <mergeCell ref="AO49:AP50"/>
    <mergeCell ref="O48:T48"/>
    <mergeCell ref="O49:T50"/>
    <mergeCell ref="AL72:AT73"/>
    <mergeCell ref="AE55:AI55"/>
    <mergeCell ref="AK55:AN55"/>
    <mergeCell ref="V53:AC54"/>
    <mergeCell ref="AD53:AK54"/>
    <mergeCell ref="Y55:AD55"/>
    <mergeCell ref="I60:AT60"/>
    <mergeCell ref="AP55:AT55"/>
    <mergeCell ref="I63:AA63"/>
    <mergeCell ref="AB63:AT63"/>
    <mergeCell ref="J70:M70"/>
    <mergeCell ref="O70:U70"/>
    <mergeCell ref="N53:U54"/>
    <mergeCell ref="I72:M73"/>
    <mergeCell ref="N72:U73"/>
    <mergeCell ref="V72:AC73"/>
    <mergeCell ref="AD72:AK73"/>
    <mergeCell ref="T55:X55"/>
    <mergeCell ref="J69:AT69"/>
    <mergeCell ref="AE70:AK70"/>
    <mergeCell ref="I66:AA66"/>
    <mergeCell ref="I64:AA65"/>
    <mergeCell ref="AB64:AT65"/>
    <mergeCell ref="C52:H54"/>
    <mergeCell ref="C61:H65"/>
    <mergeCell ref="C66:H66"/>
    <mergeCell ref="AB66:AT66"/>
    <mergeCell ref="J52:K52"/>
    <mergeCell ref="M52:N52"/>
    <mergeCell ref="J71:K71"/>
    <mergeCell ref="M71:N71"/>
    <mergeCell ref="C69:H69"/>
    <mergeCell ref="I67:AA68"/>
    <mergeCell ref="AB67:AT68"/>
    <mergeCell ref="C67:H68"/>
    <mergeCell ref="AL53:AT54"/>
    <mergeCell ref="E71:H73"/>
    <mergeCell ref="AB79:AC79"/>
    <mergeCell ref="AD79:AE79"/>
    <mergeCell ref="R79:S80"/>
    <mergeCell ref="C83:H84"/>
    <mergeCell ref="I83:AT84"/>
    <mergeCell ref="C81:H82"/>
    <mergeCell ref="I81:AT82"/>
    <mergeCell ref="I77:AT78"/>
    <mergeCell ref="E74:H75"/>
    <mergeCell ref="T76:X76"/>
    <mergeCell ref="AE122:AI122"/>
    <mergeCell ref="C40:H41"/>
    <mergeCell ref="I40:AT41"/>
    <mergeCell ref="C42:H42"/>
    <mergeCell ref="I42:AT42"/>
    <mergeCell ref="C48:H48"/>
    <mergeCell ref="AH80:AI80"/>
    <mergeCell ref="AJ80:AK80"/>
    <mergeCell ref="AL80:AM80"/>
    <mergeCell ref="C77:H78"/>
    <mergeCell ref="C49:H50"/>
    <mergeCell ref="AG49:AH50"/>
    <mergeCell ref="C76:H76"/>
    <mergeCell ref="C79:H80"/>
    <mergeCell ref="I79:J80"/>
    <mergeCell ref="K79:K80"/>
    <mergeCell ref="AS95:AT96"/>
    <mergeCell ref="K93:L94"/>
    <mergeCell ref="AK122:AN122"/>
    <mergeCell ref="AP122:AT122"/>
    <mergeCell ref="C51:H51"/>
    <mergeCell ref="AB85:AF86"/>
    <mergeCell ref="C122:H123"/>
    <mergeCell ref="I122:Y123"/>
    <mergeCell ref="C3:AT4"/>
    <mergeCell ref="M25:AT26"/>
    <mergeCell ref="C35:H37"/>
    <mergeCell ref="J35:K35"/>
    <mergeCell ref="M35:N35"/>
    <mergeCell ref="C20:H22"/>
    <mergeCell ref="C27:H27"/>
    <mergeCell ref="I27:AT27"/>
    <mergeCell ref="C28:H30"/>
    <mergeCell ref="I28:AT30"/>
    <mergeCell ref="C34:H34"/>
    <mergeCell ref="I20:AM22"/>
    <mergeCell ref="AO20:AQ22"/>
    <mergeCell ref="AR20:AT22"/>
    <mergeCell ref="C31:H33"/>
    <mergeCell ref="J34:M34"/>
    <mergeCell ref="C11:H17"/>
    <mergeCell ref="C23:AT24"/>
    <mergeCell ref="AL18:AO19"/>
    <mergeCell ref="I15:AT15"/>
    <mergeCell ref="I16:AT16"/>
    <mergeCell ref="W34:AC34"/>
    <mergeCell ref="O34:U34"/>
    <mergeCell ref="C5:AT7"/>
    <mergeCell ref="AK119:AN119"/>
    <mergeCell ref="Z118:AD118"/>
    <mergeCell ref="Z120:AD120"/>
    <mergeCell ref="AB106:AT107"/>
    <mergeCell ref="Z104:AA104"/>
    <mergeCell ref="AB104:AF105"/>
    <mergeCell ref="AG104:AN105"/>
    <mergeCell ref="AP104:AQ104"/>
    <mergeCell ref="AP105:AQ105"/>
    <mergeCell ref="AS105:AT105"/>
    <mergeCell ref="AS104:AT104"/>
    <mergeCell ref="AE120:AT120"/>
    <mergeCell ref="M102:AT103"/>
    <mergeCell ref="AD95:AE96"/>
    <mergeCell ref="AL97:AM98"/>
    <mergeCell ref="AG95:AL96"/>
    <mergeCell ref="L97:U98"/>
    <mergeCell ref="K95:L96"/>
    <mergeCell ref="O95:P96"/>
    <mergeCell ref="C99:K100"/>
    <mergeCell ref="L99:U100"/>
    <mergeCell ref="AN97:AQ98"/>
    <mergeCell ref="AR97:AS98"/>
    <mergeCell ref="AT97:AT98"/>
    <mergeCell ref="C133:H138"/>
    <mergeCell ref="I133:AT138"/>
    <mergeCell ref="AE127:AT127"/>
    <mergeCell ref="C129:H131"/>
    <mergeCell ref="J129:K129"/>
    <mergeCell ref="M129:N129"/>
    <mergeCell ref="O129:AT129"/>
    <mergeCell ref="I130:AT131"/>
    <mergeCell ref="AE123:AT123"/>
    <mergeCell ref="C124:H124"/>
    <mergeCell ref="Z124:AD124"/>
    <mergeCell ref="AE124:AT124"/>
    <mergeCell ref="Z125:AD125"/>
    <mergeCell ref="Z127:AD127"/>
    <mergeCell ref="C128:H128"/>
    <mergeCell ref="K128:T128"/>
    <mergeCell ref="W128:AF128"/>
    <mergeCell ref="AE126:AI126"/>
    <mergeCell ref="AK126:AN126"/>
    <mergeCell ref="AP126:AT126"/>
    <mergeCell ref="AE125:AI125"/>
    <mergeCell ref="AP125:AT125"/>
    <mergeCell ref="C125:H127"/>
    <mergeCell ref="Z123:AD123"/>
    <mergeCell ref="AG93:AL94"/>
    <mergeCell ref="C97:K98"/>
    <mergeCell ref="C93:H94"/>
    <mergeCell ref="C95:H96"/>
    <mergeCell ref="AL99:AM100"/>
    <mergeCell ref="AS93:AT94"/>
    <mergeCell ref="AD93:AE94"/>
    <mergeCell ref="AD99:AE100"/>
    <mergeCell ref="AF99:AG100"/>
    <mergeCell ref="AH99:AI100"/>
    <mergeCell ref="AO93:AP94"/>
    <mergeCell ref="Z93:AA94"/>
    <mergeCell ref="AJ97:AK98"/>
    <mergeCell ref="O93:P94"/>
    <mergeCell ref="R93:W94"/>
    <mergeCell ref="V99:AC100"/>
    <mergeCell ref="AH97:AI98"/>
    <mergeCell ref="Z95:AA96"/>
    <mergeCell ref="R95:W96"/>
    <mergeCell ref="V97:AC98"/>
    <mergeCell ref="AO95:AP96"/>
    <mergeCell ref="AD97:AE98"/>
    <mergeCell ref="AJ99:AK100"/>
    <mergeCell ref="AF97:AG98"/>
    <mergeCell ref="C104:H105"/>
    <mergeCell ref="I104:R105"/>
    <mergeCell ref="T104:U104"/>
    <mergeCell ref="W104:X104"/>
    <mergeCell ref="V106:W107"/>
    <mergeCell ref="X106:Y107"/>
    <mergeCell ref="Q106:U107"/>
    <mergeCell ref="C110:H111"/>
    <mergeCell ref="I110:AT111"/>
    <mergeCell ref="Z108:AA109"/>
    <mergeCell ref="AB108:AC109"/>
    <mergeCell ref="AD108:AE109"/>
    <mergeCell ref="AF108:AG109"/>
    <mergeCell ref="AH108:AI109"/>
    <mergeCell ref="AJ108:AT109"/>
    <mergeCell ref="V108:W109"/>
    <mergeCell ref="X108:Y109"/>
    <mergeCell ref="Z106:AA107"/>
    <mergeCell ref="C106:H107"/>
    <mergeCell ref="T105:U105"/>
    <mergeCell ref="W105:X105"/>
    <mergeCell ref="Z105:AA105"/>
    <mergeCell ref="M108:M109"/>
    <mergeCell ref="N108:P109"/>
    <mergeCell ref="C89:H90"/>
    <mergeCell ref="AL89:AO90"/>
    <mergeCell ref="I89:R90"/>
    <mergeCell ref="S89:S90"/>
    <mergeCell ref="C91:H92"/>
    <mergeCell ref="Z89:AD90"/>
    <mergeCell ref="AE89:AE90"/>
    <mergeCell ref="T89:Y90"/>
    <mergeCell ref="AF89:AF90"/>
    <mergeCell ref="N92:V92"/>
    <mergeCell ref="W92:AA92"/>
    <mergeCell ref="AB92:AH92"/>
    <mergeCell ref="AI92:AM92"/>
    <mergeCell ref="AI91:AT91"/>
    <mergeCell ref="AT89:AT90"/>
    <mergeCell ref="AP89:AS90"/>
    <mergeCell ref="AN92:AO92"/>
    <mergeCell ref="I92:M92"/>
    <mergeCell ref="AG89:AJ90"/>
    <mergeCell ref="AK89:AK90"/>
    <mergeCell ref="C121:H121"/>
    <mergeCell ref="I121:Y121"/>
    <mergeCell ref="Z121:AD121"/>
    <mergeCell ref="AE121:AT121"/>
    <mergeCell ref="I106:J107"/>
    <mergeCell ref="K106:L107"/>
    <mergeCell ref="M106:N107"/>
    <mergeCell ref="O106:P107"/>
    <mergeCell ref="C117:H117"/>
    <mergeCell ref="Z117:AD117"/>
    <mergeCell ref="AE117:AT117"/>
    <mergeCell ref="C108:H109"/>
    <mergeCell ref="C118:H120"/>
    <mergeCell ref="C112:H113"/>
    <mergeCell ref="I112:AT113"/>
    <mergeCell ref="I108:I109"/>
    <mergeCell ref="J108:K109"/>
    <mergeCell ref="AE118:AI118"/>
    <mergeCell ref="AK118:AN118"/>
    <mergeCell ref="M115:AT116"/>
    <mergeCell ref="Z119:AD119"/>
    <mergeCell ref="Q108:U109"/>
    <mergeCell ref="AP118:AT118"/>
    <mergeCell ref="AP119:AT119"/>
    <mergeCell ref="AK125:AN125"/>
    <mergeCell ref="AE119:AI119"/>
    <mergeCell ref="Z126:AD126"/>
    <mergeCell ref="Z122:AD122"/>
    <mergeCell ref="AN79:AO79"/>
    <mergeCell ref="C87:H88"/>
    <mergeCell ref="I87:S88"/>
    <mergeCell ref="T87:Y88"/>
    <mergeCell ref="Z87:AK88"/>
    <mergeCell ref="AL87:AT87"/>
    <mergeCell ref="AL88:AT88"/>
    <mergeCell ref="AS85:AT86"/>
    <mergeCell ref="AQ85:AR86"/>
    <mergeCell ref="AF80:AG80"/>
    <mergeCell ref="AD80:AE80"/>
    <mergeCell ref="AB80:AC80"/>
    <mergeCell ref="Z80:AA80"/>
    <mergeCell ref="T79:Y80"/>
    <mergeCell ref="I85:AA86"/>
    <mergeCell ref="AI85:AJ86"/>
    <mergeCell ref="AJ79:AK79"/>
    <mergeCell ref="AL79:AM79"/>
    <mergeCell ref="Q79:Q80"/>
    <mergeCell ref="Z79:AA79"/>
    <mergeCell ref="C38:H38"/>
    <mergeCell ref="AC43:AE43"/>
    <mergeCell ref="J51:M51"/>
    <mergeCell ref="AF39:AG39"/>
    <mergeCell ref="AH39:AM39"/>
    <mergeCell ref="AD49:AF50"/>
    <mergeCell ref="Q39:R39"/>
    <mergeCell ref="S39:T39"/>
    <mergeCell ref="U39:Z39"/>
    <mergeCell ref="X48:AC50"/>
    <mergeCell ref="U48:W50"/>
    <mergeCell ref="I48:N48"/>
    <mergeCell ref="I49:N50"/>
    <mergeCell ref="AJ48:AK48"/>
    <mergeCell ref="C39:H39"/>
    <mergeCell ref="I39:J39"/>
    <mergeCell ref="K39:L39"/>
    <mergeCell ref="N39:O39"/>
    <mergeCell ref="AA39:AE39"/>
    <mergeCell ref="X43:AB43"/>
    <mergeCell ref="C43:H43"/>
    <mergeCell ref="I43:N43"/>
    <mergeCell ref="O43:Q43"/>
    <mergeCell ref="R43:W43"/>
    <mergeCell ref="AN39:AR39"/>
    <mergeCell ref="AS39:AT39"/>
    <mergeCell ref="AM70:AT70"/>
    <mergeCell ref="C18:H19"/>
    <mergeCell ref="AE18:AH19"/>
    <mergeCell ref="L18:O19"/>
    <mergeCell ref="S18:V19"/>
    <mergeCell ref="I31:X33"/>
    <mergeCell ref="Y31:AD33"/>
    <mergeCell ref="AE31:AT33"/>
    <mergeCell ref="AL36:AT37"/>
    <mergeCell ref="Y38:AD38"/>
    <mergeCell ref="N36:U37"/>
    <mergeCell ref="V36:AC37"/>
    <mergeCell ref="AD36:AK37"/>
    <mergeCell ref="AK38:AN38"/>
    <mergeCell ref="AP38:AT38"/>
    <mergeCell ref="I38:M38"/>
    <mergeCell ref="O38:R38"/>
    <mergeCell ref="T38:X38"/>
    <mergeCell ref="AE38:AI38"/>
    <mergeCell ref="I36:M37"/>
    <mergeCell ref="AM34:AT34"/>
    <mergeCell ref="AE34:AK34"/>
  </mergeCells>
  <phoneticPr fontId="3"/>
  <conditionalFormatting sqref="AG48:AL48">
    <cfRule type="expression" dxfId="261" priority="192" stopIfTrue="1">
      <formula>$AV$48=0</formula>
    </cfRule>
  </conditionalFormatting>
  <conditionalFormatting sqref="J129 M129 I130">
    <cfRule type="expression" dxfId="260" priority="184" stopIfTrue="1">
      <formula>I129=""</formula>
    </cfRule>
  </conditionalFormatting>
  <conditionalFormatting sqref="I104 AG104 I112 I110">
    <cfRule type="expression" dxfId="259" priority="183" stopIfTrue="1">
      <formula>I104=""</formula>
    </cfRule>
  </conditionalFormatting>
  <conditionalFormatting sqref="I106:P107">
    <cfRule type="expression" dxfId="258" priority="182" stopIfTrue="1">
      <formula>$O$106=""</formula>
    </cfRule>
  </conditionalFormatting>
  <conditionalFormatting sqref="V106:AA107">
    <cfRule type="expression" dxfId="257" priority="181" stopIfTrue="1">
      <formula>$Z$106=""</formula>
    </cfRule>
  </conditionalFormatting>
  <conditionalFormatting sqref="S104:AA105">
    <cfRule type="expression" dxfId="256" priority="180" stopIfTrue="1">
      <formula>$AV$104=0</formula>
    </cfRule>
  </conditionalFormatting>
  <conditionalFormatting sqref="AO104:AT105">
    <cfRule type="expression" dxfId="255" priority="179" stopIfTrue="1">
      <formula>$AV$105=0</formula>
    </cfRule>
  </conditionalFormatting>
  <conditionalFormatting sqref="V108:AI109">
    <cfRule type="expression" dxfId="254" priority="178" stopIfTrue="1">
      <formula>OR($V$108="",$X$108="",$Z$108="",$AB$108="",$AD$108="",$AF$108="",$AH$108="")</formula>
    </cfRule>
  </conditionalFormatting>
  <conditionalFormatting sqref="I27">
    <cfRule type="expression" dxfId="253" priority="175">
      <formula>$I$27=""</formula>
    </cfRule>
  </conditionalFormatting>
  <conditionalFormatting sqref="I108:P109">
    <cfRule type="expression" dxfId="252" priority="174">
      <formula>$AV$108=0</formula>
    </cfRule>
  </conditionalFormatting>
  <conditionalFormatting sqref="I48">
    <cfRule type="expression" dxfId="251" priority="173" stopIfTrue="1">
      <formula>I48=""</formula>
    </cfRule>
  </conditionalFormatting>
  <conditionalFormatting sqref="I117:Y127">
    <cfRule type="expression" dxfId="250" priority="171" stopIfTrue="1">
      <formula>I117=""</formula>
    </cfRule>
  </conditionalFormatting>
  <conditionalFormatting sqref="I18:AA19">
    <cfRule type="expression" dxfId="249" priority="169" stopIfTrue="1">
      <formula>$AV$12=0</formula>
    </cfRule>
  </conditionalFormatting>
  <conditionalFormatting sqref="AE123">
    <cfRule type="expression" dxfId="248" priority="168" stopIfTrue="1">
      <formula>AE123=""</formula>
    </cfRule>
  </conditionalFormatting>
  <conditionalFormatting sqref="AI49:AJ50">
    <cfRule type="expression" dxfId="247" priority="161">
      <formula>$AI$49=""</formula>
    </cfRule>
  </conditionalFormatting>
  <conditionalFormatting sqref="AM49:AN50">
    <cfRule type="expression" dxfId="246" priority="160">
      <formula>$AM$49=""</formula>
    </cfRule>
  </conditionalFormatting>
  <conditionalFormatting sqref="AQ49:AR50">
    <cfRule type="expression" dxfId="245" priority="159">
      <formula>$AQ$49=""</formula>
    </cfRule>
  </conditionalFormatting>
  <conditionalFormatting sqref="N92 AB92 AN92 AQ92 AS92">
    <cfRule type="expression" dxfId="244" priority="2952" stopIfTrue="1">
      <formula>AND(OR($AV$91=TRUE,$AW$91=TRUE,$AX$91=TRUE,$AY$91=TRUE,$AZ$91=TRUE,$BA$91=TRUE,$BB$91=TRUE,$BC$91=TRUE),N92="")</formula>
    </cfRule>
  </conditionalFormatting>
  <conditionalFormatting sqref="N92 AB92 AN92:AT92">
    <cfRule type="expression" dxfId="243" priority="2957" stopIfTrue="1">
      <formula>AND($AV$91=FALSE,$AW$91=FALSE,$AX$91=FALSE,$AY$91=FALSE,$AZ$91=FALSE,$BA$91=FALSE,$BB$91=FALSE,$BC$91=FALSE)</formula>
    </cfRule>
  </conditionalFormatting>
  <conditionalFormatting sqref="I79:J80">
    <cfRule type="expression" dxfId="242" priority="147">
      <formula>$I$79=""</formula>
    </cfRule>
  </conditionalFormatting>
  <conditionalFormatting sqref="L79:M80">
    <cfRule type="expression" dxfId="241" priority="146">
      <formula>$L$79=""</formula>
    </cfRule>
  </conditionalFormatting>
  <conditionalFormatting sqref="O79:P80">
    <cfRule type="expression" dxfId="240" priority="145">
      <formula>$O$79=""</formula>
    </cfRule>
  </conditionalFormatting>
  <conditionalFormatting sqref="R79:S80">
    <cfRule type="expression" dxfId="239" priority="144">
      <formula>$R$79=""</formula>
    </cfRule>
  </conditionalFormatting>
  <conditionalFormatting sqref="I87:S88">
    <cfRule type="expression" dxfId="238" priority="142">
      <formula>$I$87=""</formula>
    </cfRule>
    <cfRule type="expression" dxfId="237" priority="143">
      <formula>$I$87="00：選択して下さい"</formula>
    </cfRule>
  </conditionalFormatting>
  <conditionalFormatting sqref="AE120">
    <cfRule type="expression" dxfId="236" priority="138">
      <formula>$AE$120=""</formula>
    </cfRule>
  </conditionalFormatting>
  <conditionalFormatting sqref="Z87">
    <cfRule type="expression" dxfId="235" priority="2958">
      <formula>AND($AV$88="07",$Z$87="")</formula>
    </cfRule>
  </conditionalFormatting>
  <conditionalFormatting sqref="Z87:AK88">
    <cfRule type="expression" dxfId="234" priority="2959">
      <formula>$AV$88&lt;"07"</formula>
    </cfRule>
  </conditionalFormatting>
  <conditionalFormatting sqref="I28">
    <cfRule type="expression" dxfId="233" priority="135">
      <formula>$I$28=""</formula>
    </cfRule>
  </conditionalFormatting>
  <conditionalFormatting sqref="I38">
    <cfRule type="expression" dxfId="232" priority="130">
      <formula>$I$38=""</formula>
    </cfRule>
  </conditionalFormatting>
  <conditionalFormatting sqref="K39:L39">
    <cfRule type="expression" dxfId="231" priority="129">
      <formula>$K$39=""</formula>
    </cfRule>
  </conditionalFormatting>
  <conditionalFormatting sqref="N39:O39">
    <cfRule type="expression" dxfId="230" priority="128">
      <formula>$N$39=""</formula>
    </cfRule>
  </conditionalFormatting>
  <conditionalFormatting sqref="Q39:R39">
    <cfRule type="expression" dxfId="229" priority="127">
      <formula>$Q$39=""</formula>
    </cfRule>
  </conditionalFormatting>
  <conditionalFormatting sqref="AA39">
    <cfRule type="expression" dxfId="228" priority="126">
      <formula>$AA$39=""</formula>
    </cfRule>
  </conditionalFormatting>
  <conditionalFormatting sqref="AN39:AR39">
    <cfRule type="expression" dxfId="227" priority="125">
      <formula>$AN$39=""</formula>
    </cfRule>
  </conditionalFormatting>
  <conditionalFormatting sqref="I40:AT41">
    <cfRule type="expression" dxfId="226" priority="124">
      <formula>$I$40=""</formula>
    </cfRule>
  </conditionalFormatting>
  <conditionalFormatting sqref="I43:N43">
    <cfRule type="expression" dxfId="225" priority="122">
      <formula>$I$43=""</formula>
    </cfRule>
  </conditionalFormatting>
  <conditionalFormatting sqref="X43:AB43">
    <cfRule type="expression" dxfId="224" priority="121">
      <formula>$X$43=""</formula>
    </cfRule>
  </conditionalFormatting>
  <conditionalFormatting sqref="I89:R90">
    <cfRule type="expression" dxfId="223" priority="116">
      <formula>$I$89=""</formula>
    </cfRule>
  </conditionalFormatting>
  <conditionalFormatting sqref="Z89:AD90">
    <cfRule type="expression" dxfId="222" priority="115">
      <formula>$Z$89=""</formula>
    </cfRule>
  </conditionalFormatting>
  <conditionalFormatting sqref="AG89:AJ90">
    <cfRule type="expression" dxfId="221" priority="114">
      <formula>$AG$89=""</formula>
    </cfRule>
  </conditionalFormatting>
  <conditionalFormatting sqref="AP89:AS90">
    <cfRule type="expression" dxfId="220" priority="113">
      <formula>$AP$89=""</formula>
    </cfRule>
  </conditionalFormatting>
  <conditionalFormatting sqref="I128:AT128">
    <cfRule type="expression" dxfId="219" priority="112">
      <formula>$AV$128=0</formula>
    </cfRule>
  </conditionalFormatting>
  <conditionalFormatting sqref="AE127">
    <cfRule type="expression" dxfId="218" priority="109">
      <formula>$AE$127=""</formula>
    </cfRule>
  </conditionalFormatting>
  <conditionalFormatting sqref="AI91">
    <cfRule type="expression" dxfId="217" priority="108" stopIfTrue="1">
      <formula>OR($AV$91=TRUE,$AW$91=TRUE,$AX$91=TRUE,$AY$91=TRUE,$AZ$91=TRUE,$BA$91=TRUE,$BB$91=TRUE,$BC$91=TRUE)</formula>
    </cfRule>
  </conditionalFormatting>
  <conditionalFormatting sqref="I20:AT22">
    <cfRule type="expression" dxfId="216" priority="105">
      <formula>$AV$21=0</formula>
    </cfRule>
  </conditionalFormatting>
  <conditionalFormatting sqref="AL43:AT43">
    <cfRule type="expression" dxfId="215" priority="104">
      <formula>AND($AL$43="",$AV$13&lt;&gt;2)</formula>
    </cfRule>
  </conditionalFormatting>
  <conditionalFormatting sqref="I81:AT82">
    <cfRule type="expression" dxfId="214" priority="97">
      <formula>$I$81=""</formula>
    </cfRule>
  </conditionalFormatting>
  <conditionalFormatting sqref="I85:AA86">
    <cfRule type="expression" dxfId="213" priority="94">
      <formula>$I$85=""</formula>
    </cfRule>
  </conditionalFormatting>
  <conditionalFormatting sqref="AI85:AJ86 AM85:AN86 AQ85:AR86">
    <cfRule type="expression" dxfId="212" priority="93">
      <formula>OR($AI$85="",$AM$85="",$AQ$85="")</formula>
    </cfRule>
  </conditionalFormatting>
  <conditionalFormatting sqref="I93:Q94">
    <cfRule type="expression" dxfId="211" priority="92">
      <formula>$AV$94=0</formula>
    </cfRule>
  </conditionalFormatting>
  <conditionalFormatting sqref="X93:AF94">
    <cfRule type="expression" dxfId="210" priority="91">
      <formula>$AW$94=0</formula>
    </cfRule>
  </conditionalFormatting>
  <conditionalFormatting sqref="AM93:AT94">
    <cfRule type="expression" dxfId="209" priority="90">
      <formula>$AX$94=0</formula>
    </cfRule>
  </conditionalFormatting>
  <conditionalFormatting sqref="I95:Q96">
    <cfRule type="expression" dxfId="208" priority="89">
      <formula>$AV$96=0</formula>
    </cfRule>
  </conditionalFormatting>
  <conditionalFormatting sqref="X95:AF96">
    <cfRule type="expression" dxfId="207" priority="88">
      <formula>$AW$96=0</formula>
    </cfRule>
  </conditionalFormatting>
  <conditionalFormatting sqref="AM95:AT96">
    <cfRule type="expression" dxfId="206" priority="87">
      <formula>$AX$96=0</formula>
    </cfRule>
  </conditionalFormatting>
  <conditionalFormatting sqref="AF97 AJ97">
    <cfRule type="expression" dxfId="205" priority="86">
      <formula>OR($AF$97="",$AJ$97="")</formula>
    </cfRule>
  </conditionalFormatting>
  <conditionalFormatting sqref="AF99 AJ99">
    <cfRule type="expression" dxfId="204" priority="84">
      <formula>OR($AF$99="",$AJ$99="")</formula>
    </cfRule>
  </conditionalFormatting>
  <conditionalFormatting sqref="AD97:AM98">
    <cfRule type="expression" dxfId="203" priority="83">
      <formula>$AV$97&lt;&gt;3</formula>
    </cfRule>
  </conditionalFormatting>
  <conditionalFormatting sqref="AD99:AM100">
    <cfRule type="expression" dxfId="202" priority="82">
      <formula>$AV$99&lt;&gt;2</formula>
    </cfRule>
  </conditionalFormatting>
  <conditionalFormatting sqref="L97:U98">
    <cfRule type="expression" dxfId="201" priority="81">
      <formula>$AV$97=0</formula>
    </cfRule>
  </conditionalFormatting>
  <conditionalFormatting sqref="L99:U100">
    <cfRule type="expression" dxfId="200" priority="80">
      <formula>$AV$99=0</formula>
    </cfRule>
  </conditionalFormatting>
  <conditionalFormatting sqref="O38:R38">
    <cfRule type="expression" dxfId="199" priority="79">
      <formula>$O$38=""</formula>
    </cfRule>
  </conditionalFormatting>
  <conditionalFormatting sqref="T38:X38">
    <cfRule type="expression" dxfId="198" priority="78">
      <formula>$T$38=""</formula>
    </cfRule>
  </conditionalFormatting>
  <conditionalFormatting sqref="I55">
    <cfRule type="expression" dxfId="197" priority="77">
      <formula>$I$55=""</formula>
    </cfRule>
  </conditionalFormatting>
  <conditionalFormatting sqref="O55:R55">
    <cfRule type="expression" dxfId="196" priority="76">
      <formula>$O$55=""</formula>
    </cfRule>
  </conditionalFormatting>
  <conditionalFormatting sqref="T55:X55">
    <cfRule type="expression" dxfId="195" priority="75">
      <formula>$T$55=""</formula>
    </cfRule>
  </conditionalFormatting>
  <conditionalFormatting sqref="I76">
    <cfRule type="expression" dxfId="194" priority="74">
      <formula>$I$76=""</formula>
    </cfRule>
  </conditionalFormatting>
  <conditionalFormatting sqref="O76:R76">
    <cfRule type="expression" dxfId="193" priority="73">
      <formula>$O$76=""</formula>
    </cfRule>
  </conditionalFormatting>
  <conditionalFormatting sqref="T76:X76">
    <cfRule type="expression" dxfId="192" priority="72">
      <formula>$T$76=""</formula>
    </cfRule>
  </conditionalFormatting>
  <conditionalFormatting sqref="AE118">
    <cfRule type="expression" dxfId="191" priority="71">
      <formula>$AE$118=""</formula>
    </cfRule>
  </conditionalFormatting>
  <conditionalFormatting sqref="AK118:AN118">
    <cfRule type="expression" dxfId="190" priority="70">
      <formula>$AK$118=""</formula>
    </cfRule>
  </conditionalFormatting>
  <conditionalFormatting sqref="AP118:AT118">
    <cfRule type="expression" dxfId="189" priority="69">
      <formula>$AP$118=""</formula>
    </cfRule>
  </conditionalFormatting>
  <conditionalFormatting sqref="AE125">
    <cfRule type="expression" dxfId="188" priority="68">
      <formula>$AE$125=""</formula>
    </cfRule>
  </conditionalFormatting>
  <conditionalFormatting sqref="AK125:AN125">
    <cfRule type="expression" dxfId="187" priority="67">
      <formula>$AK$125=""</formula>
    </cfRule>
  </conditionalFormatting>
  <conditionalFormatting sqref="AP125:AT125">
    <cfRule type="expression" dxfId="186" priority="66">
      <formula>$AP$125=""</formula>
    </cfRule>
  </conditionalFormatting>
  <conditionalFormatting sqref="AE122">
    <cfRule type="expression" dxfId="185" priority="52">
      <formula>$AE$122=""</formula>
    </cfRule>
  </conditionalFormatting>
  <conditionalFormatting sqref="AK122:AN122">
    <cfRule type="expression" dxfId="184" priority="51">
      <formula>$AK$122=""</formula>
    </cfRule>
  </conditionalFormatting>
  <conditionalFormatting sqref="AP122:AT122">
    <cfRule type="expression" dxfId="183" priority="50">
      <formula>$AP$122=""</formula>
    </cfRule>
  </conditionalFormatting>
  <conditionalFormatting sqref="AB18:AT19">
    <cfRule type="expression" dxfId="182" priority="49" stopIfTrue="1">
      <formula>$AV$13=0</formula>
    </cfRule>
  </conditionalFormatting>
  <conditionalFormatting sqref="X48">
    <cfRule type="expression" dxfId="181" priority="48" stopIfTrue="1">
      <formula>X48=""</formula>
    </cfRule>
  </conditionalFormatting>
  <conditionalFormatting sqref="O48">
    <cfRule type="expression" dxfId="180" priority="47" stopIfTrue="1">
      <formula>O48=""</formula>
    </cfRule>
  </conditionalFormatting>
  <conditionalFormatting sqref="I49:N50">
    <cfRule type="expression" dxfId="179" priority="46">
      <formula>$I$49=""</formula>
    </cfRule>
  </conditionalFormatting>
  <conditionalFormatting sqref="O49:T50">
    <cfRule type="expression" dxfId="178" priority="45">
      <formula>$O$49=""</formula>
    </cfRule>
  </conditionalFormatting>
  <conditionalFormatting sqref="I31">
    <cfRule type="expression" dxfId="177" priority="44">
      <formula>$AV$31="NG"</formula>
    </cfRule>
  </conditionalFormatting>
  <conditionalFormatting sqref="J35:K35">
    <cfRule type="expression" dxfId="176" priority="43">
      <formula>$J$35=""</formula>
    </cfRule>
  </conditionalFormatting>
  <conditionalFormatting sqref="M35:N35">
    <cfRule type="expression" dxfId="175" priority="42">
      <formula>$M$35=""</formula>
    </cfRule>
  </conditionalFormatting>
  <conditionalFormatting sqref="I36">
    <cfRule type="expression" dxfId="174" priority="41">
      <formula>OR(AV36="00",AV36="")</formula>
    </cfRule>
  </conditionalFormatting>
  <conditionalFormatting sqref="AD34:AE34">
    <cfRule type="expression" dxfId="173" priority="40">
      <formula>$AE$34=""</formula>
    </cfRule>
  </conditionalFormatting>
  <conditionalFormatting sqref="N36">
    <cfRule type="expression" dxfId="172" priority="39">
      <formula>N36=""</formula>
    </cfRule>
  </conditionalFormatting>
  <conditionalFormatting sqref="V36">
    <cfRule type="expression" dxfId="171" priority="38">
      <formula>V36=""</formula>
    </cfRule>
  </conditionalFormatting>
  <conditionalFormatting sqref="AD36">
    <cfRule type="expression" dxfId="170" priority="37">
      <formula>AD36=""</formula>
    </cfRule>
  </conditionalFormatting>
  <conditionalFormatting sqref="N34:U34">
    <cfRule type="expression" dxfId="169" priority="36">
      <formula>$O$34=""</formula>
    </cfRule>
  </conditionalFormatting>
  <conditionalFormatting sqref="N51:U51">
    <cfRule type="expression" dxfId="168" priority="28">
      <formula>$O$51=""</formula>
    </cfRule>
  </conditionalFormatting>
  <conditionalFormatting sqref="J52:K52">
    <cfRule type="expression" dxfId="167" priority="35">
      <formula>$J$52=""</formula>
    </cfRule>
  </conditionalFormatting>
  <conditionalFormatting sqref="M52:N52">
    <cfRule type="expression" dxfId="166" priority="34">
      <formula>$M$52=""</formula>
    </cfRule>
  </conditionalFormatting>
  <conditionalFormatting sqref="I53">
    <cfRule type="expression" dxfId="165" priority="33">
      <formula>OR(AV53="00",AV53="")</formula>
    </cfRule>
  </conditionalFormatting>
  <conditionalFormatting sqref="AD51:AE51">
    <cfRule type="expression" dxfId="164" priority="32">
      <formula>$AE$51=""</formula>
    </cfRule>
  </conditionalFormatting>
  <conditionalFormatting sqref="N53">
    <cfRule type="expression" dxfId="163" priority="31">
      <formula>N53=""</formula>
    </cfRule>
  </conditionalFormatting>
  <conditionalFormatting sqref="V53">
    <cfRule type="expression" dxfId="162" priority="30">
      <formula>V53=""</formula>
    </cfRule>
  </conditionalFormatting>
  <conditionalFormatting sqref="AD53">
    <cfRule type="expression" dxfId="161" priority="29">
      <formula>AD53=""</formula>
    </cfRule>
  </conditionalFormatting>
  <conditionalFormatting sqref="I64">
    <cfRule type="expression" dxfId="160" priority="27">
      <formula>$I$64=""</formula>
    </cfRule>
  </conditionalFormatting>
  <conditionalFormatting sqref="AB64">
    <cfRule type="expression" dxfId="159" priority="26">
      <formula>$AV$64="NG"</formula>
    </cfRule>
  </conditionalFormatting>
  <conditionalFormatting sqref="I67:AA68">
    <cfRule type="expression" dxfId="158" priority="25">
      <formula>$AV$68="NG"</formula>
    </cfRule>
  </conditionalFormatting>
  <conditionalFormatting sqref="AB67:AT68">
    <cfRule type="expression" dxfId="157" priority="24">
      <formula>$AV$67="NG"</formula>
    </cfRule>
  </conditionalFormatting>
  <conditionalFormatting sqref="I60:AT62">
    <cfRule type="expression" dxfId="156" priority="23">
      <formula>I60=""</formula>
    </cfRule>
  </conditionalFormatting>
  <conditionalFormatting sqref="I74:AT75">
    <cfRule type="expression" dxfId="155" priority="22">
      <formula>$AV$74="NG"</formula>
    </cfRule>
  </conditionalFormatting>
  <conditionalFormatting sqref="J71:K71">
    <cfRule type="expression" dxfId="154" priority="21">
      <formula>$J$71=""</formula>
    </cfRule>
  </conditionalFormatting>
  <conditionalFormatting sqref="M71:N71">
    <cfRule type="expression" dxfId="153" priority="20">
      <formula>$M$71=""</formula>
    </cfRule>
  </conditionalFormatting>
  <conditionalFormatting sqref="I72">
    <cfRule type="expression" dxfId="152" priority="19">
      <formula>OR(AV72="00",AV72="")</formula>
    </cfRule>
  </conditionalFormatting>
  <conditionalFormatting sqref="AD70:AE70">
    <cfRule type="expression" dxfId="151" priority="18">
      <formula>$AE$70=""</formula>
    </cfRule>
  </conditionalFormatting>
  <conditionalFormatting sqref="N72">
    <cfRule type="expression" dxfId="150" priority="17">
      <formula>N72=""</formula>
    </cfRule>
  </conditionalFormatting>
  <conditionalFormatting sqref="V72">
    <cfRule type="expression" dxfId="149" priority="16">
      <formula>V72=""</formula>
    </cfRule>
  </conditionalFormatting>
  <conditionalFormatting sqref="AD72">
    <cfRule type="expression" dxfId="148" priority="15">
      <formula>AD72=""</formula>
    </cfRule>
  </conditionalFormatting>
  <conditionalFormatting sqref="N70:U70">
    <cfRule type="expression" dxfId="147" priority="14">
      <formula>$O$70=""</formula>
    </cfRule>
  </conditionalFormatting>
  <conditionalFormatting sqref="I71:AT73 I70:O70 V70:W70 AD70:AE70 AL70:AM70">
    <cfRule type="expression" dxfId="146" priority="4">
      <formula>$AV$69=TRUE</formula>
    </cfRule>
  </conditionalFormatting>
  <conditionalFormatting sqref="I83:AT84">
    <cfRule type="expression" dxfId="145" priority="12">
      <formula>$AV$83="NG"</formula>
    </cfRule>
  </conditionalFormatting>
  <conditionalFormatting sqref="I11:AT17">
    <cfRule type="expression" dxfId="144" priority="10" stopIfTrue="1">
      <formula>$AV$18=FALSE</formula>
    </cfRule>
  </conditionalFormatting>
  <conditionalFormatting sqref="I66:AA66">
    <cfRule type="expression" dxfId="143" priority="9">
      <formula>$AV$66="NG"</formula>
    </cfRule>
  </conditionalFormatting>
  <conditionalFormatting sqref="AE31:AT33">
    <cfRule type="expression" dxfId="142" priority="8">
      <formula>$AV$32="NG"</formula>
    </cfRule>
  </conditionalFormatting>
  <conditionalFormatting sqref="C3:AT4">
    <cfRule type="expression" dxfId="141" priority="7">
      <formula>OR($C$3="",$C$3="選択してください。")</formula>
    </cfRule>
  </conditionalFormatting>
  <conditionalFormatting sqref="V34:AC34">
    <cfRule type="expression" dxfId="140" priority="6">
      <formula>$W$34=""</formula>
    </cfRule>
  </conditionalFormatting>
  <conditionalFormatting sqref="V51:AC51">
    <cfRule type="expression" dxfId="139" priority="5">
      <formula>$W$51=""</formula>
    </cfRule>
  </conditionalFormatting>
  <conditionalFormatting sqref="V70:AC70">
    <cfRule type="expression" dxfId="138" priority="13">
      <formula>$W$70=""</formula>
    </cfRule>
  </conditionalFormatting>
  <conditionalFormatting sqref="AR97:AT98">
    <cfRule type="expression" dxfId="137" priority="2">
      <formula>AND($AW$96&lt;2,$AX$96&lt;2)</formula>
    </cfRule>
  </conditionalFormatting>
  <conditionalFormatting sqref="AR97:AS98">
    <cfRule type="expression" dxfId="136" priority="3">
      <formula>$AR$97=""</formula>
    </cfRule>
  </conditionalFormatting>
  <conditionalFormatting sqref="AN97:AQ98">
    <cfRule type="expression" dxfId="135" priority="1">
      <formula>AND($AW$96&lt;2,$AX$96&lt;2)</formula>
    </cfRule>
  </conditionalFormatting>
  <dataValidations count="124">
    <dataValidation type="whole" imeMode="disabled" allowBlank="1" showInputMessage="1" showErrorMessage="1" sqref="I106:P107 V106:AA107 V108:AI109">
      <formula1>0</formula1>
      <formula2>9</formula2>
    </dataValidation>
    <dataValidation type="whole" imeMode="disabled" allowBlank="1" showInputMessage="1" showErrorMessage="1" sqref="AF99:AG100">
      <formula1>1900</formula1>
      <formula2>2300</formula2>
    </dataValidation>
    <dataValidation type="whole" imeMode="disabled" allowBlank="1" showInputMessage="1" showErrorMessage="1" sqref="AN92:AO92">
      <formula1>1000</formula1>
      <formula2>2300</formula2>
    </dataValidation>
    <dataValidation type="textLength" imeMode="disabled" operator="equal" allowBlank="1" showInputMessage="1" showErrorMessage="1" sqref="M52:N52 M129:N129 M35:N35 M71:N71">
      <formula1>4</formula1>
    </dataValidation>
    <dataValidation type="textLength" imeMode="disabled" operator="equal" allowBlank="1" showInputMessage="1" showErrorMessage="1" sqref="J52:K52 J129:K129 J35:K35 J71:K71">
      <formula1>3</formula1>
    </dataValidation>
    <dataValidation type="custom" imeMode="fullKatakana" allowBlank="1" showInputMessage="1" showErrorMessage="1" errorTitle="カナ入力" error="カナで入力して下さい" sqref="I121:Y121 I60:AT60">
      <formula1>AND(I60=PHONETIC(I60), LEN(I60)*2=LENB(I60))</formula1>
    </dataValidation>
    <dataValidation type="custom" imeMode="fullKatakana" allowBlank="1" showInputMessage="1" showErrorMessage="1" errorTitle="カナ" error="カナで入力して下さい" sqref="I27:AT27">
      <formula1>AND(I27=PHONETIC(I27), LEN(I27)*2=LENB(I27),LEN(I27)&lt;61)</formula1>
    </dataValidation>
    <dataValidation type="custom" imeMode="fullKatakana" allowBlank="1" showInputMessage="1" showErrorMessage="1" errorTitle="中黒" error="中黒点（・）はご使用いただけません。_x000a_ピリオド（.）をご使用ください。" promptTitle="口座名義カナ" prompt="必ず正式な口座名義名（カナ）をご確認の上入力して下さい。ご登録のものと相違がありますと振込エラーとなり、入金をさせていただくことが出来ません。_x000a_・法人略語は正しくご入力ください。_x000a_前株の場合は「カ）」、後株の場合は「（カ」、途中に入る場合は「（カ）」のようにご入力ください。_x000a_・中黒点（・）はご使用いただけません。_x000a_　ピリオド（．）に置き換えてご入力ください。" sqref="I110:AT111">
      <formula1>ISERROR(FIND("・",I110))</formula1>
    </dataValidation>
    <dataValidation type="whole" imeMode="disabled" allowBlank="1" showInputMessage="1" showErrorMessage="1" sqref="AQ49:AR50 AS92 AQ85:AR86 AO99:AO100 AN99:AN100">
      <formula1>1</formula1>
      <formula2>31</formula2>
    </dataValidation>
    <dataValidation type="whole" imeMode="disabled" allowBlank="1" showInputMessage="1" showErrorMessage="1" sqref="N39:O39 AM49:AN50 AQ92 AM85:AN86 AJ97:AK100">
      <formula1>1</formula1>
      <formula2>12</formula2>
    </dataValidation>
    <dataValidation type="custom" imeMode="hiragana" allowBlank="1" showInputMessage="1" showErrorMessage="1" errorTitle="文字数制限がございます" error="200文字以内でご記入下さい。" sqref="I40:AT41">
      <formula1>LENB(I40)&lt;=200</formula1>
    </dataValidation>
    <dataValidation type="whole" imeMode="disabled" allowBlank="1" showInputMessage="1" showErrorMessage="1" promptTitle="年商" prompt="設立初年度などは『0』とご入力下さい。" sqref="AN39:AR39">
      <formula1>0</formula1>
      <formula2>999999999</formula2>
    </dataValidation>
    <dataValidation type="whole" imeMode="disabled" allowBlank="1" showInputMessage="1" showErrorMessage="1" sqref="AA39:AE39">
      <formula1>0</formula1>
      <formula2>99999999</formula2>
    </dataValidation>
    <dataValidation type="textLength" imeMode="halfAlpha" operator="equal" allowBlank="1" showInputMessage="1" showErrorMessage="1" sqref="AG65458:AK65458 AG130994:AK130994 AG196530:AK196530 AG262066:AK262066 AG327602:AK327602 AG393138:AK393138 AG458674:AK458674 AG524210:AK524210 AG589746:AK589746 AG655282:AK655282 AG720818:AK720818 AG786354:AK786354 AG851890:AK851890 AG917426:AK917426 AG982962:AK982962">
      <formula1>7</formula1>
    </dataValidation>
    <dataValidation type="whole" imeMode="halfAlpha" allowBlank="1" showInputMessage="1" showErrorMessage="1" sqref="AN65510:AO65510 AN131046:AO131046 AN196582:AO196582 AN262118:AO262118 AN327654:AO327654 AN393190:AO393190 AN458726:AO458726 AN524262:AO524262 AN589798:AO589798 AN655334:AO655334 AN720870:AO720870 AN786406:AO786406 AN851942:AO851942 AN917478:AO917478 AN983014:AO983014">
      <formula1>1000</formula1>
      <formula2>2099</formula2>
    </dataValidation>
    <dataValidation type="whole" imeMode="halfAlpha" allowBlank="1" showInputMessage="1" showErrorMessage="1" sqref="W65505:X65505 W131041:X131041 W196577:X196577 W262113:X262113 W327649:X327649 W393185:X393185 W458721:X458721 W524257:X524257 W589793:X589793 W655329:X655329 W720865:X720865 W786401:X786401 W851937:X851937 W917473:X917473 W983009:X983009">
      <formula1>2014</formula1>
      <formula2>2099</formula2>
    </dataValidation>
    <dataValidation type="list" allowBlank="1" showInputMessage="1" showErrorMessage="1" sqref="AL983011:AT983011 AL917475:AT917475 AL851939:AT851939 AL786403:AT786403 AL720867:AT720867 AL655331:AT655331 AL589795:AT589795 AL524259:AT524259 AL458723:AT458723 AL393187:AT393187 AL327651:AT327651 AL262115:AT262115 AL196579:AT196579 AL131043:AT131043 AL65507:AT65507">
      <formula1>$AZ$2:$AZ$9</formula1>
    </dataValidation>
    <dataValidation imeMode="halfAlpha" allowBlank="1" showInputMessage="1" showErrorMessage="1" prompt="特商法ページのURLを記載して下さい。_x000a_その際、http://やhttps://を省略しないようお願いいたします。" sqref="I65652:AI65652 I131188:AI131188 I196724:AI196724 I262260:AI262260 I327796:AI327796 I393332:AI393332 I458868:AI458868 I524404:AI524404 I589940:AI589940 I655476:AI655476 I721012:AI721012 I786548:AI786548 I852084:AI852084 I917620:AI917620 I983156:AI983156"/>
    <dataValidation imeMode="hiragana" allowBlank="1" showInputMessage="1" showErrorMessage="1" promptTitle="運用担当" prompt="申込書の押印のご依頼、決済機関からの問い合わせのご連絡、メンテナンスのご案内などをさせていただきます。_x000a_E-mailアドレスにつきましてはグループアドレスのご指定を推奨しております。" sqref="I983129:Y983130 I65625:Y65626 I131161:Y131162 I196697:Y196698 I262233:Y262234 I327769:Y327770 I393305:Y393306 I458841:Y458842 I524377:Y524378 I589913:Y589914 I655449:Y655450 I720985:Y720986 I786521:Y786522 I852057:Y852058 I917593:Y917594"/>
    <dataValidation imeMode="hiragana" allowBlank="1" showInputMessage="1" showErrorMessage="1" promptTitle="技術担当" prompt="接続情報のご連絡など、システム設定に関するご案内をさせていただきます。_x000a_サイト構築を他社に依頼されている場合は、そのご連絡先でも結構です。_x000a_E-mailアドレスにつきましてはグループアドレスのご指定を推奨しております。" sqref="I122:Y123 I65628:Y65629 I131164:Y131165 I196700:Y196701 I262236:Y262237 I327772:Y327773 I393308:Y393309 I458844:Y458845 I524380:Y524381 I589916:Y589917 I655452:Y655453 I720988:Y720989 I786524:Y786525 I852060:Y852061 I917596:Y917597 I983132:Y983133"/>
    <dataValidation imeMode="hiragana" allowBlank="1" showInputMessage="1" showErrorMessage="1" promptTitle="売上報告担当" prompt="収納レポートやご請求書の送付先となります。" sqref="I983135:Y983136 I65631:Y65632 I131167:Y131168 I196703:Y196704 I262239:Y262240 I327775:Y327776 I393311:Y393312 I458847:Y458848 I524383:Y524384 I589919:Y589920 I655455:Y655456 I720991:Y720992 I786527:Y786528 I852063:Y852064 I917599:Y917600 U128:W128 I128:K128"/>
    <dataValidation imeMode="fullKatakana" allowBlank="1" showInputMessage="1" showErrorMessage="1" promptTitle="口座名義カナ" prompt="必ず正式な口座名義名（カナ）をご確認の上入力して下さい。ご登録のものと相違がありますと振込エラーとなり、入金をさせていただくことが出来ません。_x000a_・法人略語は正しくご入力ください。_x000a_前株の場合は「カ）」、後株の場合は「（カ」、途中に入る場合は「（カ）」のようにご入力ください。_x000a_・中黒点（・）はご使用いただけません。_x000a_　ピリオド（．）に置き換えてご入力ください。_x000a_例：ソフトバンク．ペイメント．サービス（カ" sqref="I983151:AT983152 I65647:AT65648 I131183:AT131184 I196719:AT196720 I262255:AT262256 I327791:AT327792 I393327:AT393328 I458863:AT458864 I524399:AT524400 I589935:AT589936 I655471:AT655472 I721007:AT721008 I786543:AT786544 I852079:AT852080 I917615:AT917616"/>
    <dataValidation type="textLength" operator="lessThanOrEqual" allowBlank="1" showInputMessage="1" showErrorMessage="1" errorTitle="文字数制限がございます" error="25文字を超える設定は出来ません。" promptTitle="サービス名称" prompt="決済をご利用いただくサービス名称（サイト名称など）をご記入下さい。_x000a_決済画面等で表示されます。_x000a_全角でご指定下さい。_x000a_「～」「―（全角ダッシュ）」、「－（全角マイナス）」、その他特殊文字は使用できません。_x000a_「‐（全角ハイフン）」、「ー（長音）」に変換お願いします。" sqref="I983002:AT983003 I65498:AT65499 I131034:AT131035 I196570:AT196571 I262106:AT262107 I327642:AT327643 I393178:AT393179 I458714:AT458715 I524250:AT524251 I589786:AT589787 I655322:AT655323 I720858:AT720859 I786394:AT786395 I851930:AT851931 I917466:AT917467">
      <formula1>30</formula1>
    </dataValidation>
    <dataValidation type="textLength" errorStyle="warning" operator="lessThanOrEqual" allowBlank="1" showInputMessage="1" showErrorMessage="1" errorTitle="文字数制限がございます" error="全角12文字程度でご設定下さい。_x000a_長い場合には金融機関により切られて表示される場合がございます。_x000a_また、登録されるのは20文字までとなりそれ以上ご記入いただいても登録されません。" promptTitle="屋号" prompt="金融機関に申請する正式名称で、利用明細などに表示されます。_x000a_金融機関により切られて表示されることがございますので予めご了承いただき12文字以下を目安にご設定下さい。_x000a_最大20文字まで。それ以上ご記入いただいても登録されません。" sqref="I983005:AA983006 I65501:AA65502 I131037:AA131038 I196573:AA196574 I262109:AA262110 I327645:AA327646 I393181:AA393182 I458717:AA458718 I524253:AA524254 I589789:AA589790 I655325:AA655326 I720861:AA720862 I786397:AA786398 I851933:AA851934 I917469:AA917470">
      <formula1>12</formula1>
    </dataValidation>
    <dataValidation type="whole" imeMode="halfAlpha" allowBlank="1" showInputMessage="1" showErrorMessage="1" sqref="Q39:R39 Q65489:R65489 Q131025:R131025 Q196561:R196561 Q262097:R262097 Q327633:R327633 Q393169:R393169 Q458705:R458705 Q524241:R524241 Q589777:R589777 Q655313:R655313 Q720849:R720849 Q786385:R786385 Q851921:R851921 Q917457:R917457 Q982993:R982993 AB65505 AB131041 AB196577 AB262113 AB327649 AB393185 AB458721 AB524257 AB589793 AB655329 AB720865 AB786401 AB851937 AB917473 AB983009 AS65510 AS131046 AS196582 AS262118 AS327654 AS393190 AS458726 AS524262 AS589798 AS655334 AS720870 AS786406 AS851942 AS917478 AS983014 U65476:W65477 U131012:W131013 U196548:W196549 U262084:W262085 U327620:W327621 U393156:W393157 U458692:W458693 U524228:W524229 U589764:W589765 U655300:W655301 U720836:W720837 U786372:W786373 U851908:W851909 U917444:W917445 U982980:W982981">
      <formula1>1</formula1>
      <formula2>31</formula2>
    </dataValidation>
    <dataValidation imeMode="hiragana" allowBlank="1" showInputMessage="1" showErrorMessage="1" promptTitle="会社所在地" prompt="都道府県名からご記入下さい" sqref="Y76:AT76 I65486:AT65487 I131022:AT131023 I196558:AT196559 I262094:AT262095 I327630:AT327631 I393166:AT393167 I458702:AT458703 I524238:AT524239 I589774:AT589775 I655310:AT655311 I720846:AT720847 I786382:AT786383 I851918:AT851919 I917454:AT917455 I982990:AT982991"/>
    <dataValidation type="list" allowBlank="1" showDropDown="1" showInputMessage="1" showErrorMessage="1" errorTitle="ASP手数料" error="ASP手数料は決済手段毎に設定出来ません。_x000a_対象外とする場合はDeleteキーで消して下さい。" promptTitle="ASP手数料" prompt="ASP手数料は全決済手段で一律です。_x000a_対象とするかしないかは決済手段毎に設定することが可能ですが、決済手段毎にASP手数料を変えることは出来ませんのでご注意下さい。_x000a_対象外とする場合はDeleteキーで消して下さい。_x000a_" sqref="AC983056:AF983056 AC65552:AF65552 AC131088:AF131088 AC196624:AF196624 AC262160:AF262160 AC327696:AF327696 AC393232:AF393232 AC458768:AF458768 AC524304:AF524304 AC589840:AF589840 AC655376:AF655376 AC720912:AF720912 AC786448:AF786448 AC851984:AF851984 AC917520:AF917520">
      <formula1>#REF!</formula1>
    </dataValidation>
    <dataValidation type="list" allowBlank="1" showDropDown="1" showInputMessage="1" showErrorMessage="1" errorTitle="トランザクション費" error="トランザクション費は決済手段毎に設定できません。_x000a_対象外とする場合はDeleteキーで消して下さい。" promptTitle="トランザクション費" prompt="トランザクション費は全決済手段で一律です。_x000a_対象とするかしないかは決済手段毎に設定することが可能ですが、決済手段毎にトランザクション費を変えることは出来ませんのでご注意下さい。_x000a_対象外とする場合はDeleteキーで消して下さい。" sqref="AG983056:AJ983056 AG65552:AJ65552 AG131088:AJ131088 AG196624:AJ196624 AG262160:AJ262160 AG327696:AJ327696 AG393232:AJ393232 AG458768:AJ458768 AG524304:AJ524304 AG589840:AJ589840 AG655376:AJ655376 AG720912:AJ720912 AG786448:AJ786448 AG851984:AJ851984 AG917520:AJ917520">
      <formula1>#REF!</formula1>
    </dataValidation>
    <dataValidation type="textLength" imeMode="halfAlpha" operator="greaterThanOrEqual" allowBlank="1" showInputMessage="1" showErrorMessage="1" sqref="AB65510:AH65510 AB131046:AH131046 AB196582:AH196582 AB262118:AH262118 AB327654:AH327654 AB393190:AH393190 AB458726:AH458726 AB524262:AH524262 AB589798:AH589798 AB655334:AH655334 AB720870:AH720870 AB786406:AH786406 AB851942:AH851942 AB917478:AH917478 AB983014:AH983014">
      <formula1>1</formula1>
    </dataValidation>
    <dataValidation imeMode="halfAlpha" allowBlank="1" showInputMessage="1" showErrorMessage="1" promptTitle="サイトURL" prompt="http://やhttps://を省略せずご記入下さい。_x000a_企業HPや店舗HPではなく、決済サービスをご利用いただくサイトのトップページのURLをご記入いただく必要がございます。" sqref="I983007:AH983008 I65503:AH65504 I131039:AH131040 I196575:AH196576 I262111:AH262112 I327647:AH327648 I393183:AH393184 I458719:AH458720 I524255:AH524256 I589791:AH589792 I655327:AH655328 I720863:AH720864 I786399:AH786400 I851935:AH851936 I917471:AH917472"/>
    <dataValidation imeMode="fullKatakana" allowBlank="1" showInputMessage="1" showErrorMessage="1" sqref="I983134:Y983134 I65481:AT65481 I131017:AT131017 I196553:AT196553 I262089:AT262089 I327625:AT327625 I393161:AT393161 I458697:AT458697 I524233:AT524233 I589769:AT589769 I655305:AT655305 I720841:AT720841 I786377:AT786377 I851913:AT851913 I917449:AT917449 I982985:AT982985 I917598:Y917598 I65484:AT65484 I131020:AT131020 I196556:AT196556 I262092:AT262092 I327628:AT327628 I393164:AT393164 I458700:AT458700 I524236:AT524236 I589772:AT589772 I655308:AT655308 I720844:AT720844 I786380:AT786380 I851916:AT851916 I917452:AT917452 I982988:AT982988 I852062:Y852062 I65492:Q65492 I131028:Q131028 I196564:Q196564 I262100:Q262100 I327636:Q327636 I393172:Q393172 I458708:Q458708 I524244:Q524244 I589780:Q589780 I655316:Q655316 I720852:Q720852 I786388:Q786388 I851924:Q851924 I917460:Q917460 I982996:Q982996 I786526:Y786526 I65500:AA65500 I131036:AA131036 I196572:AA196572 I262108:AA262108 I327644:AA327644 I393180:AA393180 I458716:AA458716 I524252:AA524252 I589788:AA589788 I655324:AA655324 I720860:AA720860 I786396:AA786396 I851932:AA851932 I917468:AA917468 I983004:AA983004 I720990:Y720990 I65624:Y65624 I131160:Y131160 I196696:Y196696 I262232:Y262232 I327768:Y327768 I393304:Y393304 I458840:Y458840 I524376:Y524376 I589912:Y589912 I655448:Y655448 I720984:Y720984 I786520:Y786520 I852056:Y852056 I917592:Y917592 I983128:Y983128 I655454:Y655454 I65627:Y65627 I131163:Y131163 I196699:Y196699 I262235:Y262235 I327771:Y327771 I393307:Y393307 I458843:Y458843 I524379:Y524379 I589915:Y589915 I655451:Y655451 I720987:Y720987 I786523:Y786523 I852059:Y852059 I917595:Y917595 I983131:Y983131 I589918:Y589918 I65630:Y65630 I131166:Y131166 I196702:Y196702 I262238:Y262238 I327774:Y327774 I393310:Y393310 I458846:Y458846 I524382:Y524382"/>
    <dataValidation imeMode="hiragana" allowBlank="1" showInputMessage="1" showErrorMessage="1" promptTitle="ご確認下さい！" prompt="該当サイトが公開前の場合、必ず別途サービス概要資料や商材価格表をご提出下さい。" sqref="I983010:AK983011 I65506:AK65507 I131042:AK131043 I196578:AK196579 I262114:AK262115 I327650:AK327651 I393186:AK393187 I458722:AK458723 I524258:AK524259 I589794:AK589795 I655330:AK655331 I720866:AK720867 I786402:AK786403 I851938:AK851939 I917474:AK917475"/>
    <dataValidation type="whole" imeMode="halfAlpha" allowBlank="1" showInputMessage="1" showErrorMessage="1" sqref="P982980:R982981 AM65493:AN65494 AM131029:AN131030 AM196565:AN196566 AM262101:AN262102 AM327637:AN327638 AM393173:AN393174 AM458709:AN458710 AM524245:AN524246 AM589781:AN589782 AM655317:AN655318 AM720853:AN720854 AM786389:AN786390 AM851925:AN851926 AM917461:AN917462 AM982997:AN982998 P917444:R917445 N65489:O65489 N131025:O131025 N196561:O196561 N262097:O262097 N327633:O327633 N393169:O393169 N458705:O458705 N524241:O524241 N589777:O589777 N655313:O655313 N720849:O720849 N786385:O786385 N851921:O851921 N917457:O917457 N982993:O982993 Z65505 Z131041 Z196577 Z262113 Z327649 Z393185 Z458721 Z524257 Z589793 Z655329 Z720865 Z786401 Z851937 Z917473 Z983009 AQ65510 AQ131046 AQ196582 AQ262118 AQ327654 AQ393190 AQ458726 AQ524262 AQ589798 AQ655334 AQ720870 AQ786406 AQ851942 AQ917478 AQ983014 P65476:R65477 P131012:R131013 P196548:R196549 P262084:R262085 P327620:R327621 P393156:R393157 P458692:R458693 P524228:R524229 P589764:R589765 P655300:R655301 P720836:R720837 P786372:R786373 P851908:R851909">
      <formula1>1</formula1>
      <formula2>12</formula2>
    </dataValidation>
    <dataValidation type="whole" imeMode="halfAlpha" allowBlank="1" showInputMessage="1" showErrorMessage="1" sqref="K65476:M65477 K131012:M131013 K196548:M196549 K262084:M262085 K327620:M327621 K393156:M393157 K458692:M458693 K524228:M524229 K589764:M589765 K655300:M655301 K720836:M720837 K786372:M786373 K851908:M851909 K917444:M917445 K982980:M982981">
      <formula1>2014</formula1>
      <formula2>2020</formula2>
    </dataValidation>
    <dataValidation type="textLength" imeMode="halfAlpha" operator="equal" allowBlank="1" showInputMessage="1" showErrorMessage="1" sqref="M983137:N983137 M65485:P65485 M131021:P131021 M196557:P196557 M262093:P262093 M327629:P327629 M393165:P393165 M458701:P458701 M524237:P524237 M589773:P589773 M655309:P655309 M720845:P720845 M786381:P786381 M851917:P851917 M917453:P917453 M982989:P982989 O52:P52 M65633:N65633 M131169:N131169 M196705:N196705 M262241:N262241 M327777:N327777 M393313:N393313 M458849:N458849 M524385:N524385 M589921:N589921 M655457:N655457 M720993:N720993 M786529:N786529 M852065:N852065 M917601:N917601 O35:P35 O71:P71">
      <formula1>4</formula1>
    </dataValidation>
    <dataValidation type="textLength" imeMode="halfAlpha" operator="equal" allowBlank="1" showInputMessage="1" showErrorMessage="1" sqref="J983137:K983137 J65485:K65485 J131021:K131021 J196557:K196557 J262093:K262093 J327629:K327629 J393165:K393165 J458701:K458701 J524237:K524237 J589773:K589773 J655309:K655309 J720845:K720845 J786381:K786381 J851917:K851917 J917453:K917453 J982989:K982989 J917601:K917601 J65633:K65633 J131169:K131169 J196705:K196705 J262241:K262241 J327777:K327777 J393313:K393313 J458849:K458849 J524385:K524385 J589921:K589921 J655457:K655457 J720993:K720993 J786529:K786529 J852065:K852065">
      <formula1>3</formula1>
    </dataValidation>
    <dataValidation type="whole" imeMode="halfAlpha" allowBlank="1" showInputMessage="1" showErrorMessage="1" sqref="K982993:L982993 K65489:L65489 K131025:L131025 K196561:L196561 K262097:L262097 K327633:L327633 K393169:L393169 K458705:L458705 K524241:L524241 K589777:L589777 K655313:L655313 K720849:L720849 K786385:L786385 K851921:L851921 K917457:L917457">
      <formula1>1000</formula1>
      <formula2>2020</formula2>
    </dataValidation>
    <dataValidation type="textLength" imeMode="halfAlpha" operator="lessThanOrEqual" allowBlank="1" showInputMessage="1" showErrorMessage="1" errorTitle="文字数制限がございます" error="25文字を超える設定は出来ません。" sqref="AB983005:AT983006 AB65501:AT65502 AB131037:AT131038 AB196573:AT196574 AB262109:AT262110 AB327645:AT327646 AB393181:AT393182 AB458717:AT458718 AB524253:AT524254 AB589789:AT589790 AB655325:AT655326 AB720861:AT720862 AB786397:AT786398 AB851933:AT851934 AB917469:AT917470">
      <formula1>25</formula1>
    </dataValidation>
    <dataValidation type="whole" imeMode="halfAlpha" allowBlank="1" showInputMessage="1" showErrorMessage="1" sqref="AI982997:AJ982998 AI65493:AJ65494 AI131029:AJ131030 AI196565:AJ196566 AI262101:AJ262102 AI327637:AJ327638 AI393173:AJ393174 AI458709:AJ458710 AI524245:AJ524246 AI589781:AJ589782 AI655317:AJ655318 AI720853:AJ720854 AI786389:AJ786390 AI851925:AJ851926 AI917461:AJ917462">
      <formula1>1900</formula1>
      <formula2>2020</formula2>
    </dataValidation>
    <dataValidation type="textLength" imeMode="halfAlpha" allowBlank="1" showInputMessage="1" showErrorMessage="1" sqref="I65458 I130994 I196530 I262066 I327602 I393138 I458674 I524210 I589746 I655282 I720818 I786354 I851890 I917426 I982962">
      <formula1>5</formula1>
      <formula2>5</formula2>
    </dataValidation>
    <dataValidation type="textLength" imeMode="halfAlpha" allowBlank="1" showInputMessage="1" showErrorMessage="1" sqref="R65458 R130994 R196530 R262066 R327602 R393138 R458674 R524210 R589746 R655282 R720818 R786354 R851890 R917426 R982962">
      <formula1>3</formula1>
      <formula2>3</formula2>
    </dataValidation>
    <dataValidation type="whole" imeMode="halfAlpha" allowBlank="1" showInputMessage="1" showErrorMessage="1" sqref="AA982993:AE982993 AA65489:AE65489 AA131025:AE131025 AA196561:AE196561 AA262097:AE262097 AA327633:AE327633 AA393169:AE393169 AA458705:AE458705 AA524241:AE524241 AA589777:AE589777 AA655313:AE655313 AA720849:AE720849 AA786385:AE786385 AA851921:AE851921 AA917457:AE917457">
      <formula1>0</formula1>
      <formula2>99999999999</formula2>
    </dataValidation>
    <dataValidation type="whole" imeMode="halfAlpha" allowBlank="1" showInputMessage="1" showErrorMessage="1" promptTitle="年商" prompt="設立初年度などは『0』とご入力下さい。" sqref="AN982993:AR982993 AN65489:AR65489 AN131025:AR131025 AN196561:AR196561 AN262097:AR262097 AN327633:AR327633 AN393169:AR393169 AN458705:AR458705 AN524241:AR524241 AN589777:AR589777 AN655313:AR655313 AN720849:AR720849 AN786385:AR786385 AN851921:AR851921 AN917457:AR917457">
      <formula1>0</formula1>
      <formula2>9999999999999</formula2>
    </dataValidation>
    <dataValidation type="whole" imeMode="halfAlpha" allowBlank="1" showInputMessage="1" showErrorMessage="1" promptTitle="利用開始希望日" prompt="決済ASPサービスの利用開始『希望日』です。_x000a_申込書類提出の1ヶ月以降を目安にご記入下さい。_x000a_【ご注意下さい】_x000a_お申込の決済手段や審査状況によりご希望に添えない場合もございますので予めご了承下さい。" sqref="AH65476:AJ65477 AH131012:AJ131013 AH196548:AJ196549 AH262084:AJ262085 AH327620:AJ327621 AH393156:AJ393157 AH458692:AJ458693 AH524228:AJ524229 AH589764:AJ589765 AH655300:AJ655301 AH720836:AJ720837 AH786372:AJ786373 AH851908:AJ851909 AH917444:AJ917445 AH982980:AJ982981">
      <formula1>2012</formula1>
      <formula2>2020</formula2>
    </dataValidation>
    <dataValidation type="whole" imeMode="halfAlpha" allowBlank="1" showInputMessage="1" showErrorMessage="1" promptTitle="利用開始希望日" prompt="決済ASPサービスの利用開始『希望日』です。_x000a_申込書類提出の1ヶ月以降を目安にご記入下さい。_x000a_【ご注意下さい】_x000a_お申込の決済手段や審査状況によりご希望に添えない場合もございますので予めご了承下さい。" sqref="AM65476:AN65477 AM131012:AN131013 AM196548:AN196549 AM262084:AN262085 AM327620:AN327621 AM393156:AN393157 AM458692:AN458693 AM524228:AN524229 AM589764:AN589765 AM655300:AN655301 AM720836:AN720837 AM786372:AN786373 AM851908:AN851909 AM917444:AN917445 AM982980:AN982981">
      <formula1>1</formula1>
      <formula2>12</formula2>
    </dataValidation>
    <dataValidation type="whole" imeMode="halfAlpha" allowBlank="1" showInputMessage="1" showErrorMessage="1" promptTitle="利用開始希望日" prompt="決済ASPサービスの利用開始『希望日』です。_x000a_申込書類提出の1ヶ月以降を目安にご記入下さい。_x000a_【ご注意下さい】_x000a_お申込の決済手段や審査状況によりご希望に添えない場合もございますので予めご了承下さい。" sqref="AQ65476:AR65477 AQ131012:AR131013 AQ196548:AR196549 AQ262084:AR262085 AQ327620:AR327621 AQ393156:AR393157 AQ458692:AR458693 AQ524228:AR524229 AQ589764:AR589765 AQ655300:AR655301 AQ720836:AR720837 AQ786372:AR786373 AQ851908:AR851909 AQ917444:AR917445 AQ982980:AR982981">
      <formula1>1</formula1>
      <formula2>31</formula2>
    </dataValidation>
    <dataValidation imeMode="halfAlpha" allowBlank="1" showInputMessage="1" showErrorMessage="1" promptTitle="FAX番号" prompt="FAXが無い場合は『00-0000-0000』とご入力下さい。" sqref="AE917601:AT917601 AE65488:AT65488 AE131024:AT131024 AE196560:AT196560 AE262096:AT262096 AE327632:AT327632 AE393168:AT393168 AE458704:AT458704 AE524240:AT524240 AE589776:AT589776 AE655312:AT655312 AE720848:AT720848 AE786384:AT786384 AE851920:AT851920 AE917456:AT917456 AE982992:AT982992 AE983137:AT983137 AE65633:AT65633 AE131169:AT131169 AE196705:AT196705 AE262241:AT262241 AE327777:AT327777 AE393313:AT393313 AE458849:AT458849 AE524385:AT524385 AE589921:AT589921 AE655457:AT655457 AE720993:AT720993 AE786529:AT786529 AE852065:AT852065"/>
    <dataValidation imeMode="halfAlpha" allowBlank="1" showInputMessage="1" showErrorMessage="1" promptTitle="メールアドレス" prompt="グループアドレスのご指定を推奨しております。" sqref="AE983130:AT983130 AE65626:AT65626 AE131162:AT131162 AE196698:AT196698 AE262234:AT262234 AE327770:AT327770 AE393306:AT393306 AE458842:AT458842 AE524378:AT524378 AE589914:AT589914 AE655450:AT655450 AE720986:AT720986 AE786522:AT786522 AE852058:AT852058 AE917594:AT917594"/>
    <dataValidation allowBlank="1" showInputMessage="1" showErrorMessage="1" promptTitle="E-mailアドレス" prompt="設定できるE-mailアドレスは1つです。_x000a_メーリングリストのご指定を推奨しております。" sqref="Z120:AD120 Z65626:AD65626 Z131162:AD131162 Z196698:AD196698 Z262234:AD262234 Z327770:AD327770 Z393306:AD393306 Z458842:AD458842 Z524378:AD524378 Z589914:AD589914 Z655450:AD655450 Z720986:AD720986 Z786522:AD786522 Z852058:AD852058 Z917594:AD917594 Z983130:AD983130"/>
    <dataValidation imeMode="hiragana" allowBlank="1" showInputMessage="1" showErrorMessage="1" sqref="I65490:AT65490 I131026:AT131026 I196562:AT196562 I262098:AT262098 I327634:AT327634 I393170:AT393170 I458706:AT458706 I524242:AT524242 I589778:AT589778 I655314:AT655314 I720850:AT720850 I786386:AT786386 I851922:AT851922 I917458:AT917458 I982994:AT982994 I65482:AT65483 I131018:AT131019 I196554:AT196555 I262090:AT262091 I327626:AT327627 I393162:AT393163 I458698:AT458699 I524234:AT524235 I589770:AT589771 I655306:AT655307 I720842:AT720843 I786378:AT786379 I851914:AT851915 I917450:AT917451 I982986:AT982987 AB917638 W65492:AA65494 W131028:AA131030 W196564:AA196566 W262100:AA262102 W327636:AA327638 W393172:AA393174 W458708:AA458710 W524244:AA524246 W589780:AA589782 W655316:AA655318 W720852:AA720854 W786388:AA786390 W851924:AA851926 W917460:AA917462 W982996:AA982998 AB983174 I65493:Q65494 I131029:Q131030 I196565:Q196566 I262101:Q262102 I327637:Q327638 I393173:Q393174 I458709:Q458710 I524245:Q524246 I589781:Q589782 I655317:Q655318 I720853:Q720854 I786389:Q786390 I851925:Q851926 I917461:Q917462 I982997:Q982998 I130:AT132 I65634:AT65635 I131170:AT131171 I196706:AT196707 I262242:AT262243 I327778:AT327779 I393314:AT393315 I458850:AT458851 I524386:AT524387 I589922:AT589923 I655458:AT655459 I720994:AT720995 I786530:AT786531 I852066:AT852067 I917602:AT917603 I983138:AT983139 AD97:AE100 AE65624:AT65624 AE131160:AT131160 AE196696:AT196696 AE262232:AT262232 AE327768:AT327768 AE393304:AT393304 AE458840:AT458840 AE524376:AT524376 AE589912:AT589912 AE655448:AT655448 AE720984:AT720984 AE786520:AT786520 AE852056:AT852056 AE917592:AT917592 AE983128:AT983128 AE121:AT121 AE65627:AT65627 AE131163:AT131163 AE196699:AT196699 AE262235:AT262235 AE327771:AT327771 AE393307:AT393307 AE458843:AT458843 AE524379:AT524379 AE589915:AT589915 AE655451:AT655451 AE720987:AT720987 AE786523:AT786523 AE852059:AT852059 AE917595:AT917595 AE983131:AT983131 AB852102 AE65630:AT65630 AE131166:AT131166 AE196702:AT196702 AE262238:AT262238 AE327774:AT327774 AE393310:AT393310 AE458846:AT458846 AE524382:AT524382 AE589918:AT589918 AE655454:AT655454 AE720990:AT720990 AE786526:AT786526 AE852062:AT852062 AE917598:AT917598 AE983134:AT983134 I104:R105 I65639:R65640 I131175:R131176 I196711:R196712 I262247:R262248 I327783:R327784 I393319:R393320 I458855:R458856 I524391:R524392 I589927:R589928 I655463:R655464 I720999:R721000 I786535:R786536 I852071:R852072 I917607:R917608 I983143:R983144 AG104:AN105 AG65639:AN65640 AG131175:AN131176 AG196711:AN196712 AG262247:AN262248 AG327783:AN327784 AG393319:AN393320 AG458855:AN458856 AG524391:AN524392 AG589927:AN589928 AG655463:AN655464 AG720999:AN721000 AG786535:AN786536 AG852071:AN852072 AG917607:AN917608 AG983143:AN983144 I112:AT113 I65645:AT65646 I131181:AT131182 I196717:AT196718 I262253:AT262254 I327789:AT327790 I393325:AT393326 I458861:AT458862 I524397:AT524398 I589933:AT589934 I655469:AT655470 I721005:AT721006 I786541:AT786542 I852077:AT852078 I917613:AT917614 I983149:AT983150 S65660:AT65660 S131196:AT131196 S196732:AT196732 S262268:AT262268 S327804:AT327804 S393340:AT393340 S458876:AT458876 S524412:AT524412 S589948:AT589948 S655484:AT655484 S721020:AT721020 S786556:AT786556 S852092:AT852092 S917628:AT917628 S983164:AT983164 U65661:AS65661 U131197:AS131197 U196733:AS196733 U262269:AS262269 U327805:AS327805 U393341:AS393341 U458877:AS458877 U524413:AS524413 U589949:AS589949 U655485:AS655485 U721021:AS721021 U786557:AS786557 U852093:AS852093 U917629:AS917629 U983165:AS983165 N65662:AA65662 N131198:AA131198 N196734:AA196734 N262270:AA262270 N327806:AA327806 N393342:AA393342 N458878:AA458878 N524414:AA524414 N589950:AA589950 N655486:AA655486 N721022:AA721022 N786558:AA786558 N852094:AA852094 N917630:AA917630 N983166:AA983166 AG65662:AT65662 AG131198:AT131198 AG196734:AT196734 AG262270:AT262270 AG327806:AT327806 AG393342:AT393342 AG458878:AT458878 AG524414:AT524414 AG589950:AT589950 AG655486:AT655486 AG721022:AT721022 AG786558:AT786558 AG852094:AT852094 AG917630:AT917630 AG983166:AT983166 X65663:AS65663 X131199:AS131199 X196735:AS196735 X262271:AS262271 X327807:AS327807 X393343:AS393343 X458879:AS458879 X524415:AS524415 X589951:AS589951 X655487:AS655487 X721023:AS721023 X786559:AS786559 X852095:AS852095 X917631:AS917631 X983167:AS983167 N65664:AA65665 N131200:AA131201 N196736:AA196737 N262272:AA262273 N327808:AA327809 N393344:AA393345 N458880:AA458881 N524416:AA524417 N589952:AA589953 N655488:AA655489 N721024:AA721025 N786560:AA786561 N852096:AA852097 N917632:AA917633 N983168:AA983169 AG65664:AT65665 AG131200:AT131201 AG196736:AT196737 AG262272:AT262273 AG327808:AT327809 AG393344:AT393345 AG458880:AT458881 AG524416:AT524417 AG589952:AT589953 AG655488:AT655489 AG721024:AT721025 AG786560:AT786561 AG852096:AT852097 AG917632:AT917633 AG983168:AT983169 U65657:AS65658 U131193:AS131194 U196729:AS196730 U262265:AS262266 U327801:AS327802 U393337:AS393338 U458873:AS458874 U524409:AS524410 U589945:AS589946 U655481:AS655482 U721017:AS721018 U786553:AS786554 U852089:AS852090 U917625:AS917626 U983161:AS983162 I65656:Y65656 I131192:Y131192 I196728:Y196728 I262264:Y262264 I327800:Y327800 I393336:Y393336 I458872:Y458872 I524408:Y524408 I589944:Y589944 I655480:Y655480 I721016:Y721016 I786552:Y786552 I852088:Y852088 I917624:Y917624 I983160:Y983160 AE65656:AT65656 AE131192:AT131192 AE196728:AT196728 AE262264:AT262264 AE327800:AT327800 AE393336:AT393336 AE458872:AT458872 AE524408:AT524408 AE589944:AT589944 AE655480:AT655480 AE721016:AT721016 AE786552:AT786552 AE852088:AT852088 AE917624:AT917624 AE983160:AT983160 X65655:AT65655 X131191:AT131191 X196727:AT196727 X262263:AT262263 X327799:AT327799 X393335:AT393335 X458871:AT458871 X524407:AT524407 X589943:AT589943 X655479:AT655479 X721015:AT721015 X786551:AT786551 X852087:AT852087 X917623:AT917623 X983159:AT983159 Z65654:AT65654 Z131190:AT131190 Z196726:AT196726 Z262262:AT262262 Z327798:AT327798 Z393334:AT393334 Z458870:AT458870 Z524406:AT524406 Z589942:AT589942 Z655478:AT655478 Z721014:AT721014 Z786550:AT786550 Z852086:AT852086 Z917622:AT917622 Z983158:AT983158 W65659 W131195 W196731 W262267 W327803 W393339 W458875 W524411 W589947 W655483 W721019 W786555 W852091 W917627 W983163 W65666:W65669 W131202:W131205 W196738:W196741 W262274:W262277 W327810:W327813 W393346:W393349 W458882:W458885 W524418:W524421 W589954:W589957 W655490:W655493 W721026:W721029 W786562:W786565 W852098:W852101 W917634:W917637 W983170:W983173 AB65670 AB131206 AB196742 AB262278 AB327814 AB393350 AB458886 AB524422 AB589958 AB655494 AB721030 AB786566 AG85:AH86 AK85:AL86 AO85:AP86 AS85:AT86 AH97:AI100 AL97:AM100 I28:AT30 X48:AC50 AP99:AQ100"/>
    <dataValidation imeMode="halfAlpha" allowBlank="1" showInputMessage="1" showErrorMessage="1" sqref="AF65653:AT65653 AF131189:AT131189 AF196725:AT196725 AF262261:AT262261 AF327797:AT327797 AF393333:AT393333 AF458869:AT458869 AF524405:AT524405 AF589941:AT589941 AF655477:AT655477 AF721013:AT721013 AF786549:AT786549 AF852085:AT852085 AF917621:AT917621 AF983157:AT983157 V524395:AI524396 I65488:X65488 I131024:X131024 I196560:X196560 I262096:X262096 I327632:X327632 I393168:X393168 I458704:X458704 I524240:X524240 I589776:X589776 I655312:X655312 I720848:X720848 I786384:X786384 I851920:X851920 I917456:X917456 I982992:X982992 V983147:AI983148 AQ65493:AR65494 AQ131029:AR131030 AQ196565:AR196566 AQ262101:AR262102 AQ327637:AR327638 AQ393173:AR393174 AQ458709:AR458710 AQ524245:AR524246 AQ589781:AR589782 AQ655317:AR655318 AQ720853:AR720854 AQ786389:AR786390 AQ851925:AR851926 AQ917461:AR917462 AQ982997:AR982998 V262251:AI262252 I65491:AT65491 I131027:AT131027 I196563:AT196563 I262099:AT262099 I327635:AT327635 I393171:AT393171 I458707:AT458707 I524243:AT524243 I589779:AT589779 I655315:AT655315 I720851:AT720851 I786387:AT786387 I851923:AT851923 I917459:AT917459 I982995:AT982995 V852075:AI852076 AC65508:AE65508 AC131044:AE131044 AC196580:AE196580 AC262116:AE262116 AC327652:AE327652 AC393188:AE393188 AC458724:AE458724 AC524260:AE524260 AC589796:AE589796 AC655332:AE655332 AC720868:AE720868 AC786404:AE786404 AC851940:AE851940 AC917476:AE917476 AC983012:AE983012 V786539:AI786540 AH65508:AJ65508 AH131044:AJ131044 AH196580:AJ196580 AH262116:AJ262116 AH327652:AJ327652 AH393188:AJ393188 AH458724:AJ458724 AH524260:AJ524260 AH589796:AJ589796 AH655332:AJ655332 AH720868:AJ720868 AH786404:AJ786404 AH851940:AJ851940 AH917476:AJ917476 AH983012:AJ983012 V917611:AI917612 AQ65508:AS65508 AQ131044:AS131044 AQ196580:AS196580 AQ262116:AS262116 AQ327652:AS327652 AQ393188:AS393188 AQ458724:AS458724 AQ524260:AS524260 AQ589796:AS589796 AQ655332:AS655332 AQ720868:AS720868 AQ786404:AS786404 AQ851940:AS851940 AQ917476:AS917476 AQ983012:AS983012 V458859:AI458860 AE65625:AT65625 AE131161:AT131161 AE196697:AT196697 AE262233:AT262233 AE327769:AT327769 AE393305:AT393305 AE458841:AT458841 AE524377:AT524377 AE589913:AT589913 AE655449:AT655449 AE720985:AT720985 AE786521:AT786521 AE852057:AT852057 AE917593:AT917593 AE983129:AT983129 V393323:AI393324 AE65628:AT65629 AE131164:AT131165 AE196700:AT196701 AE262236:AT262237 AE327772:AT327773 AE393308:AT393309 AE458844:AT458845 AE524380:AT524381 AE589916:AT589917 AE655452:AT655453 AE720988:AT720989 AE786524:AT786525 AE852060:AT852061 AE917596:AT917597 AE983132:AT983133 V327787:AI327788 AE65631:AT65632 AE131167:AT131168 AE196703:AT196704 AE262239:AT262240 AE327775:AT327776 AE393311:AT393312 AE458847:AT458848 AE524383:AT524384 AE589919:AT589920 AE655455:AT655456 AE720991:AT720992 AE786527:AT786528 AE852063:AT852064 AE917599:AT917600 AE983135:AT983136 V721003:AI721004 I65641:P65642 I131177:P131178 I196713:P196714 I262249:P262250 I327785:P327786 I393321:P393322 I458857:P458858 I524393:P524394 I589929:P589930 I655465:P655466 I721001:P721002 I786537:P786538 I852073:P852074 I917609:P917610 I983145:P983146 V655467:AI655468 V65641:AA65642 V131177:AA131178 V196713:AA196714 V262249:AA262250 V327785:AA327786 V393321:AA393322 V458857:AA458858 V524393:AA524394 V589929:AA589930 V655465:AA655466 V721001:AA721002 V786537:AA786538 V852073:AA852074 V917609:AA917610 V983145:AA983146 V589931:AI589932 V65643:AI65644 V131179:AI131180 V196715:AI196716"/>
    <dataValidation type="list" allowBlank="1" showInputMessage="1" showErrorMessage="1" sqref="I982963 I917427 I851891 I786355 I720819 I655283 I589747 I524211 I458675 I393139 I327603 I262067 I196531 I130995 I65459 L983108:N983116 L65529:N65530 L131065:N131066 L196601:N196602 L262137:N262138 L327673:N327674 L393209:N393210 L458745:N458746 L524281:N524282 L589817:N589818 L655353:N655354 L720889:N720890 L786425:N786426 L851961:N851962 L917497:N917498 L983033:N983034 L65532:N65534 L131068:N131070 L196604:N196606 L262140:N262142 L327676:N327678 L393212:N393214 L458748:N458750 L524284:N524286 L589820:N589822 L655356:N655358 L720892:N720894 L786428:N786430 L851964:N851966 L917500:N917502 L983036:N983038 L65537:N65543 L131073:N131079 L196609:N196615 L262145:N262151 L327681:N327687 L393217:N393223 L458753:N458759 L524289:N524295 L589825:N589831 L655361:N655367 L720897:N720903 L786433:N786439 L851969:N851975 L917505:N917511 L983041:N983047 L65546:N65552 L131082:N131088 L196618:N196624 L262154:N262160 L327690:N327696 L393226:N393232 L458762:N458768 L524298:N524304 L589834:N589840 L655370:N655376 L720906:N720912 L786442:N786448 L851978:N851984 L917514:N917520 L983050:N983056 L65555:N65558 L131091:N131094 L196627:N196630 L262163:N262166 L327699:N327702 L393235:N393238 L458771:N458774 L524307:N524310 L589843:N589846 L655379:N655382 L720915:N720918 L786451:N786454 L851987:N851990 L917523:N917526 L983059:N983062 L65561:N65565 L131097:N131101 L196633:N196637 L262169:N262173 L327705:N327709 L393241:N393245 L458777:N458781 L524313:N524317 L589849:N589853 L655385:N655389 L720921:N720925 L786457:N786461 L851993:N851997 L917529:N917533 L983065:N983069 L65568:N65570 L131104:N131106 L196640:N196642 L262176:N262178 L327712:N327714 L393248:N393250 L458784:N458786 L524320:N524322 L589856:N589858 L655392:N655394 L720928:N720930 L786464:N786466 L852000:N852002 L917536:N917538 L983072:N983074 L65573:N65575 L131109:N131111 L196645:N196647 L262181:N262183 L327717:N327719 L393253:N393255 L458789:N458791 L524325:N524327 L589861:N589863 L655397:N655399 L720933:N720935 L786469:N786471 L852005:N852007 L917541:N917543 L983077:N983079 L65578:N65601 L131114:N131137 L196650:N196673 L262186:N262209 L327722:N327745 L393258:N393281 L458794:N458817 L524330:N524353 L589866:N589889 L655402:N655425 L720938:N720961 L786474:N786497 L852010:N852033 L917546:N917569 L983082:N983105 L65604:N65612 L131140:N131148 L196676:N196684 L262212:N262220 L327748:N327756 L393284:N393292 L458820:N458828 L524356:N524364 L589892:N589900 L655428:N655436 L720964:N720972 L786500:N786508 L852036:N852044 L917572:N917580 C65533:I65533 C131069:I131069 C196605:I196605 C262141:I262141 C327677:I327677 C393213:I393213 C458749:I458749 C524285:I524285 C589821:I589821 C655357:I655357 C720893:I720893 C786429:I786429 C851965:I851965 C917501:I917501 C983037:I983037 L983024:P983027 L65520:P65523 L131056:P131059 L196592:P196595 L262128:P262131 L327664:P327667 L393200:P393203 L458736:P458739 L524272:P524275 L589808:P589811 L655344:P655347 L720880:P720883 L786416:P786419 L851952:P851955 L917488:P917491 C983024:I983024 C65520:I65520 C131056:I131056 C196592:I196592 C262128:I262128 C327664:I327664 C393200:I393200 C458736:I458736 C524272:I524272 C589808:I589808 C655344:I655344 C720880:I720880 C786416:I786416 C851952:I851952 C917488:I917488 C983033:I983034 C65529:I65530 C131065:I131066 C196601:I196602 C262137:I262138 C327673:I327674 C393209:I393210 C458745:I458746 C524281:I524282 C589817:I589818 C655353:I655354 C720889:I720890 C786425:I786426 C851961:I851962 C917497:I917498">
      <formula1>#REF!</formula1>
    </dataValidation>
    <dataValidation type="custom" allowBlank="1" showInputMessage="1" showErrorMessage="1" errorTitle="メールアドレス" error="@が入ったメールアドレスを記載ください。" promptTitle="E-mailアドレス" prompt="グループアドレスのご指定を推奨しております。" sqref="AE123:AG123">
      <formula1>ISERROR(FIND("NG",AW123))</formula1>
    </dataValidation>
    <dataValidation type="custom" allowBlank="1" showInputMessage="1" showErrorMessage="1" errorTitle="メールアドレス" error="@が入ったメールアドレスを記載ください。" promptTitle="E-mailアドレス" prompt="グループアドレスのご指定を推奨しております。" sqref="AQ123:AT123">
      <formula1>ISERROR(FIND("NG",BI104))</formula1>
    </dataValidation>
    <dataValidation type="custom" imeMode="disabled" allowBlank="1" showInputMessage="1" showErrorMessage="1" errorTitle="桁数チェック" error="半角英数字128文字以内で入力してください。" sqref="I44:W45 X45:AT45">
      <formula1>LENB(A6)&lt;129</formula1>
    </dataValidation>
    <dataValidation type="custom" imeMode="disabled" allowBlank="1" showInputMessage="1" showErrorMessage="1" errorTitle="桁数チェック" error="半角英数字128文字以内で入力してください。" sqref="I46:L47">
      <formula1>LENB(A5)&lt;129</formula1>
    </dataValidation>
    <dataValidation imeMode="disabled" allowBlank="1" showInputMessage="1" showErrorMessage="1" promptTitle="事業展開店舗数" prompt="事業全体における展開店舗数をご記入ください" sqref="I43:N43"/>
    <dataValidation type="list" allowBlank="1" showInputMessage="1" showErrorMessage="1" sqref="R79:S80 L79:M80">
      <formula1>■分</formula1>
    </dataValidation>
    <dataValidation type="list" allowBlank="1" showInputMessage="1" showErrorMessage="1" sqref="O79:P80 I79:J80">
      <formula1>■時間</formula1>
    </dataValidation>
    <dataValidation type="whole" imeMode="hiragana" allowBlank="1" errorTitle="文字数制限がございます" error="200文字以内でご記入下さい。" promptTitle="ご確認下さい！" prompt="毎月のクレジットカード取扱金額の目安をご記載ください。" sqref="AE89:AE90">
      <formula1>0</formula1>
      <formula2>999999999</formula2>
    </dataValidation>
    <dataValidation type="custom" imeMode="hiragana" allowBlank="1" showErrorMessage="1" errorTitle="入力文字制限" error="スペースは入力できません。" promptTitle="会社所在地" prompt="都道府県名からご記入下さい" sqref="N36:AT37 N53:AT54 N72:AT73">
      <formula1>LEN(SUBSTITUTE(SUBSTITUTE(N36,"　","")," ",""))=LEN(N36)</formula1>
    </dataValidation>
    <dataValidation type="custom" allowBlank="1" showInputMessage="1" showErrorMessage="1" errorTitle="メールアドレス" error="@が入ったメールアドレスを記載ください。" promptTitle="E-mailアドレス" prompt="グループアドレスのご指定を推奨しております。" sqref="AH123:AL123">
      <formula1>ISERROR(FIND("NG",AZ113))</formula1>
    </dataValidation>
    <dataValidation type="custom" imeMode="disabled" allowBlank="1" showInputMessage="1" showErrorMessage="1" errorTitle="桁数チェック" error="半角英数字128文字以内で入力してください。" promptTitle="サイトURL" prompt="http://やhttps://を省略せずご記入下さい。_x000a_お申込みのサービス（お取扱いの商材や価格等）が確認できるサイトURLがない場合や、サイト内で商材、価格などのサービス内容が確認できない場合、別途サービスの概要資料や画像のご提出が必要となります。_x000a_PDFもしくは画像ファイル（jpg、gif、png形式)でのご提出をお願いいたします。" sqref="I77:AT78">
      <formula1>LENB(I77)&lt;129</formula1>
    </dataValidation>
    <dataValidation type="custom" imeMode="disabled" allowBlank="1" showInputMessage="1" showErrorMessage="1" errorTitle="桁数チェック" error="半角英数字128文字以内で入力してください。" prompt="http://やhttps://を省略せずご入力下さい。_x000a_企業HPや店舗HPがございましたら、ご入力ください。_x000a_いずれのHPも無い場合には、ハイフン等を入力せず空欄にしてください。" sqref="I42:AT42">
      <formula1>LENB(A4)&lt;129</formula1>
    </dataValidation>
    <dataValidation imeMode="hiragana" allowBlank="1" showInputMessage="1" showErrorMessage="1" promptTitle="部署名" prompt="特に無い場合には、ハイフン等を入力せず空欄にしてください。" sqref="AE117:AT117 AE124:AT124"/>
    <dataValidation type="list" allowBlank="1" showInputMessage="1" showErrorMessage="1" promptTitle="販売形態" prompt="複数の形態で営業されている場合には、本サービスを利用する売上規模の一番大きい、メインの販売形態についてご入力ください。" sqref="I87:S88">
      <formula1>■販売形態</formula1>
    </dataValidation>
    <dataValidation imeMode="hiragana" allowBlank="1" showInputMessage="1" showErrorMessage="1" promptTitle="運用担当" prompt="契約手続き完了のご依頼、決済機関からの問い合わせのご連絡、メンテナンスのご案内などをお送りする先となります。" sqref="I118:Y120"/>
    <dataValidation imeMode="hiragana" allowBlank="1" showInputMessage="1" showErrorMessage="1" promptTitle="売上報告担当" prompt="収納明細書や請求書をお送りする先となります。" sqref="I125:Y127"/>
    <dataValidation type="whole" imeMode="halfAlpha" operator="greaterThanOrEqual" allowBlank="1" showInputMessage="1" showErrorMessage="1" errorTitle="商品価格帯" error="半角数字でご入力ください" sqref="Z89:AD90 AG89:AJ90">
      <formula1>1</formula1>
    </dataValidation>
    <dataValidation type="whole" imeMode="halfAlpha" operator="greaterThanOrEqual" allowBlank="1" showInputMessage="1" showErrorMessage="1" errorTitle="平均購入額" error="半角数字でご入力ください" sqref="AP89:AS90">
      <formula1>1</formula1>
    </dataValidation>
    <dataValidation type="whole" imeMode="halfAlpha" operator="greaterThanOrEqual" allowBlank="1" showInputMessage="1" showErrorMessage="1" errorTitle="月間カード取扱金額（目安）" error="半角数字でご入力ください" sqref="I89:R90">
      <formula1>1</formula1>
    </dataValidation>
    <dataValidation type="custom" allowBlank="1" showInputMessage="1" showErrorMessage="1" errorTitle="メールアドレス" error="@が入ったメールアドレスを記載ください。" promptTitle="E-mailアドレス" prompt="グループアドレスのご指定を推奨しております。" sqref="AM123">
      <formula1>ISERROR(FIND("NG",BE110))</formula1>
    </dataValidation>
    <dataValidation type="custom" allowBlank="1" showInputMessage="1" showErrorMessage="1" errorTitle="メールアドレス" error="@が入ったメールアドレスを記載ください。" promptTitle="E-mailアドレス" prompt="グループアドレスのご指定を推奨しております。" sqref="AN123:AP123">
      <formula1>ISERROR(FIND("NG",BF111))</formula1>
    </dataValidation>
    <dataValidation type="textLength" imeMode="halfAlpha" operator="equal" allowBlank="1" showInputMessage="1" showErrorMessage="1" error="13桁で入力をお願いいたします。" promptTitle="法人番号" prompt="法人番号は申込区分が「法人」の場合に必須となります。_x000a_13桁の法人番号のご入力をお願いいたします。_x000a_" sqref="AL43:AT43">
      <formula1>13</formula1>
    </dataValidation>
    <dataValidation type="custom" imeMode="disabled" allowBlank="1" showInputMessage="1" showErrorMessage="1" errorTitle="桁数チェック" error="半角英数字128文字以内で入力してください。" sqref="X44">
      <formula1>LENB(AL6)&lt;129</formula1>
    </dataValidation>
    <dataValidation allowBlank="1" showInputMessage="1" showErrorMessage="1" promptTitle="免許名称" prompt="免許番号（数字）以外全てこちらに記入して下さい_x000a_例：○○許可証△△県指令第XXXXX号の場合_x000a_免許名称欄に『○○許可証△△県指令』と記載_x000a_免許番号欄に『XXXXX』_x000a_と記載" sqref="N92:V92"/>
    <dataValidation operator="greaterThanOrEqual" allowBlank="1" showInputMessage="1" showErrorMessage="1" sqref="AO95 AS95 AO93 AS93 AM93:AN96 AQ93:AQ96 AR99:AR100 AR93:AR96"/>
    <dataValidation type="custom" imeMode="hiragana" allowBlank="1" showInputMessage="1" showErrorMessage="1" errorTitle="文字数制限がございます" error="200文字以内でご記入下さい。" promptTitle="業種" prompt="決済の対象となるサービスを出来るだけ具体的にご記入下さい。" sqref="I81:AT82">
      <formula1>LENB(I81)&lt;=200</formula1>
    </dataValidation>
    <dataValidation imeMode="hiragana" allowBlank="1" showInputMessage="1" showErrorMessage="1" promptTitle="業種" prompt="決済の対象となる取扱い商品を出来るだけ具体的にご記入下さい。" sqref="I85"/>
    <dataValidation imeMode="disabled" allowBlank="1" showInputMessage="1" showErrorMessage="1" sqref="X43:AB43 AN97 AN97"/>
    <dataValidation type="list" allowBlank="1" showInputMessage="1" showErrorMessage="1" sqref="L99:U100">
      <formula1>PCIDSS準拠状況</formula1>
    </dataValidation>
    <dataValidation type="list" allowBlank="1" showInputMessage="1" showErrorMessage="1" sqref="L97:U98">
      <formula1>カード情報保持状況</formula1>
    </dataValidation>
    <dataValidation type="list" allowBlank="1" showInputMessage="1" showErrorMessage="1" sqref="AL88:AT88">
      <formula1>$AZ$2:$AZ$18</formula1>
    </dataValidation>
    <dataValidation allowBlank="1" showInputMessage="1" showErrorMessage="1" promptTitle="FAX番号" prompt="FAXが無い場合は、ハイフン等を入力せず空欄にしてください。" sqref="AJ38 AO38 AJ55 AO55 AJ119 AO119 AJ126 AO126"/>
    <dataValidation type="custom" imeMode="disabled" allowBlank="1" showInputMessage="1" showErrorMessage="1" errorTitle="電話番号" error="市外局番：5桁以内_x000a_市内局番：4桁以内_x000a_加入者番号：4桁以内_x000a_合計：12桁以内でご入力ください。" sqref="T38:X38 T55:X55 T76:X76">
      <formula1>AND(ISNUMBER(VALUE(T38)),LENB(T38)&lt;5,ISERROR(FIND("NG",AV38)))</formula1>
    </dataValidation>
    <dataValidation type="custom" imeMode="disabled" allowBlank="1" showInputMessage="1" showErrorMessage="1" errorTitle="電話番号" error="市外局番：5桁以内_x000a_市内局番：4桁以内_x000a_加入者番号：4桁以内_x000a_合計：12桁以内でご入力ください。" promptTitle="FAX番号" prompt="FAXが無い場合は、ハイフン等を入力せず空欄にしてください。" sqref="AP55:AT55 AP38:AT38">
      <formula1>AND(ISNUMBER(VALUE(AP38)),LENB(AP38)&lt;5,ISERROR(FIND("NG",AW38)))</formula1>
    </dataValidation>
    <dataValidation type="custom" imeMode="disabled" allowBlank="1" showInputMessage="1" showErrorMessage="1" errorTitle="電話番号" error="市外局番：5桁以内_x000a_市内局番：4桁以内_x000a_加入者番号：4桁以内_x000a_合計：12桁以内でご入力ください。" sqref="I38:M38 I55:M55 I76:M76">
      <formula1>AND(ISNUMBER(VALUE(I38)),LENB(I38)&lt;6,ISERROR(FIND("NG",AV38)))</formula1>
    </dataValidation>
    <dataValidation type="custom" imeMode="disabled" allowBlank="1" showInputMessage="1" showErrorMessage="1" errorTitle="電話番号" error="市外局番：5桁以内_x000a_市内局番：4桁以内_x000a_加入者番号：4桁以内_x000a_合計：12桁以内でご入力ください。" sqref="O38:R38 O55:R55 O76:R76">
      <formula1>AND(ISNUMBER(VALUE(O38)),LENB(O38)&lt;5,ISERROR(FIND("NG",AV38)))</formula1>
    </dataValidation>
    <dataValidation type="custom" imeMode="disabled" allowBlank="1" showInputMessage="1" showErrorMessage="1" errorTitle="電話番号" error="市外局番：5桁以内_x000a_市内局番：4桁以内_x000a_加入者番号：4桁以内_x000a_合計：12桁以内でご入力ください。" promptTitle="FAX番号" prompt="FAXが無い場合は、ハイフン等を入力せず空欄にしてください。" sqref="AE38:AI38 AE55:AI55">
      <formula1>AND(ISNUMBER(VALUE(AE38)),LENB(AE38)&lt;6,ISERROR(FIND("NG",AW38)))</formula1>
    </dataValidation>
    <dataValidation type="custom" imeMode="disabled" allowBlank="1" showInputMessage="1" showErrorMessage="1" errorTitle="電話番号" error="市外局番：5桁以内_x000a_市内局番：4桁以内_x000a_加入者番号：4桁以内_x000a_合計：12桁以内でご入力ください。" promptTitle="FAX番号" prompt="FAXが無い場合は、ハイフン等を入力せず空欄にしてください。" sqref="AK38:AN38 AK55:AN55">
      <formula1>AND(ISNUMBER(VALUE(AK38)),LENB(AK38)&lt;5,ISERROR(FIND("NG",AW38)))</formula1>
    </dataValidation>
    <dataValidation type="custom" imeMode="disabled" allowBlank="1" showInputMessage="1" showErrorMessage="1" errorTitle="電話番号" error="市外局番：5桁以内_x000a_市内局番：4桁以内_x000a_加入者番号：4桁以内_x000a_合計：12桁以内でご入力ください。" sqref="AE118:AI118 AE125:AI125 AE122:AI122">
      <formula1>AND(ISNUMBER(VALUE(AE118)),LENB(AE118)&lt;6,ISERROR(FIND("NG",AV118)))</formula1>
    </dataValidation>
    <dataValidation type="custom" imeMode="disabled" allowBlank="1" showInputMessage="1" showErrorMessage="1" errorTitle="電話番号" error="市外局番：5桁以内_x000a_市内局番：4桁以内_x000a_加入者番号：4桁以内_x000a_合計：12桁以内でご入力ください。" sqref="AK118:AN118 AK125:AN125 AK122:AN122">
      <formula1>AND(ISNUMBER(VALUE(AK118)),LENB(AK118)&lt;5,ISERROR(FIND("NG",AV118)))</formula1>
    </dataValidation>
    <dataValidation type="custom" imeMode="disabled" allowBlank="1" showInputMessage="1" showErrorMessage="1" errorTitle="電話番号" error="市外局番：5桁以内_x000a_市内局番：4桁以内_x000a_加入者番号：4桁以内_x000a_合計：12桁以内でご入力ください。" sqref="AP118:AT118 AP125:AT125 AP122:AT122">
      <formula1>AND(ISNUMBER(VALUE(AP118)),LENB(AP118)&lt;5,ISERROR(FIND("NG",AV118)))</formula1>
    </dataValidation>
    <dataValidation type="custom" imeMode="disabled" allowBlank="1" showInputMessage="1" showErrorMessage="1" errorTitle="メールアドレス" error="@が入ったメールアドレスを記載ください。" promptTitle="E-mailアドレス" prompt="グループアドレスのご指定を推奨しております。" sqref="AE120:AT120 AE127:AT127">
      <formula1>ISERROR(FIND("NG",AW120))</formula1>
    </dataValidation>
    <dataValidation type="custom" imeMode="disabled" allowBlank="1" showInputMessage="1" showErrorMessage="1" errorTitle="電話番号" error="市外局番：5桁以内_x000a_市内局番：4桁以内_x000a_加入者番号：4桁以内_x000a_合計：12桁以内でご入力ください。" promptTitle="FAX番号" prompt="FAXが無い場合は、ハイフン等を入力せず空欄にしてください。" sqref="AE119:AI119 AE126:AI126">
      <formula1>AND(ISNUMBER(VALUE(AE119)),LENB(AE119)&lt;6,ISERROR(FIND("NG",AV119)))</formula1>
    </dataValidation>
    <dataValidation type="custom" imeMode="disabled" allowBlank="1" showInputMessage="1" showErrorMessage="1" errorTitle="電話番号" error="市外局番：5桁以内_x000a_市内局番：4桁以内_x000a_加入者番号：4桁以内_x000a_合計：12桁以内でご入力ください。" promptTitle="FAX番号" prompt="FAXが無い場合は、ハイフン等を入力せず空欄にしてください。" sqref="AK119:AN119 AK126:AN126">
      <formula1>AND(ISNUMBER(VALUE(AK119)),LENB(AK119)&lt;5,ISERROR(FIND("NG",AV119)))</formula1>
    </dataValidation>
    <dataValidation type="custom" imeMode="disabled" allowBlank="1" showInputMessage="1" showErrorMessage="1" errorTitle="電話番号" error="市外局番：5桁以内_x000a_市内局番：4桁以内_x000a_加入者番号：4桁以内_x000a_合計：12桁以内でご入力ください。" promptTitle="FAX番号" prompt="FAXが無い場合は、ハイフン等を入力せず空欄にしてください。" sqref="AP119:AT119 AP126:AT126">
      <formula1>AND(ISNUMBER(VALUE(AP119)),LENB(AP119)&lt;5,ISERROR(FIND("NG",AV119)))</formula1>
    </dataValidation>
    <dataValidation type="custom" imeMode="fullKatakana" allowBlank="1" showInputMessage="1" showErrorMessage="1" errorTitle="カナ入力" error="カナで入力してください。_x000a_スペースは入力できません。" sqref="I48:T48">
      <formula1>AND(I48=PHONETIC(I48), LEN(I48)*2=LENB(I48),LEN(SUBSTITUTE(SUBSTITUTE(I48,"　","")," ",""))=LEN(I48))</formula1>
    </dataValidation>
    <dataValidation type="custom" imeMode="hiragana" allowBlank="1" showInputMessage="1" showErrorMessage="1" errorTitle="入力文字制限" error="スペースは入力できません。" sqref="I49:T50">
      <formula1>LEN(SUBSTITUTE(SUBSTITUTE(I49,"　","")," ",""))=LEN(I49)</formula1>
    </dataValidation>
    <dataValidation type="list" imeMode="hiragana" allowBlank="1" showErrorMessage="1" promptTitle="会社所在地" prompt="都道府県名からご記入下さい" sqref="I36:M37 I53:M54 I72:M73">
      <formula1>■都道府県</formula1>
    </dataValidation>
    <dataValidation type="custom" imeMode="fullKatakana" allowBlank="1" showInputMessage="1" showErrorMessage="1" errorTitle="フリガナ" error="カナで入力してください。_x000a_スペースは入力できません。" promptTitle="フリガナ" prompt="フリガナには数字・記号を入れずカナのみご記入ください。" sqref="AL51">
      <formula1>AND(AL51=PHONETIC(AL51), LEN(AL51)*2=LENB(AL51),LEN(SUBSTITUTE(SUBSTITUTE(AL51,"　","")," ",""))=LEN(AL51))</formula1>
    </dataValidation>
    <dataValidation type="textLength" operator="lessThanOrEqual" showInputMessage="1" showErrorMessage="1" errorTitle="文字数制限" error="20文字以内でお願いいたします。" promptTitle="下記の決済手段をお申込の場合は入力ください。" prompt="・Alipay_x000a_・WeChat Pay_x000a_・銀聯_x000a_・JKOPAY" sqref="AB64:AT65">
      <formula1>20</formula1>
    </dataValidation>
    <dataValidation type="textLength" operator="lessThanOrEqual" allowBlank="1" showInputMessage="1" showErrorMessage="1" errorTitle="文字数制限" error="32文字以内で設定をお願いいたします。" promptTitle="コード決済をお申込の場合は入力ください。" prompt="会社名ではなく、ブランド名をご記載ください。" sqref="I67:AA68">
      <formula1>32</formula1>
    </dataValidation>
    <dataValidation imeMode="off" operator="lessThanOrEqual" allowBlank="1" showInputMessage="1" errorTitle="アルファベット表記" error="半角英数字25文字までで設定をお願いいたします" promptTitle="下記の決済手段をお申込の場合は入力ください。" prompt="・Alipay_x000a_・WeChat Pay_x000a_・銀聯_x000a_・JKOPAY_x000a_・d払い_x000a_・J-Coin Pay" sqref="AB67:AT68"/>
    <dataValidation type="textLength" imeMode="hiragana" operator="lessThanOrEqual" allowBlank="1" showInputMessage="1" showErrorMessage="1" errorTitle="文字数制限" error="全角20文字以内でお願いいたします。" prompt="ご利用明細・レシートに記載される表記となります。" sqref="I61:AT62">
      <formula1>20</formula1>
    </dataValidation>
    <dataValidation allowBlank="1" showInputMessage="1" showErrorMessage="1" promptTitle="下記の決済手段をお申込の場合は入力ください。" prompt="・Alipay_x000a_・WeChat Pay_x000a_・銀聯" sqref="I74:AT75"/>
    <dataValidation type="custom" imeMode="fullKatakana" allowBlank="1" showInputMessage="1" showErrorMessage="1" errorTitle="カナ入力" error="カナで入力してください。" promptTitle="コード決済をお申込の場合は入力ください。" prompt="　" sqref="I66:AA66">
      <formula1>AND(I66=PHONETIC(I66), LEN(I66)*2=LENB(I66))</formula1>
    </dataValidation>
    <dataValidation type="textLength" imeMode="off" operator="lessThanOrEqual" allowBlank="1" showInputMessage="1" showErrorMessage="1" errorTitle="半角大文字" error="半角大文字45文字以内で設定をお願いいたします" promptTitle="下記の決済手段をお申込の場合は入力ください。" prompt="・d払い_x000a__x000a_半角大文字45文字以内でご記入ください。" sqref="AE31:AT33">
      <formula1>45</formula1>
    </dataValidation>
    <dataValidation type="custom" imeMode="disabled" allowBlank="1" showInputMessage="1" showErrorMessage="1" sqref="I56:X57 AE56:AT57">
      <formula1>AND(COUNT(INDEX(FIND(MID(UPPER(I56)&amp;REPT("*",13),ROW($1:$13),1),"1234567890-"),))=LEN(I56),LENB(I56)&lt;14)</formula1>
    </dataValidation>
    <dataValidation type="custom" imeMode="halfAlpha" operator="greaterThanOrEqual" allowBlank="1" showInputMessage="1" showErrorMessage="1" error="半角数字で入力してください。" promptTitle="免許番号" prompt="免許番号（数字）のみてこちらに記入して下さい_x000a_例：○○許可証△△県指令第XXXXX号の場合_x000a_免許名称欄に『○○許可証△△県指令』と記載_x000a_免許番号欄に『XXXXX』_x000a_と記載" sqref="AB92:AH92">
      <formula1>AND(COUNT(INDEX(FIND(MID(UPPER(AB92)&amp;REPT("*",25),ROW($1:$25),1),"1234567890,  "),))=LEN(AB92),LEN(AB92)&lt;26)</formula1>
    </dataValidation>
    <dataValidation type="custom" errorStyle="warning" imeMode="off" operator="lessThanOrEqual" allowBlank="1" showInputMessage="1" showErrorMessage="1" errorTitle="文字数制限" error="半角英数字20文字までで設定をお願いいたします" promptTitle="アルファベット表記" prompt="半角英数字20文字までで設定をお願いいたします。なお、英字は大文字でご記入ください。" sqref="I64:AA65">
      <formula1>AND(COUNT(INDEX(FIND(MID(UPPER(I64)&amp;REPT("*",20),ROW($1:$20),1),"ABCDEFGHIJKLMNOPQRSTUVWXYZ1234567890.,  "),))=LEN(I64),LEN(I64)&lt;21)</formula1>
    </dataValidation>
    <dataValidation showInputMessage="1" sqref="C3:AT4"/>
    <dataValidation type="whole" imeMode="disabled" allowBlank="1" showInputMessage="1" showErrorMessage="1" sqref="K39:L39">
      <formula1>1000</formula1>
      <formula2>2300</formula2>
    </dataValidation>
    <dataValidation type="whole" imeMode="disabled" allowBlank="1" showInputMessage="1" showErrorMessage="1" sqref="AF97:AG98">
      <formula1>1900</formula1>
      <formula2>2300</formula2>
    </dataValidation>
    <dataValidation type="whole" imeMode="disabled" allowBlank="1" showInputMessage="1" showErrorMessage="1" sqref="AI49:AJ50 AI85:AJ86">
      <formula1>1900</formula1>
      <formula2>2300</formula2>
    </dataValidation>
    <dataValidation type="custom" imeMode="fullKatakana" allowBlank="1" showInputMessage="1" showErrorMessage="1" errorTitle="カナ入力" error="カナで入力して下さい" sqref="I117:Y117 I124:Y124">
      <formula1>AND(I117=PHONETIC(I117), LEN(I117)*2=LENB(I117))</formula1>
    </dataValidation>
    <dataValidation type="custom" imeMode="fullKatakana" allowBlank="1" showErrorMessage="1" errorTitle="フリガナ" error="スペースは入力できません。" promptTitle="フリガナ" prompt="フリガナには数字・記号を入れずカナのみご記入ください。" sqref="AM34:AT34 AM70:AT70 W34:AC34 O34:U34 O51:U51 W51:AC51 W70:AC70 AM51:AT51 O70:U70">
      <formula1>AND(LEN(SUBSTITUTE(SUBSTITUTE(O34,"　","")," ",""))=LEN(O34))</formula1>
    </dataValidation>
    <dataValidation imeMode="fullKatakana" allowBlank="1" errorTitle="フリガナ" error="カナで入力してください。_x000a_スペースは入力できません。" promptTitle="フリガナ" prompt="フリガナには数字・記号を入れずカナのみご記入ください。" sqref="AL34 AD34 V34"/>
    <dataValidation imeMode="fullKatakana" allowBlank="1" showInputMessage="1" errorTitle="カナ" error="カナで入力して下さい" sqref="N34"/>
    <dataValidation allowBlank="1" sqref="N51 V51 AD51"/>
    <dataValidation type="custom" allowBlank="1" showErrorMessage="1" errorTitle="フリガナ" error="スペースは入力できません。" promptTitle="フリガナ" prompt="フリガナには数字・記号を入れずカナのみご記入ください。" sqref="AE34:AK34 AE51:AK51 AE70:AK70">
      <formula1>AND(LEN(SUBSTITUTE(SUBSTITUTE(AE34,"　","")," ",""))=LEN(AE34))</formula1>
    </dataValidation>
    <dataValidation imeMode="hiragana" allowBlank="1" showInputMessage="1" showErrorMessage="1" promptTitle="下記の決済手段をお申込の場合は入力ください。" prompt="・Alipay_x000a_・WeChat Pay_x000a_・銀聯_x000a_・JKOPAY" sqref="I31:X33"/>
    <dataValidation allowBlank="1" showInputMessage="1" showErrorMessage="1" promptTitle="下記の決済手段をお申込の場合は入力ください。" prompt="・Alipay_x000a_・WeChat Pay_x000a_・銀聯_x000a_・JKOPAY" sqref="I83:AT84"/>
    <dataValidation type="whole" operator="greaterThanOrEqual" allowBlank="1" showInputMessage="1" showErrorMessage="1" sqref="AR97:AS98">
      <formula1>0</formula1>
    </dataValidation>
  </dataValidations>
  <printOptions horizontalCentered="1" verticalCentered="1"/>
  <pageMargins left="0" right="0" top="0" bottom="0" header="0" footer="0"/>
  <pageSetup paperSize="9" scale="43" orientation="portrait" r:id="rId1"/>
  <headerFooter alignWithMargins="0"/>
  <ignoredErrors>
    <ignoredError sqref="T79:Y80 Q79:Q80 N79:N80 K79:K80"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13313" r:id="rId4" name="Option Button 1">
              <controlPr defaultSize="0" autoFill="0" autoLine="0" autoPict="0">
                <anchor moveWithCells="1" sizeWithCells="1">
                  <from>
                    <xdr:col>32</xdr:col>
                    <xdr:colOff>203200</xdr:colOff>
                    <xdr:row>47</xdr:row>
                    <xdr:rowOff>12700</xdr:rowOff>
                  </from>
                  <to>
                    <xdr:col>33</xdr:col>
                    <xdr:colOff>209550</xdr:colOff>
                    <xdr:row>48</xdr:row>
                    <xdr:rowOff>0</xdr:rowOff>
                  </to>
                </anchor>
              </controlPr>
            </control>
          </mc:Choice>
        </mc:AlternateContent>
        <mc:AlternateContent xmlns:mc="http://schemas.openxmlformats.org/markup-compatibility/2006">
          <mc:Choice Requires="x14">
            <control shapeId="13314" r:id="rId5" name="Option Button 2">
              <controlPr defaultSize="0" autoFill="0" autoLine="0" autoPict="0">
                <anchor moveWithCells="1" sizeWithCells="1">
                  <from>
                    <xdr:col>35</xdr:col>
                    <xdr:colOff>171450</xdr:colOff>
                    <xdr:row>47</xdr:row>
                    <xdr:rowOff>12700</xdr:rowOff>
                  </from>
                  <to>
                    <xdr:col>37</xdr:col>
                    <xdr:colOff>12700</xdr:colOff>
                    <xdr:row>48</xdr:row>
                    <xdr:rowOff>0</xdr:rowOff>
                  </to>
                </anchor>
              </controlPr>
            </control>
          </mc:Choice>
        </mc:AlternateContent>
        <mc:AlternateContent xmlns:mc="http://schemas.openxmlformats.org/markup-compatibility/2006">
          <mc:Choice Requires="x14">
            <control shapeId="13315" r:id="rId6" name="Group Box 3">
              <controlPr defaultSize="0" autoFill="0" autoPict="0">
                <anchor moveWithCells="1">
                  <from>
                    <xdr:col>32</xdr:col>
                    <xdr:colOff>0</xdr:colOff>
                    <xdr:row>47</xdr:row>
                    <xdr:rowOff>0</xdr:rowOff>
                  </from>
                  <to>
                    <xdr:col>46</xdr:col>
                    <xdr:colOff>12700</xdr:colOff>
                    <xdr:row>48</xdr:row>
                    <xdr:rowOff>0</xdr:rowOff>
                  </to>
                </anchor>
              </controlPr>
            </control>
          </mc:Choice>
        </mc:AlternateContent>
        <mc:AlternateContent xmlns:mc="http://schemas.openxmlformats.org/markup-compatibility/2006">
          <mc:Choice Requires="x14">
            <control shapeId="13316" r:id="rId7" name="Check Box 4">
              <controlPr defaultSize="0" autoFill="0" autoLine="0" autoPict="0">
                <anchor moveWithCells="1">
                  <from>
                    <xdr:col>8</xdr:col>
                    <xdr:colOff>165100</xdr:colOff>
                    <xdr:row>16</xdr:row>
                    <xdr:rowOff>95250</xdr:rowOff>
                  </from>
                  <to>
                    <xdr:col>10</xdr:col>
                    <xdr:colOff>107950</xdr:colOff>
                    <xdr:row>16</xdr:row>
                    <xdr:rowOff>285750</xdr:rowOff>
                  </to>
                </anchor>
              </controlPr>
            </control>
          </mc:Choice>
        </mc:AlternateContent>
        <mc:AlternateContent xmlns:mc="http://schemas.openxmlformats.org/markup-compatibility/2006">
          <mc:Choice Requires="x14">
            <control shapeId="13317" r:id="rId8" name="Option Button 5">
              <controlPr defaultSize="0" autoFill="0" autoLine="0" autoPict="0">
                <anchor moveWithCells="1" sizeWithCells="1">
                  <from>
                    <xdr:col>8</xdr:col>
                    <xdr:colOff>127000</xdr:colOff>
                    <xdr:row>107</xdr:row>
                    <xdr:rowOff>127000</xdr:rowOff>
                  </from>
                  <to>
                    <xdr:col>9</xdr:col>
                    <xdr:colOff>203200</xdr:colOff>
                    <xdr:row>108</xdr:row>
                    <xdr:rowOff>114300</xdr:rowOff>
                  </to>
                </anchor>
              </controlPr>
            </control>
          </mc:Choice>
        </mc:AlternateContent>
        <mc:AlternateContent xmlns:mc="http://schemas.openxmlformats.org/markup-compatibility/2006">
          <mc:Choice Requires="x14">
            <control shapeId="13318" r:id="rId9" name="Option Button 6">
              <controlPr defaultSize="0" autoFill="0" autoLine="0" autoPict="0">
                <anchor moveWithCells="1" sizeWithCells="1">
                  <from>
                    <xdr:col>12</xdr:col>
                    <xdr:colOff>38100</xdr:colOff>
                    <xdr:row>107</xdr:row>
                    <xdr:rowOff>127000</xdr:rowOff>
                  </from>
                  <to>
                    <xdr:col>13</xdr:col>
                    <xdr:colOff>114300</xdr:colOff>
                    <xdr:row>108</xdr:row>
                    <xdr:rowOff>107950</xdr:rowOff>
                  </to>
                </anchor>
              </controlPr>
            </control>
          </mc:Choice>
        </mc:AlternateContent>
        <mc:AlternateContent xmlns:mc="http://schemas.openxmlformats.org/markup-compatibility/2006">
          <mc:Choice Requires="x14">
            <control shapeId="13319" r:id="rId10" name="Group Box 7">
              <controlPr defaultSize="0" autoFill="0" autoPict="0">
                <anchor moveWithCells="1">
                  <from>
                    <xdr:col>18</xdr:col>
                    <xdr:colOff>0</xdr:colOff>
                    <xdr:row>102</xdr:row>
                    <xdr:rowOff>222250</xdr:rowOff>
                  </from>
                  <to>
                    <xdr:col>27</xdr:col>
                    <xdr:colOff>12700</xdr:colOff>
                    <xdr:row>104</xdr:row>
                    <xdr:rowOff>222250</xdr:rowOff>
                  </to>
                </anchor>
              </controlPr>
            </control>
          </mc:Choice>
        </mc:AlternateContent>
        <mc:AlternateContent xmlns:mc="http://schemas.openxmlformats.org/markup-compatibility/2006">
          <mc:Choice Requires="x14">
            <control shapeId="13320" r:id="rId11" name="Group Box 8">
              <controlPr defaultSize="0" autoFill="0" autoPict="0">
                <anchor moveWithCells="1">
                  <from>
                    <xdr:col>40</xdr:col>
                    <xdr:colOff>0</xdr:colOff>
                    <xdr:row>103</xdr:row>
                    <xdr:rowOff>0</xdr:rowOff>
                  </from>
                  <to>
                    <xdr:col>46</xdr:col>
                    <xdr:colOff>0</xdr:colOff>
                    <xdr:row>104</xdr:row>
                    <xdr:rowOff>222250</xdr:rowOff>
                  </to>
                </anchor>
              </controlPr>
            </control>
          </mc:Choice>
        </mc:AlternateContent>
        <mc:AlternateContent xmlns:mc="http://schemas.openxmlformats.org/markup-compatibility/2006">
          <mc:Choice Requires="x14">
            <control shapeId="13321" r:id="rId12" name="Option Button 9">
              <controlPr defaultSize="0" autoFill="0" autoLine="0" autoPict="0">
                <anchor moveWithCells="1" sizeWithCells="1">
                  <from>
                    <xdr:col>40</xdr:col>
                    <xdr:colOff>76200</xdr:colOff>
                    <xdr:row>103</xdr:row>
                    <xdr:rowOff>19050</xdr:rowOff>
                  </from>
                  <to>
                    <xdr:col>41</xdr:col>
                    <xdr:colOff>152400</xdr:colOff>
                    <xdr:row>104</xdr:row>
                    <xdr:rowOff>0</xdr:rowOff>
                  </to>
                </anchor>
              </controlPr>
            </control>
          </mc:Choice>
        </mc:AlternateContent>
        <mc:AlternateContent xmlns:mc="http://schemas.openxmlformats.org/markup-compatibility/2006">
          <mc:Choice Requires="x14">
            <control shapeId="13322" r:id="rId13" name="Option Button 10">
              <controlPr defaultSize="0" autoFill="0" autoLine="0" autoPict="0">
                <anchor moveWithCells="1" sizeWithCells="1">
                  <from>
                    <xdr:col>43</xdr:col>
                    <xdr:colOff>76200</xdr:colOff>
                    <xdr:row>103</xdr:row>
                    <xdr:rowOff>12700</xdr:rowOff>
                  </from>
                  <to>
                    <xdr:col>44</xdr:col>
                    <xdr:colOff>152400</xdr:colOff>
                    <xdr:row>104</xdr:row>
                    <xdr:rowOff>0</xdr:rowOff>
                  </to>
                </anchor>
              </controlPr>
            </control>
          </mc:Choice>
        </mc:AlternateContent>
        <mc:AlternateContent xmlns:mc="http://schemas.openxmlformats.org/markup-compatibility/2006">
          <mc:Choice Requires="x14">
            <control shapeId="13323" r:id="rId14" name="Option Button 11">
              <controlPr defaultSize="0" autoFill="0" autoLine="0" autoPict="0">
                <anchor moveWithCells="1" sizeWithCells="1">
                  <from>
                    <xdr:col>40</xdr:col>
                    <xdr:colOff>76200</xdr:colOff>
                    <xdr:row>103</xdr:row>
                    <xdr:rowOff>222250</xdr:rowOff>
                  </from>
                  <to>
                    <xdr:col>41</xdr:col>
                    <xdr:colOff>152400</xdr:colOff>
                    <xdr:row>104</xdr:row>
                    <xdr:rowOff>209550</xdr:rowOff>
                  </to>
                </anchor>
              </controlPr>
            </control>
          </mc:Choice>
        </mc:AlternateContent>
        <mc:AlternateContent xmlns:mc="http://schemas.openxmlformats.org/markup-compatibility/2006">
          <mc:Choice Requires="x14">
            <control shapeId="13324" r:id="rId15" name="Option Button 12">
              <controlPr defaultSize="0" autoFill="0" autoLine="0" autoPict="0">
                <anchor moveWithCells="1" sizeWithCells="1">
                  <from>
                    <xdr:col>43</xdr:col>
                    <xdr:colOff>76200</xdr:colOff>
                    <xdr:row>104</xdr:row>
                    <xdr:rowOff>0</xdr:rowOff>
                  </from>
                  <to>
                    <xdr:col>44</xdr:col>
                    <xdr:colOff>152400</xdr:colOff>
                    <xdr:row>104</xdr:row>
                    <xdr:rowOff>222250</xdr:rowOff>
                  </to>
                </anchor>
              </controlPr>
            </control>
          </mc:Choice>
        </mc:AlternateContent>
        <mc:AlternateContent xmlns:mc="http://schemas.openxmlformats.org/markup-compatibility/2006">
          <mc:Choice Requires="x14">
            <control shapeId="13325" r:id="rId16" name="Group Box 13">
              <controlPr defaultSize="0" autoFill="0" autoPict="0">
                <anchor moveWithCells="1">
                  <from>
                    <xdr:col>8</xdr:col>
                    <xdr:colOff>0</xdr:colOff>
                    <xdr:row>107</xdr:row>
                    <xdr:rowOff>0</xdr:rowOff>
                  </from>
                  <to>
                    <xdr:col>16</xdr:col>
                    <xdr:colOff>0</xdr:colOff>
                    <xdr:row>108</xdr:row>
                    <xdr:rowOff>222250</xdr:rowOff>
                  </to>
                </anchor>
              </controlPr>
            </control>
          </mc:Choice>
        </mc:AlternateContent>
        <mc:AlternateContent xmlns:mc="http://schemas.openxmlformats.org/markup-compatibility/2006">
          <mc:Choice Requires="x14">
            <control shapeId="13326" r:id="rId17" name="Check Box 14">
              <controlPr defaultSize="0" autoFill="0" autoLine="0" autoPict="0">
                <anchor moveWithCells="1">
                  <from>
                    <xdr:col>21</xdr:col>
                    <xdr:colOff>165100</xdr:colOff>
                    <xdr:row>90</xdr:row>
                    <xdr:rowOff>12700</xdr:rowOff>
                  </from>
                  <to>
                    <xdr:col>23</xdr:col>
                    <xdr:colOff>12700</xdr:colOff>
                    <xdr:row>90</xdr:row>
                    <xdr:rowOff>209550</xdr:rowOff>
                  </to>
                </anchor>
              </controlPr>
            </control>
          </mc:Choice>
        </mc:AlternateContent>
        <mc:AlternateContent xmlns:mc="http://schemas.openxmlformats.org/markup-compatibility/2006">
          <mc:Choice Requires="x14">
            <control shapeId="13327" r:id="rId18" name="Check Box 15">
              <controlPr defaultSize="0" autoFill="0" autoLine="0" autoPict="0">
                <anchor moveWithCells="1">
                  <from>
                    <xdr:col>12</xdr:col>
                    <xdr:colOff>184150</xdr:colOff>
                    <xdr:row>90</xdr:row>
                    <xdr:rowOff>12700</xdr:rowOff>
                  </from>
                  <to>
                    <xdr:col>14</xdr:col>
                    <xdr:colOff>31750</xdr:colOff>
                    <xdr:row>90</xdr:row>
                    <xdr:rowOff>209550</xdr:rowOff>
                  </to>
                </anchor>
              </controlPr>
            </control>
          </mc:Choice>
        </mc:AlternateContent>
        <mc:AlternateContent xmlns:mc="http://schemas.openxmlformats.org/markup-compatibility/2006">
          <mc:Choice Requires="x14">
            <control shapeId="13328" r:id="rId19" name="Check Box 16">
              <controlPr defaultSize="0" autoFill="0" autoLine="0" autoPict="0">
                <anchor moveWithCells="1">
                  <from>
                    <xdr:col>25</xdr:col>
                    <xdr:colOff>209550</xdr:colOff>
                    <xdr:row>90</xdr:row>
                    <xdr:rowOff>12700</xdr:rowOff>
                  </from>
                  <to>
                    <xdr:col>27</xdr:col>
                    <xdr:colOff>50800</xdr:colOff>
                    <xdr:row>90</xdr:row>
                    <xdr:rowOff>209550</xdr:rowOff>
                  </to>
                </anchor>
              </controlPr>
            </control>
          </mc:Choice>
        </mc:AlternateContent>
        <mc:AlternateContent xmlns:mc="http://schemas.openxmlformats.org/markup-compatibility/2006">
          <mc:Choice Requires="x14">
            <control shapeId="13329" r:id="rId20" name="Check Box 17">
              <controlPr defaultSize="0" autoFill="0" autoLine="0" autoPict="0">
                <anchor moveWithCells="1">
                  <from>
                    <xdr:col>31</xdr:col>
                    <xdr:colOff>0</xdr:colOff>
                    <xdr:row>90</xdr:row>
                    <xdr:rowOff>12700</xdr:rowOff>
                  </from>
                  <to>
                    <xdr:col>32</xdr:col>
                    <xdr:colOff>95250</xdr:colOff>
                    <xdr:row>90</xdr:row>
                    <xdr:rowOff>209550</xdr:rowOff>
                  </to>
                </anchor>
              </controlPr>
            </control>
          </mc:Choice>
        </mc:AlternateContent>
        <mc:AlternateContent xmlns:mc="http://schemas.openxmlformats.org/markup-compatibility/2006">
          <mc:Choice Requires="x14">
            <control shapeId="13330" r:id="rId21" name="Option Button 18">
              <controlPr defaultSize="0" autoFill="0" autoLine="0" autoPict="0">
                <anchor moveWithCells="1">
                  <from>
                    <xdr:col>18</xdr:col>
                    <xdr:colOff>69850</xdr:colOff>
                    <xdr:row>103</xdr:row>
                    <xdr:rowOff>12700</xdr:rowOff>
                  </from>
                  <to>
                    <xdr:col>19</xdr:col>
                    <xdr:colOff>165100</xdr:colOff>
                    <xdr:row>103</xdr:row>
                    <xdr:rowOff>222250</xdr:rowOff>
                  </to>
                </anchor>
              </controlPr>
            </control>
          </mc:Choice>
        </mc:AlternateContent>
        <mc:AlternateContent xmlns:mc="http://schemas.openxmlformats.org/markup-compatibility/2006">
          <mc:Choice Requires="x14">
            <control shapeId="13341" r:id="rId22" name="Option Button 29">
              <controlPr defaultSize="0" autoFill="0" autoLine="0" autoPict="0">
                <anchor moveWithCells="1">
                  <from>
                    <xdr:col>21</xdr:col>
                    <xdr:colOff>69850</xdr:colOff>
                    <xdr:row>103</xdr:row>
                    <xdr:rowOff>31750</xdr:rowOff>
                  </from>
                  <to>
                    <xdr:col>22</xdr:col>
                    <xdr:colOff>165100</xdr:colOff>
                    <xdr:row>104</xdr:row>
                    <xdr:rowOff>12700</xdr:rowOff>
                  </to>
                </anchor>
              </controlPr>
            </control>
          </mc:Choice>
        </mc:AlternateContent>
        <mc:AlternateContent xmlns:mc="http://schemas.openxmlformats.org/markup-compatibility/2006">
          <mc:Choice Requires="x14">
            <control shapeId="13342" r:id="rId23" name="Option Button 30">
              <controlPr defaultSize="0" autoFill="0" autoLine="0" autoPict="0">
                <anchor moveWithCells="1">
                  <from>
                    <xdr:col>24</xdr:col>
                    <xdr:colOff>50800</xdr:colOff>
                    <xdr:row>103</xdr:row>
                    <xdr:rowOff>12700</xdr:rowOff>
                  </from>
                  <to>
                    <xdr:col>25</xdr:col>
                    <xdr:colOff>146050</xdr:colOff>
                    <xdr:row>103</xdr:row>
                    <xdr:rowOff>222250</xdr:rowOff>
                  </to>
                </anchor>
              </controlPr>
            </control>
          </mc:Choice>
        </mc:AlternateContent>
        <mc:AlternateContent xmlns:mc="http://schemas.openxmlformats.org/markup-compatibility/2006">
          <mc:Choice Requires="x14">
            <control shapeId="13343" r:id="rId24" name="Option Button 31">
              <controlPr defaultSize="0" autoFill="0" autoLine="0" autoPict="0">
                <anchor moveWithCells="1">
                  <from>
                    <xdr:col>18</xdr:col>
                    <xdr:colOff>69850</xdr:colOff>
                    <xdr:row>104</xdr:row>
                    <xdr:rowOff>19050</xdr:rowOff>
                  </from>
                  <to>
                    <xdr:col>19</xdr:col>
                    <xdr:colOff>165100</xdr:colOff>
                    <xdr:row>104</xdr:row>
                    <xdr:rowOff>222250</xdr:rowOff>
                  </to>
                </anchor>
              </controlPr>
            </control>
          </mc:Choice>
        </mc:AlternateContent>
        <mc:AlternateContent xmlns:mc="http://schemas.openxmlformats.org/markup-compatibility/2006">
          <mc:Choice Requires="x14">
            <control shapeId="13344" r:id="rId25" name="Option Button 32">
              <controlPr defaultSize="0" autoFill="0" autoLine="0" autoPict="0">
                <anchor moveWithCells="1">
                  <from>
                    <xdr:col>21</xdr:col>
                    <xdr:colOff>69850</xdr:colOff>
                    <xdr:row>104</xdr:row>
                    <xdr:rowOff>19050</xdr:rowOff>
                  </from>
                  <to>
                    <xdr:col>22</xdr:col>
                    <xdr:colOff>165100</xdr:colOff>
                    <xdr:row>104</xdr:row>
                    <xdr:rowOff>209550</xdr:rowOff>
                  </to>
                </anchor>
              </controlPr>
            </control>
          </mc:Choice>
        </mc:AlternateContent>
        <mc:AlternateContent xmlns:mc="http://schemas.openxmlformats.org/markup-compatibility/2006">
          <mc:Choice Requires="x14">
            <control shapeId="13345" r:id="rId26" name="Option Button 33">
              <controlPr defaultSize="0" autoFill="0" autoLine="0" autoPict="0">
                <anchor moveWithCells="1">
                  <from>
                    <xdr:col>24</xdr:col>
                    <xdr:colOff>50800</xdr:colOff>
                    <xdr:row>104</xdr:row>
                    <xdr:rowOff>12700</xdr:rowOff>
                  </from>
                  <to>
                    <xdr:col>25</xdr:col>
                    <xdr:colOff>146050</xdr:colOff>
                    <xdr:row>104</xdr:row>
                    <xdr:rowOff>209550</xdr:rowOff>
                  </to>
                </anchor>
              </controlPr>
            </control>
          </mc:Choice>
        </mc:AlternateContent>
        <mc:AlternateContent xmlns:mc="http://schemas.openxmlformats.org/markup-compatibility/2006">
          <mc:Choice Requires="x14">
            <control shapeId="13358" r:id="rId27" name="Check Box 46">
              <controlPr defaultSize="0" autoFill="0" autoLine="0" autoPict="0">
                <anchor moveWithCells="1">
                  <from>
                    <xdr:col>8</xdr:col>
                    <xdr:colOff>69850</xdr:colOff>
                    <xdr:row>68</xdr:row>
                    <xdr:rowOff>19050</xdr:rowOff>
                  </from>
                  <to>
                    <xdr:col>9</xdr:col>
                    <xdr:colOff>165100</xdr:colOff>
                    <xdr:row>69</xdr:row>
                    <xdr:rowOff>0</xdr:rowOff>
                  </to>
                </anchor>
              </controlPr>
            </control>
          </mc:Choice>
        </mc:AlternateContent>
        <mc:AlternateContent xmlns:mc="http://schemas.openxmlformats.org/markup-compatibility/2006">
          <mc:Choice Requires="x14">
            <control shapeId="13359" r:id="rId28" name="Check Box 47">
              <controlPr defaultSize="0" autoFill="0" autoLine="0" autoPict="0">
                <anchor moveWithCells="1">
                  <from>
                    <xdr:col>25</xdr:col>
                    <xdr:colOff>152400</xdr:colOff>
                    <xdr:row>79</xdr:row>
                    <xdr:rowOff>12700</xdr:rowOff>
                  </from>
                  <to>
                    <xdr:col>27</xdr:col>
                    <xdr:colOff>0</xdr:colOff>
                    <xdr:row>79</xdr:row>
                    <xdr:rowOff>222250</xdr:rowOff>
                  </to>
                </anchor>
              </controlPr>
            </control>
          </mc:Choice>
        </mc:AlternateContent>
        <mc:AlternateContent xmlns:mc="http://schemas.openxmlformats.org/markup-compatibility/2006">
          <mc:Choice Requires="x14">
            <control shapeId="13360" r:id="rId29" name="Check Box 48">
              <controlPr defaultSize="0" autoFill="0" autoLine="0" autoPict="0">
                <anchor moveWithCells="1">
                  <from>
                    <xdr:col>29</xdr:col>
                    <xdr:colOff>165100</xdr:colOff>
                    <xdr:row>79</xdr:row>
                    <xdr:rowOff>12700</xdr:rowOff>
                  </from>
                  <to>
                    <xdr:col>31</xdr:col>
                    <xdr:colOff>0</xdr:colOff>
                    <xdr:row>79</xdr:row>
                    <xdr:rowOff>222250</xdr:rowOff>
                  </to>
                </anchor>
              </controlPr>
            </control>
          </mc:Choice>
        </mc:AlternateContent>
        <mc:AlternateContent xmlns:mc="http://schemas.openxmlformats.org/markup-compatibility/2006">
          <mc:Choice Requires="x14">
            <control shapeId="13361" r:id="rId30" name="Check Box 49">
              <controlPr defaultSize="0" autoFill="0" autoLine="0" autoPict="0">
                <anchor moveWithCells="1">
                  <from>
                    <xdr:col>27</xdr:col>
                    <xdr:colOff>152400</xdr:colOff>
                    <xdr:row>79</xdr:row>
                    <xdr:rowOff>12700</xdr:rowOff>
                  </from>
                  <to>
                    <xdr:col>28</xdr:col>
                    <xdr:colOff>247650</xdr:colOff>
                    <xdr:row>79</xdr:row>
                    <xdr:rowOff>222250</xdr:rowOff>
                  </to>
                </anchor>
              </controlPr>
            </control>
          </mc:Choice>
        </mc:AlternateContent>
        <mc:AlternateContent xmlns:mc="http://schemas.openxmlformats.org/markup-compatibility/2006">
          <mc:Choice Requires="x14">
            <control shapeId="13362" r:id="rId31" name="Check Box 50">
              <controlPr defaultSize="0" autoFill="0" autoLine="0" autoPict="0">
                <anchor moveWithCells="1">
                  <from>
                    <xdr:col>31</xdr:col>
                    <xdr:colOff>165100</xdr:colOff>
                    <xdr:row>79</xdr:row>
                    <xdr:rowOff>12700</xdr:rowOff>
                  </from>
                  <to>
                    <xdr:col>33</xdr:col>
                    <xdr:colOff>0</xdr:colOff>
                    <xdr:row>79</xdr:row>
                    <xdr:rowOff>222250</xdr:rowOff>
                  </to>
                </anchor>
              </controlPr>
            </control>
          </mc:Choice>
        </mc:AlternateContent>
        <mc:AlternateContent xmlns:mc="http://schemas.openxmlformats.org/markup-compatibility/2006">
          <mc:Choice Requires="x14">
            <control shapeId="13363" r:id="rId32" name="Check Box 51">
              <controlPr defaultSize="0" autoFill="0" autoLine="0" autoPict="0">
                <anchor moveWithCells="1">
                  <from>
                    <xdr:col>33</xdr:col>
                    <xdr:colOff>165100</xdr:colOff>
                    <xdr:row>79</xdr:row>
                    <xdr:rowOff>12700</xdr:rowOff>
                  </from>
                  <to>
                    <xdr:col>35</xdr:col>
                    <xdr:colOff>0</xdr:colOff>
                    <xdr:row>79</xdr:row>
                    <xdr:rowOff>222250</xdr:rowOff>
                  </to>
                </anchor>
              </controlPr>
            </control>
          </mc:Choice>
        </mc:AlternateContent>
        <mc:AlternateContent xmlns:mc="http://schemas.openxmlformats.org/markup-compatibility/2006">
          <mc:Choice Requires="x14">
            <control shapeId="13364" r:id="rId33" name="Check Box 52">
              <controlPr defaultSize="0" autoFill="0" autoLine="0" autoPict="0">
                <anchor moveWithCells="1">
                  <from>
                    <xdr:col>35</xdr:col>
                    <xdr:colOff>165100</xdr:colOff>
                    <xdr:row>79</xdr:row>
                    <xdr:rowOff>12700</xdr:rowOff>
                  </from>
                  <to>
                    <xdr:col>37</xdr:col>
                    <xdr:colOff>0</xdr:colOff>
                    <xdr:row>79</xdr:row>
                    <xdr:rowOff>222250</xdr:rowOff>
                  </to>
                </anchor>
              </controlPr>
            </control>
          </mc:Choice>
        </mc:AlternateContent>
        <mc:AlternateContent xmlns:mc="http://schemas.openxmlformats.org/markup-compatibility/2006">
          <mc:Choice Requires="x14">
            <control shapeId="13365" r:id="rId34" name="Check Box 53">
              <controlPr defaultSize="0" autoFill="0" autoLine="0" autoPict="0">
                <anchor moveWithCells="1">
                  <from>
                    <xdr:col>37</xdr:col>
                    <xdr:colOff>165100</xdr:colOff>
                    <xdr:row>79</xdr:row>
                    <xdr:rowOff>12700</xdr:rowOff>
                  </from>
                  <to>
                    <xdr:col>39</xdr:col>
                    <xdr:colOff>0</xdr:colOff>
                    <xdr:row>79</xdr:row>
                    <xdr:rowOff>222250</xdr:rowOff>
                  </to>
                </anchor>
              </controlPr>
            </control>
          </mc:Choice>
        </mc:AlternateContent>
        <mc:AlternateContent xmlns:mc="http://schemas.openxmlformats.org/markup-compatibility/2006">
          <mc:Choice Requires="x14">
            <control shapeId="13366" r:id="rId35" name="Check Box 54">
              <controlPr defaultSize="0" autoFill="0" autoLine="0" autoPict="0">
                <anchor moveWithCells="1">
                  <from>
                    <xdr:col>39</xdr:col>
                    <xdr:colOff>165100</xdr:colOff>
                    <xdr:row>79</xdr:row>
                    <xdr:rowOff>12700</xdr:rowOff>
                  </from>
                  <to>
                    <xdr:col>41</xdr:col>
                    <xdr:colOff>19050</xdr:colOff>
                    <xdr:row>79</xdr:row>
                    <xdr:rowOff>222250</xdr:rowOff>
                  </to>
                </anchor>
              </controlPr>
            </control>
          </mc:Choice>
        </mc:AlternateContent>
        <mc:AlternateContent xmlns:mc="http://schemas.openxmlformats.org/markup-compatibility/2006">
          <mc:Choice Requires="x14">
            <control shapeId="13377" r:id="rId36" name="Group Box 65">
              <controlPr defaultSize="0" autoFill="0" autoPict="0">
                <anchor moveWithCells="1">
                  <from>
                    <xdr:col>8</xdr:col>
                    <xdr:colOff>0</xdr:colOff>
                    <xdr:row>126</xdr:row>
                    <xdr:rowOff>222250</xdr:rowOff>
                  </from>
                  <to>
                    <xdr:col>45</xdr:col>
                    <xdr:colOff>241300</xdr:colOff>
                    <xdr:row>127</xdr:row>
                    <xdr:rowOff>222250</xdr:rowOff>
                  </to>
                </anchor>
              </controlPr>
            </control>
          </mc:Choice>
        </mc:AlternateContent>
        <mc:AlternateContent xmlns:mc="http://schemas.openxmlformats.org/markup-compatibility/2006">
          <mc:Choice Requires="x14">
            <control shapeId="13382" r:id="rId37" name="Check Box 70">
              <controlPr defaultSize="0" autoFill="0" autoLine="0" autoPict="0">
                <anchor moveWithCells="1">
                  <from>
                    <xdr:col>8</xdr:col>
                    <xdr:colOff>209550</xdr:colOff>
                    <xdr:row>90</xdr:row>
                    <xdr:rowOff>0</xdr:rowOff>
                  </from>
                  <to>
                    <xdr:col>10</xdr:col>
                    <xdr:colOff>38100</xdr:colOff>
                    <xdr:row>90</xdr:row>
                    <xdr:rowOff>222250</xdr:rowOff>
                  </to>
                </anchor>
              </controlPr>
            </control>
          </mc:Choice>
        </mc:AlternateContent>
        <mc:AlternateContent xmlns:mc="http://schemas.openxmlformats.org/markup-compatibility/2006">
          <mc:Choice Requires="x14">
            <control shapeId="13384" r:id="rId38" name="Check Box 72">
              <controlPr defaultSize="0" autoFill="0" autoLine="0" autoPict="0">
                <anchor moveWithCells="1">
                  <from>
                    <xdr:col>16</xdr:col>
                    <xdr:colOff>190500</xdr:colOff>
                    <xdr:row>90</xdr:row>
                    <xdr:rowOff>0</xdr:rowOff>
                  </from>
                  <to>
                    <xdr:col>18</xdr:col>
                    <xdr:colOff>19050</xdr:colOff>
                    <xdr:row>90</xdr:row>
                    <xdr:rowOff>209550</xdr:rowOff>
                  </to>
                </anchor>
              </controlPr>
            </control>
          </mc:Choice>
        </mc:AlternateContent>
        <mc:AlternateContent xmlns:mc="http://schemas.openxmlformats.org/markup-compatibility/2006">
          <mc:Choice Requires="x14">
            <control shapeId="13433" r:id="rId39" name="Option Button 121">
              <controlPr defaultSize="0" autoFill="0" autoLine="0" autoPict="0">
                <anchor moveWithCells="1">
                  <from>
                    <xdr:col>9</xdr:col>
                    <xdr:colOff>19050</xdr:colOff>
                    <xdr:row>92</xdr:row>
                    <xdr:rowOff>127000</xdr:rowOff>
                  </from>
                  <to>
                    <xdr:col>11</xdr:col>
                    <xdr:colOff>50800</xdr:colOff>
                    <xdr:row>93</xdr:row>
                    <xdr:rowOff>107950</xdr:rowOff>
                  </to>
                </anchor>
              </controlPr>
            </control>
          </mc:Choice>
        </mc:AlternateContent>
        <mc:AlternateContent xmlns:mc="http://schemas.openxmlformats.org/markup-compatibility/2006">
          <mc:Choice Requires="x14">
            <control shapeId="13434" r:id="rId40" name="Option Button 122">
              <controlPr defaultSize="0" autoFill="0" autoLine="0" autoPict="0">
                <anchor moveWithCells="1">
                  <from>
                    <xdr:col>13</xdr:col>
                    <xdr:colOff>19050</xdr:colOff>
                    <xdr:row>92</xdr:row>
                    <xdr:rowOff>127000</xdr:rowOff>
                  </from>
                  <to>
                    <xdr:col>15</xdr:col>
                    <xdr:colOff>50800</xdr:colOff>
                    <xdr:row>93</xdr:row>
                    <xdr:rowOff>107950</xdr:rowOff>
                  </to>
                </anchor>
              </controlPr>
            </control>
          </mc:Choice>
        </mc:AlternateContent>
        <mc:AlternateContent xmlns:mc="http://schemas.openxmlformats.org/markup-compatibility/2006">
          <mc:Choice Requires="x14">
            <control shapeId="13435" r:id="rId41" name="Group Box 123">
              <controlPr defaultSize="0" autoFill="0" autoPict="0">
                <anchor moveWithCells="1">
                  <from>
                    <xdr:col>8</xdr:col>
                    <xdr:colOff>0</xdr:colOff>
                    <xdr:row>92</xdr:row>
                    <xdr:rowOff>0</xdr:rowOff>
                  </from>
                  <to>
                    <xdr:col>17</xdr:col>
                    <xdr:colOff>0</xdr:colOff>
                    <xdr:row>94</xdr:row>
                    <xdr:rowOff>0</xdr:rowOff>
                  </to>
                </anchor>
              </controlPr>
            </control>
          </mc:Choice>
        </mc:AlternateContent>
        <mc:AlternateContent xmlns:mc="http://schemas.openxmlformats.org/markup-compatibility/2006">
          <mc:Choice Requires="x14">
            <control shapeId="13437" r:id="rId42" name="Option Button 125">
              <controlPr defaultSize="0" autoFill="0" autoLine="0" autoPict="0">
                <anchor moveWithCells="1">
                  <from>
                    <xdr:col>9</xdr:col>
                    <xdr:colOff>31750</xdr:colOff>
                    <xdr:row>94</xdr:row>
                    <xdr:rowOff>114300</xdr:rowOff>
                  </from>
                  <to>
                    <xdr:col>11</xdr:col>
                    <xdr:colOff>50800</xdr:colOff>
                    <xdr:row>95</xdr:row>
                    <xdr:rowOff>95250</xdr:rowOff>
                  </to>
                </anchor>
              </controlPr>
            </control>
          </mc:Choice>
        </mc:AlternateContent>
        <mc:AlternateContent xmlns:mc="http://schemas.openxmlformats.org/markup-compatibility/2006">
          <mc:Choice Requires="x14">
            <control shapeId="13438" r:id="rId43" name="Option Button 126">
              <controlPr defaultSize="0" autoFill="0" autoLine="0" autoPict="0">
                <anchor moveWithCells="1">
                  <from>
                    <xdr:col>13</xdr:col>
                    <xdr:colOff>31750</xdr:colOff>
                    <xdr:row>94</xdr:row>
                    <xdr:rowOff>114300</xdr:rowOff>
                  </from>
                  <to>
                    <xdr:col>15</xdr:col>
                    <xdr:colOff>50800</xdr:colOff>
                    <xdr:row>95</xdr:row>
                    <xdr:rowOff>95250</xdr:rowOff>
                  </to>
                </anchor>
              </controlPr>
            </control>
          </mc:Choice>
        </mc:AlternateContent>
        <mc:AlternateContent xmlns:mc="http://schemas.openxmlformats.org/markup-compatibility/2006">
          <mc:Choice Requires="x14">
            <control shapeId="13439" r:id="rId44" name="Group Box 127">
              <controlPr defaultSize="0" autoFill="0" autoPict="0">
                <anchor moveWithCells="1">
                  <from>
                    <xdr:col>8</xdr:col>
                    <xdr:colOff>0</xdr:colOff>
                    <xdr:row>94</xdr:row>
                    <xdr:rowOff>0</xdr:rowOff>
                  </from>
                  <to>
                    <xdr:col>17</xdr:col>
                    <xdr:colOff>0</xdr:colOff>
                    <xdr:row>96</xdr:row>
                    <xdr:rowOff>0</xdr:rowOff>
                  </to>
                </anchor>
              </controlPr>
            </control>
          </mc:Choice>
        </mc:AlternateContent>
        <mc:AlternateContent xmlns:mc="http://schemas.openxmlformats.org/markup-compatibility/2006">
          <mc:Choice Requires="x14">
            <control shapeId="13440" r:id="rId45" name="Option Button 128">
              <controlPr defaultSize="0" autoFill="0" autoLine="0" autoPict="0">
                <anchor moveWithCells="1">
                  <from>
                    <xdr:col>24</xdr:col>
                    <xdr:colOff>38100</xdr:colOff>
                    <xdr:row>92</xdr:row>
                    <xdr:rowOff>127000</xdr:rowOff>
                  </from>
                  <to>
                    <xdr:col>26</xdr:col>
                    <xdr:colOff>69850</xdr:colOff>
                    <xdr:row>93</xdr:row>
                    <xdr:rowOff>107950</xdr:rowOff>
                  </to>
                </anchor>
              </controlPr>
            </control>
          </mc:Choice>
        </mc:AlternateContent>
        <mc:AlternateContent xmlns:mc="http://schemas.openxmlformats.org/markup-compatibility/2006">
          <mc:Choice Requires="x14">
            <control shapeId="13441" r:id="rId46" name="Option Button 129">
              <controlPr defaultSize="0" autoFill="0" autoLine="0" autoPict="0">
                <anchor moveWithCells="1">
                  <from>
                    <xdr:col>28</xdr:col>
                    <xdr:colOff>38100</xdr:colOff>
                    <xdr:row>92</xdr:row>
                    <xdr:rowOff>127000</xdr:rowOff>
                  </from>
                  <to>
                    <xdr:col>30</xdr:col>
                    <xdr:colOff>69850</xdr:colOff>
                    <xdr:row>93</xdr:row>
                    <xdr:rowOff>107950</xdr:rowOff>
                  </to>
                </anchor>
              </controlPr>
            </control>
          </mc:Choice>
        </mc:AlternateContent>
        <mc:AlternateContent xmlns:mc="http://schemas.openxmlformats.org/markup-compatibility/2006">
          <mc:Choice Requires="x14">
            <control shapeId="13442" r:id="rId47" name="Option Button 130">
              <controlPr defaultSize="0" autoFill="0" autoLine="0" autoPict="0">
                <anchor moveWithCells="1">
                  <from>
                    <xdr:col>24</xdr:col>
                    <xdr:colOff>38100</xdr:colOff>
                    <xdr:row>94</xdr:row>
                    <xdr:rowOff>114300</xdr:rowOff>
                  </from>
                  <to>
                    <xdr:col>26</xdr:col>
                    <xdr:colOff>69850</xdr:colOff>
                    <xdr:row>95</xdr:row>
                    <xdr:rowOff>95250</xdr:rowOff>
                  </to>
                </anchor>
              </controlPr>
            </control>
          </mc:Choice>
        </mc:AlternateContent>
        <mc:AlternateContent xmlns:mc="http://schemas.openxmlformats.org/markup-compatibility/2006">
          <mc:Choice Requires="x14">
            <control shapeId="13443" r:id="rId48" name="Option Button 131">
              <controlPr defaultSize="0" autoFill="0" autoLine="0" autoPict="0">
                <anchor moveWithCells="1">
                  <from>
                    <xdr:col>28</xdr:col>
                    <xdr:colOff>38100</xdr:colOff>
                    <xdr:row>94</xdr:row>
                    <xdr:rowOff>114300</xdr:rowOff>
                  </from>
                  <to>
                    <xdr:col>30</xdr:col>
                    <xdr:colOff>69850</xdr:colOff>
                    <xdr:row>95</xdr:row>
                    <xdr:rowOff>95250</xdr:rowOff>
                  </to>
                </anchor>
              </controlPr>
            </control>
          </mc:Choice>
        </mc:AlternateContent>
        <mc:AlternateContent xmlns:mc="http://schemas.openxmlformats.org/markup-compatibility/2006">
          <mc:Choice Requires="x14">
            <control shapeId="13444" r:id="rId49" name="Option Button 132">
              <controlPr defaultSize="0" autoFill="0" autoLine="0" autoPict="0">
                <anchor moveWithCells="1">
                  <from>
                    <xdr:col>39</xdr:col>
                    <xdr:colOff>38100</xdr:colOff>
                    <xdr:row>92</xdr:row>
                    <xdr:rowOff>127000</xdr:rowOff>
                  </from>
                  <to>
                    <xdr:col>41</xdr:col>
                    <xdr:colOff>69850</xdr:colOff>
                    <xdr:row>93</xdr:row>
                    <xdr:rowOff>107950</xdr:rowOff>
                  </to>
                </anchor>
              </controlPr>
            </control>
          </mc:Choice>
        </mc:AlternateContent>
        <mc:AlternateContent xmlns:mc="http://schemas.openxmlformats.org/markup-compatibility/2006">
          <mc:Choice Requires="x14">
            <control shapeId="13445" r:id="rId50" name="Option Button 133">
              <controlPr defaultSize="0" autoFill="0" autoLine="0" autoPict="0">
                <anchor moveWithCells="1">
                  <from>
                    <xdr:col>43</xdr:col>
                    <xdr:colOff>38100</xdr:colOff>
                    <xdr:row>92</xdr:row>
                    <xdr:rowOff>127000</xdr:rowOff>
                  </from>
                  <to>
                    <xdr:col>45</xdr:col>
                    <xdr:colOff>69850</xdr:colOff>
                    <xdr:row>93</xdr:row>
                    <xdr:rowOff>107950</xdr:rowOff>
                  </to>
                </anchor>
              </controlPr>
            </control>
          </mc:Choice>
        </mc:AlternateContent>
        <mc:AlternateContent xmlns:mc="http://schemas.openxmlformats.org/markup-compatibility/2006">
          <mc:Choice Requires="x14">
            <control shapeId="13446" r:id="rId51" name="Option Button 134">
              <controlPr defaultSize="0" autoFill="0" autoLine="0" autoPict="0">
                <anchor moveWithCells="1">
                  <from>
                    <xdr:col>39</xdr:col>
                    <xdr:colOff>38100</xdr:colOff>
                    <xdr:row>94</xdr:row>
                    <xdr:rowOff>114300</xdr:rowOff>
                  </from>
                  <to>
                    <xdr:col>41</xdr:col>
                    <xdr:colOff>69850</xdr:colOff>
                    <xdr:row>95</xdr:row>
                    <xdr:rowOff>95250</xdr:rowOff>
                  </to>
                </anchor>
              </controlPr>
            </control>
          </mc:Choice>
        </mc:AlternateContent>
        <mc:AlternateContent xmlns:mc="http://schemas.openxmlformats.org/markup-compatibility/2006">
          <mc:Choice Requires="x14">
            <control shapeId="13447" r:id="rId52" name="Option Button 135">
              <controlPr defaultSize="0" autoFill="0" autoLine="0" autoPict="0">
                <anchor moveWithCells="1">
                  <from>
                    <xdr:col>43</xdr:col>
                    <xdr:colOff>38100</xdr:colOff>
                    <xdr:row>94</xdr:row>
                    <xdr:rowOff>114300</xdr:rowOff>
                  </from>
                  <to>
                    <xdr:col>45</xdr:col>
                    <xdr:colOff>69850</xdr:colOff>
                    <xdr:row>95</xdr:row>
                    <xdr:rowOff>95250</xdr:rowOff>
                  </to>
                </anchor>
              </controlPr>
            </control>
          </mc:Choice>
        </mc:AlternateContent>
        <mc:AlternateContent xmlns:mc="http://schemas.openxmlformats.org/markup-compatibility/2006">
          <mc:Choice Requires="x14">
            <control shapeId="13448" r:id="rId53" name="Group Box 136">
              <controlPr defaultSize="0" autoFill="0" autoPict="0">
                <anchor moveWithCells="1">
                  <from>
                    <xdr:col>23</xdr:col>
                    <xdr:colOff>0</xdr:colOff>
                    <xdr:row>92</xdr:row>
                    <xdr:rowOff>0</xdr:rowOff>
                  </from>
                  <to>
                    <xdr:col>32</xdr:col>
                    <xdr:colOff>0</xdr:colOff>
                    <xdr:row>94</xdr:row>
                    <xdr:rowOff>0</xdr:rowOff>
                  </to>
                </anchor>
              </controlPr>
            </control>
          </mc:Choice>
        </mc:AlternateContent>
        <mc:AlternateContent xmlns:mc="http://schemas.openxmlformats.org/markup-compatibility/2006">
          <mc:Choice Requires="x14">
            <control shapeId="13449" r:id="rId54" name="Group Box 137">
              <controlPr defaultSize="0" autoFill="0" autoPict="0">
                <anchor moveWithCells="1">
                  <from>
                    <xdr:col>23</xdr:col>
                    <xdr:colOff>0</xdr:colOff>
                    <xdr:row>94</xdr:row>
                    <xdr:rowOff>0</xdr:rowOff>
                  </from>
                  <to>
                    <xdr:col>32</xdr:col>
                    <xdr:colOff>0</xdr:colOff>
                    <xdr:row>96</xdr:row>
                    <xdr:rowOff>0</xdr:rowOff>
                  </to>
                </anchor>
              </controlPr>
            </control>
          </mc:Choice>
        </mc:AlternateContent>
        <mc:AlternateContent xmlns:mc="http://schemas.openxmlformats.org/markup-compatibility/2006">
          <mc:Choice Requires="x14">
            <control shapeId="13450" r:id="rId55" name="Group Box 138">
              <controlPr defaultSize="0" autoFill="0" autoPict="0">
                <anchor moveWithCells="1">
                  <from>
                    <xdr:col>38</xdr:col>
                    <xdr:colOff>0</xdr:colOff>
                    <xdr:row>92</xdr:row>
                    <xdr:rowOff>0</xdr:rowOff>
                  </from>
                  <to>
                    <xdr:col>46</xdr:col>
                    <xdr:colOff>0</xdr:colOff>
                    <xdr:row>94</xdr:row>
                    <xdr:rowOff>0</xdr:rowOff>
                  </to>
                </anchor>
              </controlPr>
            </control>
          </mc:Choice>
        </mc:AlternateContent>
        <mc:AlternateContent xmlns:mc="http://schemas.openxmlformats.org/markup-compatibility/2006">
          <mc:Choice Requires="x14">
            <control shapeId="13451" r:id="rId56" name="Group Box 139">
              <controlPr defaultSize="0" autoFill="0" autoPict="0">
                <anchor moveWithCells="1">
                  <from>
                    <xdr:col>38</xdr:col>
                    <xdr:colOff>0</xdr:colOff>
                    <xdr:row>94</xdr:row>
                    <xdr:rowOff>0</xdr:rowOff>
                  </from>
                  <to>
                    <xdr:col>46</xdr:col>
                    <xdr:colOff>0</xdr:colOff>
                    <xdr:row>96</xdr:row>
                    <xdr:rowOff>0</xdr:rowOff>
                  </to>
                </anchor>
              </controlPr>
            </control>
          </mc:Choice>
        </mc:AlternateContent>
        <mc:AlternateContent xmlns:mc="http://schemas.openxmlformats.org/markup-compatibility/2006">
          <mc:Choice Requires="x14">
            <control shapeId="13454" r:id="rId57" name="Option Button 142">
              <controlPr defaultSize="0" autoFill="0" autoLine="0" autoPict="0">
                <anchor moveWithCells="1">
                  <from>
                    <xdr:col>41</xdr:col>
                    <xdr:colOff>0</xdr:colOff>
                    <xdr:row>20</xdr:row>
                    <xdr:rowOff>69850</xdr:rowOff>
                  </from>
                  <to>
                    <xdr:col>42</xdr:col>
                    <xdr:colOff>107950</xdr:colOff>
                    <xdr:row>21</xdr:row>
                    <xdr:rowOff>95250</xdr:rowOff>
                  </to>
                </anchor>
              </controlPr>
            </control>
          </mc:Choice>
        </mc:AlternateContent>
        <mc:AlternateContent xmlns:mc="http://schemas.openxmlformats.org/markup-compatibility/2006">
          <mc:Choice Requires="x14">
            <control shapeId="13455" r:id="rId58" name="Option Button 143">
              <controlPr defaultSize="0" autoFill="0" autoLine="0" autoPict="0">
                <anchor moveWithCells="1">
                  <from>
                    <xdr:col>43</xdr:col>
                    <xdr:colOff>127000</xdr:colOff>
                    <xdr:row>20</xdr:row>
                    <xdr:rowOff>69850</xdr:rowOff>
                  </from>
                  <to>
                    <xdr:col>44</xdr:col>
                    <xdr:colOff>222250</xdr:colOff>
                    <xdr:row>21</xdr:row>
                    <xdr:rowOff>95250</xdr:rowOff>
                  </to>
                </anchor>
              </controlPr>
            </control>
          </mc:Choice>
        </mc:AlternateContent>
        <mc:AlternateContent xmlns:mc="http://schemas.openxmlformats.org/markup-compatibility/2006">
          <mc:Choice Requires="x14">
            <control shapeId="13456" r:id="rId59" name="Group Box 144">
              <controlPr defaultSize="0" autoFill="0" autoPict="0">
                <anchor moveWithCells="1">
                  <from>
                    <xdr:col>40</xdr:col>
                    <xdr:colOff>152400</xdr:colOff>
                    <xdr:row>19</xdr:row>
                    <xdr:rowOff>19050</xdr:rowOff>
                  </from>
                  <to>
                    <xdr:col>45</xdr:col>
                    <xdr:colOff>228600</xdr:colOff>
                    <xdr:row>21</xdr:row>
                    <xdr:rowOff>203200</xdr:rowOff>
                  </to>
                </anchor>
              </controlPr>
            </control>
          </mc:Choice>
        </mc:AlternateContent>
        <mc:AlternateContent xmlns:mc="http://schemas.openxmlformats.org/markup-compatibility/2006">
          <mc:Choice Requires="x14">
            <control shapeId="13465" r:id="rId60" name="Option Button 153">
              <controlPr defaultSize="0" autoFill="0" autoLine="0" autoPict="0">
                <anchor moveWithCells="1">
                  <from>
                    <xdr:col>8</xdr:col>
                    <xdr:colOff>228600</xdr:colOff>
                    <xdr:row>127</xdr:row>
                    <xdr:rowOff>12700</xdr:rowOff>
                  </from>
                  <to>
                    <xdr:col>12</xdr:col>
                    <xdr:colOff>31750</xdr:colOff>
                    <xdr:row>127</xdr:row>
                    <xdr:rowOff>203200</xdr:rowOff>
                  </to>
                </anchor>
              </controlPr>
            </control>
          </mc:Choice>
        </mc:AlternateContent>
        <mc:AlternateContent xmlns:mc="http://schemas.openxmlformats.org/markup-compatibility/2006">
          <mc:Choice Requires="x14">
            <control shapeId="13466" r:id="rId61" name="Option Button 154">
              <controlPr defaultSize="0" autoFill="0" autoLine="0" autoPict="0">
                <anchor moveWithCells="1">
                  <from>
                    <xdr:col>20</xdr:col>
                    <xdr:colOff>222250</xdr:colOff>
                    <xdr:row>127</xdr:row>
                    <xdr:rowOff>12700</xdr:rowOff>
                  </from>
                  <to>
                    <xdr:col>24</xdr:col>
                    <xdr:colOff>19050</xdr:colOff>
                    <xdr:row>127</xdr:row>
                    <xdr:rowOff>203200</xdr:rowOff>
                  </to>
                </anchor>
              </controlPr>
            </control>
          </mc:Choice>
        </mc:AlternateContent>
        <mc:AlternateContent xmlns:mc="http://schemas.openxmlformats.org/markup-compatibility/2006">
          <mc:Choice Requires="x14">
            <control shapeId="13467" r:id="rId62" name="Group Box 155">
              <controlPr defaultSize="0" autoFill="0" autoPict="0">
                <anchor moveWithCells="1">
                  <from>
                    <xdr:col>8</xdr:col>
                    <xdr:colOff>12700</xdr:colOff>
                    <xdr:row>126</xdr:row>
                    <xdr:rowOff>203200</xdr:rowOff>
                  </from>
                  <to>
                    <xdr:col>26</xdr:col>
                    <xdr:colOff>241300</xdr:colOff>
                    <xdr:row>131</xdr:row>
                    <xdr:rowOff>19050</xdr:rowOff>
                  </to>
                </anchor>
              </controlPr>
            </control>
          </mc:Choice>
        </mc:AlternateContent>
        <mc:AlternateContent xmlns:mc="http://schemas.openxmlformats.org/markup-compatibility/2006">
          <mc:Choice Requires="x14">
            <control shapeId="13477" r:id="rId63" name="Group Box 165">
              <controlPr defaultSize="0" autoFill="0" autoPict="0">
                <anchor moveWithCells="1">
                  <from>
                    <xdr:col>8</xdr:col>
                    <xdr:colOff>190500</xdr:colOff>
                    <xdr:row>17</xdr:row>
                    <xdr:rowOff>50800</xdr:rowOff>
                  </from>
                  <to>
                    <xdr:col>22</xdr:col>
                    <xdr:colOff>184150</xdr:colOff>
                    <xdr:row>18</xdr:row>
                    <xdr:rowOff>190500</xdr:rowOff>
                  </to>
                </anchor>
              </controlPr>
            </control>
          </mc:Choice>
        </mc:AlternateContent>
        <mc:AlternateContent xmlns:mc="http://schemas.openxmlformats.org/markup-compatibility/2006">
          <mc:Choice Requires="x14">
            <control shapeId="13478" r:id="rId64" name="Option Button 166">
              <controlPr defaultSize="0" autoFill="0" autoLine="0" autoPict="0">
                <anchor moveWithCells="1">
                  <from>
                    <xdr:col>9</xdr:col>
                    <xdr:colOff>184150</xdr:colOff>
                    <xdr:row>17</xdr:row>
                    <xdr:rowOff>127000</xdr:rowOff>
                  </from>
                  <to>
                    <xdr:col>12</xdr:col>
                    <xdr:colOff>241300</xdr:colOff>
                    <xdr:row>18</xdr:row>
                    <xdr:rowOff>107950</xdr:rowOff>
                  </to>
                </anchor>
              </controlPr>
            </control>
          </mc:Choice>
        </mc:AlternateContent>
        <mc:AlternateContent xmlns:mc="http://schemas.openxmlformats.org/markup-compatibility/2006">
          <mc:Choice Requires="x14">
            <control shapeId="13479" r:id="rId65" name="Option Button 167">
              <controlPr defaultSize="0" autoFill="0" autoLine="0" autoPict="0">
                <anchor moveWithCells="1">
                  <from>
                    <xdr:col>16</xdr:col>
                    <xdr:colOff>184150</xdr:colOff>
                    <xdr:row>17</xdr:row>
                    <xdr:rowOff>133350</xdr:rowOff>
                  </from>
                  <to>
                    <xdr:col>19</xdr:col>
                    <xdr:colOff>241300</xdr:colOff>
                    <xdr:row>18</xdr:row>
                    <xdr:rowOff>107950</xdr:rowOff>
                  </to>
                </anchor>
              </controlPr>
            </control>
          </mc:Choice>
        </mc:AlternateContent>
        <mc:AlternateContent xmlns:mc="http://schemas.openxmlformats.org/markup-compatibility/2006">
          <mc:Choice Requires="x14">
            <control shapeId="13480" r:id="rId66" name="Group Box 168">
              <controlPr defaultSize="0" autoFill="0" autoPict="0">
                <anchor moveWithCells="1">
                  <from>
                    <xdr:col>28</xdr:col>
                    <xdr:colOff>57150</xdr:colOff>
                    <xdr:row>17</xdr:row>
                    <xdr:rowOff>38100</xdr:rowOff>
                  </from>
                  <to>
                    <xdr:col>45</xdr:col>
                    <xdr:colOff>19050</xdr:colOff>
                    <xdr:row>18</xdr:row>
                    <xdr:rowOff>190500</xdr:rowOff>
                  </to>
                </anchor>
              </controlPr>
            </control>
          </mc:Choice>
        </mc:AlternateContent>
        <mc:AlternateContent xmlns:mc="http://schemas.openxmlformats.org/markup-compatibility/2006">
          <mc:Choice Requires="x14">
            <control shapeId="13481" r:id="rId67" name="Option Button 169">
              <controlPr defaultSize="0" autoFill="0" autoLine="0" autoPict="0">
                <anchor moveWithCells="1">
                  <from>
                    <xdr:col>28</xdr:col>
                    <xdr:colOff>171450</xdr:colOff>
                    <xdr:row>17</xdr:row>
                    <xdr:rowOff>114300</xdr:rowOff>
                  </from>
                  <to>
                    <xdr:col>31</xdr:col>
                    <xdr:colOff>222250</xdr:colOff>
                    <xdr:row>18</xdr:row>
                    <xdr:rowOff>95250</xdr:rowOff>
                  </to>
                </anchor>
              </controlPr>
            </control>
          </mc:Choice>
        </mc:AlternateContent>
        <mc:AlternateContent xmlns:mc="http://schemas.openxmlformats.org/markup-compatibility/2006">
          <mc:Choice Requires="x14">
            <control shapeId="13482" r:id="rId68" name="Option Button 170">
              <controlPr defaultSize="0" autoFill="0" autoLine="0" autoPict="0">
                <anchor moveWithCells="1">
                  <from>
                    <xdr:col>35</xdr:col>
                    <xdr:colOff>190500</xdr:colOff>
                    <xdr:row>17</xdr:row>
                    <xdr:rowOff>114300</xdr:rowOff>
                  </from>
                  <to>
                    <xdr:col>38</xdr:col>
                    <xdr:colOff>247650</xdr:colOff>
                    <xdr:row>18</xdr:row>
                    <xdr:rowOff>95250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CC00FF"/>
    <pageSetUpPr fitToPage="1"/>
  </sheetPr>
  <dimension ref="A1:DY590"/>
  <sheetViews>
    <sheetView showGridLines="0" zoomScale="85" zoomScaleNormal="85" zoomScaleSheetLayoutView="75" workbookViewId="0">
      <selection activeCell="AA79" sqref="AA79:AH79"/>
    </sheetView>
  </sheetViews>
  <sheetFormatPr defaultColWidth="3.08984375" defaultRowHeight="19.5" customHeight="1"/>
  <cols>
    <col min="1" max="1" width="3.36328125" style="239" customWidth="1"/>
    <col min="2" max="2" width="3.36328125" style="252" customWidth="1"/>
    <col min="3" max="3" width="3.36328125" style="240" customWidth="1"/>
    <col min="4" max="28" width="3.36328125" style="236" customWidth="1"/>
    <col min="29" max="37" width="3.36328125" style="237" customWidth="1"/>
    <col min="38" max="46" width="3.36328125" style="236" customWidth="1"/>
    <col min="47" max="47" width="3.36328125" style="179" customWidth="1"/>
    <col min="48" max="48" width="6.7265625" style="199" hidden="1" customWidth="1"/>
    <col min="49" max="52" width="5.90625" style="200" hidden="1" customWidth="1"/>
    <col min="53" max="63" width="5.90625" style="24" hidden="1" customWidth="1"/>
    <col min="64" max="65" width="6.6328125" style="24" hidden="1" customWidth="1"/>
    <col min="66" max="67" width="5.90625" style="24" hidden="1" customWidth="1"/>
    <col min="68" max="68" width="5.7265625" style="24" hidden="1" customWidth="1"/>
    <col min="69" max="71" width="5.90625" style="24" hidden="1" customWidth="1"/>
    <col min="72" max="72" width="10.6328125" style="24" hidden="1" customWidth="1"/>
    <col min="73" max="74" width="10.6328125" style="15" hidden="1" customWidth="1"/>
    <col min="75" max="75" width="12.6328125" style="15" hidden="1" customWidth="1"/>
    <col min="76" max="76" width="11.6328125" style="15" hidden="1" customWidth="1"/>
    <col min="77" max="77" width="5.90625" style="15" hidden="1" customWidth="1"/>
    <col min="78" max="79" width="7.6328125" style="119" hidden="1" customWidth="1"/>
    <col min="80" max="80" width="5.90625" style="205" hidden="1" customWidth="1"/>
    <col min="81" max="81" width="5.90625" style="24" hidden="1" customWidth="1"/>
    <col min="82" max="82" width="5.90625" style="22" hidden="1" customWidth="1"/>
    <col min="83" max="83" width="27.08984375" style="22" hidden="1" customWidth="1"/>
    <col min="84" max="84" width="5.90625" style="22" hidden="1" customWidth="1"/>
    <col min="85" max="85" width="5.90625" style="32" hidden="1" customWidth="1"/>
    <col min="86" max="86" width="16.6328125" style="81" hidden="1" customWidth="1"/>
    <col min="87" max="87" width="10.6328125" style="81" hidden="1" customWidth="1"/>
    <col min="88" max="88" width="5.08984375" style="81" hidden="1" customWidth="1"/>
    <col min="89" max="89" width="3.6328125" style="81" hidden="1" customWidth="1"/>
    <col min="90" max="90" width="3.6328125" style="86" hidden="1" customWidth="1"/>
    <col min="91" max="92" width="5.90625" style="57" hidden="1" customWidth="1"/>
    <col min="93" max="93" width="16.6328125" style="57" hidden="1" customWidth="1"/>
    <col min="94" max="94" width="16.6328125" style="88" hidden="1" customWidth="1"/>
    <col min="95" max="95" width="5.90625" style="57" hidden="1" customWidth="1"/>
    <col min="96" max="96" width="20.453125" style="57" hidden="1" customWidth="1"/>
    <col min="97" max="97" width="5.08984375" style="81" hidden="1" customWidth="1"/>
    <col min="98" max="98" width="8.6328125" style="81" hidden="1" customWidth="1"/>
    <col min="99" max="99" width="5.90625" style="81" hidden="1" customWidth="1"/>
    <col min="100" max="100" width="5.90625" style="59" hidden="1" customWidth="1"/>
    <col min="101" max="101" width="10.453125" style="90" hidden="1" customWidth="1"/>
    <col min="102" max="102" width="6.6328125" style="90" hidden="1" customWidth="1"/>
    <col min="103" max="103" width="5.90625" style="90" hidden="1" customWidth="1"/>
    <col min="104" max="105" width="5.90625" style="55" hidden="1" customWidth="1"/>
    <col min="106" max="106" width="5.90625" style="43" hidden="1" customWidth="1"/>
    <col min="107" max="107" width="5.90625" style="42" hidden="1" customWidth="1"/>
    <col min="108" max="108" width="5.90625" style="44" hidden="1" customWidth="1"/>
    <col min="109" max="109" width="5.90625" style="42" hidden="1" customWidth="1"/>
    <col min="110" max="111" width="5.90625" style="43" hidden="1" customWidth="1"/>
    <col min="112" max="112" width="11.6328125" style="43" hidden="1" customWidth="1"/>
    <col min="113" max="113" width="29.08984375" style="43" hidden="1" customWidth="1"/>
    <col min="114" max="114" width="5.90625" style="55" hidden="1" customWidth="1"/>
    <col min="115" max="115" width="10.36328125" style="43" hidden="1" customWidth="1"/>
    <col min="116" max="116" width="8.7265625" style="106" hidden="1" customWidth="1"/>
    <col min="117" max="117" width="5.90625" style="106" hidden="1" customWidth="1"/>
    <col min="118" max="118" width="9.26953125" style="107" hidden="1" customWidth="1"/>
    <col min="119" max="119" width="5.90625" style="23" hidden="1" customWidth="1"/>
    <col min="120" max="120" width="11.26953125" style="23" hidden="1" customWidth="1"/>
    <col min="121" max="121" width="26.08984375" style="85" hidden="1" customWidth="1"/>
    <col min="122" max="122" width="4.6328125" style="85" hidden="1" customWidth="1"/>
    <col min="123" max="123" width="62.6328125" style="85" hidden="1" customWidth="1"/>
    <col min="124" max="124" width="5.6328125" style="85" hidden="1" customWidth="1"/>
    <col min="125" max="125" width="8.7265625" style="85" hidden="1" customWidth="1"/>
    <col min="126" max="126" width="5.90625" style="32" hidden="1" customWidth="1"/>
    <col min="127" max="127" width="3.36328125" style="22" customWidth="1"/>
    <col min="128" max="129" width="3.08984375" style="22" customWidth="1"/>
    <col min="130" max="137" width="3.08984375" style="4" customWidth="1"/>
    <col min="138" max="16384" width="3.08984375" style="4"/>
  </cols>
  <sheetData>
    <row r="1" spans="1:129" s="7" customFormat="1" ht="19.5" customHeight="1" thickBot="1">
      <c r="A1" s="186"/>
      <c r="B1" s="247"/>
      <c r="C1" s="222"/>
      <c r="D1" s="222"/>
      <c r="E1" s="222"/>
      <c r="F1" s="222"/>
      <c r="G1" s="222"/>
      <c r="H1" s="222"/>
      <c r="I1" s="222"/>
      <c r="J1" s="222"/>
      <c r="K1" s="222"/>
      <c r="L1" s="222"/>
      <c r="M1" s="222"/>
      <c r="N1" s="222"/>
      <c r="O1" s="222"/>
      <c r="P1" s="222"/>
      <c r="Q1" s="222"/>
      <c r="R1" s="222"/>
      <c r="S1" s="222"/>
      <c r="T1" s="222"/>
      <c r="U1" s="222"/>
      <c r="V1" s="222"/>
      <c r="W1" s="222"/>
      <c r="X1" s="222"/>
      <c r="Y1" s="222"/>
      <c r="Z1" s="222"/>
      <c r="AA1" s="222"/>
      <c r="AB1" s="222"/>
      <c r="AC1" s="222"/>
      <c r="AD1" s="222"/>
      <c r="AE1" s="222"/>
      <c r="AF1" s="222"/>
      <c r="AG1" s="222"/>
      <c r="AH1" s="222"/>
      <c r="AI1" s="222"/>
      <c r="AJ1" s="222"/>
      <c r="AK1" s="222"/>
      <c r="AL1" s="222"/>
      <c r="AM1" s="222"/>
      <c r="AN1" s="222"/>
      <c r="AO1" s="222"/>
      <c r="AP1" s="222"/>
      <c r="AQ1" s="222"/>
      <c r="AR1" s="222"/>
      <c r="AS1" s="222"/>
      <c r="AT1" s="222"/>
      <c r="AU1" s="223" t="s">
        <v>5745</v>
      </c>
      <c r="AV1" s="199" t="str">
        <f>T(I3)</f>
        <v/>
      </c>
      <c r="AW1" s="201"/>
      <c r="AX1" s="201"/>
      <c r="AY1" s="201"/>
      <c r="AZ1" s="201"/>
      <c r="BA1" s="21"/>
      <c r="BB1" s="21"/>
      <c r="BC1" s="21" t="s">
        <v>2081</v>
      </c>
      <c r="BD1" s="21"/>
      <c r="BE1" s="21"/>
      <c r="BF1" s="21"/>
      <c r="BG1" s="21"/>
      <c r="BH1" s="21"/>
      <c r="BI1" s="21"/>
      <c r="BJ1" s="21"/>
      <c r="BK1" s="21"/>
      <c r="BL1" s="21"/>
      <c r="BM1" s="21"/>
      <c r="BN1" s="21"/>
      <c r="BO1" s="21"/>
      <c r="BP1" s="21"/>
      <c r="BQ1" s="21"/>
      <c r="BR1" s="21"/>
      <c r="BS1" s="21"/>
      <c r="BT1" s="21"/>
      <c r="BU1" s="21"/>
      <c r="BV1" s="1034" t="s">
        <v>3818</v>
      </c>
      <c r="BW1" s="21" t="s">
        <v>3620</v>
      </c>
      <c r="BX1" s="2" t="s">
        <v>2016</v>
      </c>
      <c r="BY1" s="2"/>
      <c r="BZ1" s="21" t="s">
        <v>697</v>
      </c>
      <c r="CA1" s="720" t="s">
        <v>645</v>
      </c>
      <c r="CB1" s="721" t="s">
        <v>646</v>
      </c>
      <c r="CC1" s="3"/>
      <c r="CD1" s="133" t="s">
        <v>688</v>
      </c>
      <c r="CE1" s="132" t="s">
        <v>689</v>
      </c>
      <c r="CF1" s="132" t="s">
        <v>690</v>
      </c>
      <c r="CG1" s="31"/>
      <c r="CH1" s="77" t="s">
        <v>634</v>
      </c>
      <c r="CI1" s="77"/>
      <c r="CJ1" s="77"/>
      <c r="CK1" s="77"/>
      <c r="CL1" s="77"/>
      <c r="CM1" s="77"/>
      <c r="CN1" s="77"/>
      <c r="CO1" s="13"/>
      <c r="CP1" s="58"/>
      <c r="CQ1" s="10"/>
      <c r="CR1" s="59" t="s">
        <v>6</v>
      </c>
      <c r="CS1" s="59" t="s">
        <v>618</v>
      </c>
      <c r="CT1" s="59" t="s">
        <v>4</v>
      </c>
      <c r="CU1" s="59" t="s">
        <v>5</v>
      </c>
      <c r="CV1" s="60"/>
      <c r="CW1" s="5" t="s">
        <v>2</v>
      </c>
      <c r="CX1" s="5"/>
      <c r="CY1" s="48"/>
      <c r="CZ1" s="6"/>
      <c r="DA1" s="48"/>
      <c r="DB1" s="5" t="s">
        <v>618</v>
      </c>
      <c r="DC1" s="5" t="s">
        <v>623</v>
      </c>
      <c r="DD1" s="5" t="s">
        <v>8</v>
      </c>
      <c r="DE1" s="42"/>
      <c r="DF1" s="90"/>
      <c r="DG1" s="90"/>
      <c r="DH1" s="5" t="s">
        <v>3</v>
      </c>
      <c r="DI1" s="90"/>
      <c r="DJ1" s="91"/>
      <c r="DK1" s="91"/>
      <c r="DL1" s="92" t="s">
        <v>9</v>
      </c>
      <c r="DM1" s="92" t="s">
        <v>10</v>
      </c>
      <c r="DN1" s="93" t="s">
        <v>8</v>
      </c>
      <c r="DO1" s="21"/>
      <c r="DP1" s="451" t="s">
        <v>1113</v>
      </c>
      <c r="DQ1" s="451"/>
      <c r="DR1" s="451"/>
      <c r="DS1" s="451"/>
      <c r="DT1" s="451" t="s">
        <v>1246</v>
      </c>
      <c r="DU1" s="451" t="s">
        <v>8</v>
      </c>
      <c r="DV1" s="31"/>
      <c r="DW1" s="22"/>
      <c r="DX1" s="115"/>
      <c r="DY1" s="115"/>
    </row>
    <row r="2" spans="1:129" s="7" customFormat="1" ht="19.5" customHeight="1" thickTop="1" thickBot="1">
      <c r="A2" s="186"/>
      <c r="B2" s="248"/>
      <c r="C2" s="224" t="s">
        <v>344</v>
      </c>
      <c r="D2" s="224"/>
      <c r="E2" s="224"/>
      <c r="F2" s="224"/>
      <c r="G2" s="224"/>
      <c r="H2" s="224"/>
      <c r="I2" s="225" t="str">
        <f>IF(AND(記入シート1!AV12=2,I3=""),"↓サービスID追加のため、マーチャントIDを確認し正確に記入してください。",IF(AND(記入シート1!AV12=1,I3&lt;&gt;""),"↓新規の場合、マーチャントIDは指定出来ません。",""))</f>
        <v/>
      </c>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c r="AM2" s="224"/>
      <c r="AN2" s="224"/>
      <c r="AO2" s="224"/>
      <c r="AP2" s="224"/>
      <c r="AQ2" s="224"/>
      <c r="AR2" s="224"/>
      <c r="AS2" s="224"/>
      <c r="AT2" s="226"/>
      <c r="AU2" s="227"/>
      <c r="AV2" s="922"/>
      <c r="AW2" s="925" t="s">
        <v>3635</v>
      </c>
      <c r="AX2" s="201"/>
      <c r="AY2" s="201"/>
      <c r="AZ2" s="200"/>
      <c r="BA2" s="21"/>
      <c r="BB2" s="21"/>
      <c r="BC2" s="21" t="s">
        <v>642</v>
      </c>
      <c r="BD2" s="21"/>
      <c r="BE2" s="21"/>
      <c r="BF2" s="21"/>
      <c r="BG2" s="21"/>
      <c r="BH2" s="21"/>
      <c r="BI2" s="21"/>
      <c r="BJ2" s="21"/>
      <c r="BK2" s="21"/>
      <c r="BL2" s="21"/>
      <c r="BM2" s="21"/>
      <c r="BN2" s="21"/>
      <c r="BO2" s="21"/>
      <c r="BP2" s="21"/>
      <c r="BQ2" s="21"/>
      <c r="BR2" s="21"/>
      <c r="BS2" s="21"/>
      <c r="BT2" s="21"/>
      <c r="BU2" s="21"/>
      <c r="BV2" s="1034" t="s">
        <v>2101</v>
      </c>
      <c r="BW2" s="126" t="s">
        <v>1895</v>
      </c>
      <c r="BX2" s="2" t="s">
        <v>1993</v>
      </c>
      <c r="BY2" s="2"/>
      <c r="BZ2" s="722" t="s">
        <v>1302</v>
      </c>
      <c r="CA2" s="723" t="str">
        <f>TEXT(BZ2,"0000000")</f>
        <v>0030302</v>
      </c>
      <c r="CB2" s="724" t="s">
        <v>1368</v>
      </c>
      <c r="CC2" s="21"/>
      <c r="CD2" s="145">
        <v>3033</v>
      </c>
      <c r="CE2" s="348" t="s">
        <v>3372</v>
      </c>
      <c r="CF2" s="145">
        <v>3033</v>
      </c>
      <c r="CG2" s="31"/>
      <c r="CH2" s="62" t="s">
        <v>323</v>
      </c>
      <c r="CI2" s="63" t="s">
        <v>586</v>
      </c>
      <c r="CJ2" s="63" t="s">
        <v>321</v>
      </c>
      <c r="CK2" s="62" t="s">
        <v>320</v>
      </c>
      <c r="CL2" s="62" t="s">
        <v>587</v>
      </c>
      <c r="CM2" s="62" t="s">
        <v>326</v>
      </c>
      <c r="CN2" s="62" t="s">
        <v>327</v>
      </c>
      <c r="CO2" s="62" t="s">
        <v>376</v>
      </c>
      <c r="CP2" s="62" t="s">
        <v>328</v>
      </c>
      <c r="CQ2" s="10"/>
      <c r="CR2" s="64" t="s">
        <v>11</v>
      </c>
      <c r="CS2" s="64" t="s">
        <v>12</v>
      </c>
      <c r="CT2" s="64" t="s">
        <v>13</v>
      </c>
      <c r="CU2" s="64" t="s">
        <v>619</v>
      </c>
      <c r="CV2" s="60"/>
      <c r="CW2" s="8" t="s">
        <v>323</v>
      </c>
      <c r="CX2" s="8" t="s">
        <v>705</v>
      </c>
      <c r="CY2" s="8" t="s">
        <v>620</v>
      </c>
      <c r="CZ2" s="8" t="s">
        <v>621</v>
      </c>
      <c r="DA2" s="8" t="s">
        <v>622</v>
      </c>
      <c r="DB2" s="8" t="s">
        <v>12</v>
      </c>
      <c r="DC2" s="8" t="s">
        <v>15</v>
      </c>
      <c r="DD2" s="8" t="s">
        <v>631</v>
      </c>
      <c r="DE2" s="42"/>
      <c r="DF2" s="90"/>
      <c r="DG2" s="90"/>
      <c r="DH2" s="94" t="s">
        <v>632</v>
      </c>
      <c r="DI2" s="94" t="s">
        <v>633</v>
      </c>
      <c r="DJ2" s="95" t="s">
        <v>326</v>
      </c>
      <c r="DK2" s="95" t="s">
        <v>582</v>
      </c>
      <c r="DL2" s="96" t="s">
        <v>14</v>
      </c>
      <c r="DM2" s="96" t="s">
        <v>17</v>
      </c>
      <c r="DN2" s="94" t="s">
        <v>16</v>
      </c>
      <c r="DO2" s="21"/>
      <c r="DP2" s="94" t="s">
        <v>1247</v>
      </c>
      <c r="DQ2" s="94" t="s">
        <v>633</v>
      </c>
      <c r="DR2" s="94" t="s">
        <v>1248</v>
      </c>
      <c r="DS2" s="94" t="s">
        <v>1249</v>
      </c>
      <c r="DT2" s="96" t="s">
        <v>17</v>
      </c>
      <c r="DU2" s="8" t="s">
        <v>631</v>
      </c>
      <c r="DV2" s="31"/>
      <c r="DW2" s="22"/>
      <c r="DX2" s="115"/>
      <c r="DY2" s="115"/>
    </row>
    <row r="3" spans="1:129" s="7" customFormat="1" ht="19.5" customHeight="1" thickTop="1">
      <c r="A3" s="186"/>
      <c r="B3" s="249">
        <f>記入シート1!B4+記入シート2!B4</f>
        <v>8</v>
      </c>
      <c r="C3" s="2042" t="s">
        <v>329</v>
      </c>
      <c r="D3" s="2043"/>
      <c r="E3" s="2043"/>
      <c r="F3" s="2043"/>
      <c r="G3" s="2043"/>
      <c r="H3" s="2044"/>
      <c r="I3" s="2045"/>
      <c r="J3" s="2046"/>
      <c r="K3" s="2047"/>
      <c r="L3" s="2048" t="s">
        <v>330</v>
      </c>
      <c r="M3" s="2043"/>
      <c r="N3" s="2043"/>
      <c r="O3" s="2043"/>
      <c r="P3" s="2043"/>
      <c r="Q3" s="2044"/>
      <c r="R3" s="2045"/>
      <c r="S3" s="2047"/>
      <c r="T3" s="2049" t="s">
        <v>782</v>
      </c>
      <c r="U3" s="2050"/>
      <c r="V3" s="2050"/>
      <c r="W3" s="2051" t="s">
        <v>5751</v>
      </c>
      <c r="X3" s="2052"/>
      <c r="Y3" s="2052"/>
      <c r="Z3" s="2049" t="s">
        <v>644</v>
      </c>
      <c r="AA3" s="2050"/>
      <c r="AB3" s="2050"/>
      <c r="AC3" s="2076" t="str">
        <f>IF(W3="","",VLOOKUP(W3,CA:CB,2,0))</f>
        <v>堀内直也</v>
      </c>
      <c r="AD3" s="2077"/>
      <c r="AE3" s="2077"/>
      <c r="AF3" s="2049" t="s">
        <v>783</v>
      </c>
      <c r="AG3" s="2050"/>
      <c r="AH3" s="2050"/>
      <c r="AI3" s="2051"/>
      <c r="AJ3" s="2052"/>
      <c r="AK3" s="2052"/>
      <c r="AL3" s="3103" t="s">
        <v>781</v>
      </c>
      <c r="AM3" s="3103"/>
      <c r="AN3" s="3103"/>
      <c r="AO3" s="3103"/>
      <c r="AP3" s="2090"/>
      <c r="AQ3" s="2090"/>
      <c r="AR3" s="2090"/>
      <c r="AS3" s="2090"/>
      <c r="AT3" s="2091"/>
      <c r="AU3" s="228"/>
      <c r="AV3" s="651"/>
      <c r="AW3" s="618" t="s">
        <v>3839</v>
      </c>
      <c r="AX3" s="201"/>
      <c r="AY3" s="495" t="s">
        <v>450</v>
      </c>
      <c r="AZ3" s="943" t="s">
        <v>909</v>
      </c>
      <c r="BA3" s="21"/>
      <c r="BB3" s="21"/>
      <c r="BC3" s="21" t="s">
        <v>2082</v>
      </c>
      <c r="BD3" s="21"/>
      <c r="BE3" s="21"/>
      <c r="BF3" s="21"/>
      <c r="BG3" s="21"/>
      <c r="BH3" s="21"/>
      <c r="BI3" s="21"/>
      <c r="BJ3" s="21"/>
      <c r="BK3" s="21"/>
      <c r="BL3" s="21"/>
      <c r="BM3" s="21"/>
      <c r="BN3" s="21"/>
      <c r="BO3" s="21"/>
      <c r="BP3" s="21"/>
      <c r="BQ3" s="21"/>
      <c r="BR3" s="21"/>
      <c r="BS3" s="21"/>
      <c r="BT3" s="21"/>
      <c r="BU3" s="21"/>
      <c r="BV3" s="1034" t="s">
        <v>2102</v>
      </c>
      <c r="BW3" s="126" t="s">
        <v>1895</v>
      </c>
      <c r="BX3" s="2" t="s">
        <v>1994</v>
      </c>
      <c r="BY3" s="2"/>
      <c r="BZ3" s="722" t="s">
        <v>1303</v>
      </c>
      <c r="CA3" s="723" t="str">
        <f t="shared" ref="CA3:CA48" si="0">TEXT(BZ3,"0000000")</f>
        <v>0430106</v>
      </c>
      <c r="CB3" s="724" t="s">
        <v>647</v>
      </c>
      <c r="CC3" s="21"/>
      <c r="CD3" s="145">
        <v>6045</v>
      </c>
      <c r="CE3" s="145" t="s">
        <v>3381</v>
      </c>
      <c r="CF3" s="145">
        <v>6045</v>
      </c>
      <c r="CG3" s="31"/>
      <c r="CH3" s="65" t="s">
        <v>351</v>
      </c>
      <c r="CI3" s="65" t="s">
        <v>292</v>
      </c>
      <c r="CJ3" s="65">
        <v>5</v>
      </c>
      <c r="CK3" s="65" t="s">
        <v>216</v>
      </c>
      <c r="CL3" s="65" t="s">
        <v>83</v>
      </c>
      <c r="CM3" s="65"/>
      <c r="CN3" s="65" t="s">
        <v>591</v>
      </c>
      <c r="CO3" s="66" t="s">
        <v>311</v>
      </c>
      <c r="CP3" s="67" t="str">
        <f>ASC(I3)</f>
        <v/>
      </c>
      <c r="CQ3" s="10"/>
      <c r="CR3" s="68" t="s">
        <v>879</v>
      </c>
      <c r="CS3" s="68">
        <v>106</v>
      </c>
      <c r="CT3" s="69" t="str">
        <f>$CP$14</f>
        <v>00000000</v>
      </c>
      <c r="CU3" s="70">
        <f>IF(CV3&gt;0,1,0)</f>
        <v>0</v>
      </c>
      <c r="CV3" s="60">
        <f t="shared" ref="CV3:CV44" si="1">SUMIF(AY$11:AY$143,CS3,AZ$11:AZ$143)</f>
        <v>0</v>
      </c>
      <c r="CW3" s="9" t="s">
        <v>715</v>
      </c>
      <c r="CX3" s="9"/>
      <c r="CY3" s="49"/>
      <c r="CZ3" s="50"/>
      <c r="DA3" s="49"/>
      <c r="DB3" s="97" t="str">
        <f>LEFT(DC3,3)</f>
        <v>001</v>
      </c>
      <c r="DC3" s="136" t="s">
        <v>318</v>
      </c>
      <c r="DD3" s="98"/>
      <c r="DE3" s="42"/>
      <c r="DF3" s="90"/>
      <c r="DG3" s="90"/>
      <c r="DH3" s="99" t="s">
        <v>891</v>
      </c>
      <c r="DI3" s="103" t="s">
        <v>937</v>
      </c>
      <c r="DJ3" s="51" t="s">
        <v>624</v>
      </c>
      <c r="DK3" s="101" t="str">
        <f>DL3&amp;DM3</f>
        <v>106242Y1</v>
      </c>
      <c r="DL3" s="105" t="s">
        <v>5061</v>
      </c>
      <c r="DM3" s="102" t="s">
        <v>935</v>
      </c>
      <c r="DN3" s="298">
        <f>IF(AV17=TRUE,1,0)</f>
        <v>0</v>
      </c>
      <c r="DO3" s="21"/>
      <c r="DP3" s="452" t="s">
        <v>1250</v>
      </c>
      <c r="DQ3" s="452" t="s">
        <v>1114</v>
      </c>
      <c r="DR3" s="452" t="s">
        <v>1112</v>
      </c>
      <c r="DS3" s="452" t="s">
        <v>1251</v>
      </c>
      <c r="DT3" s="453" t="s">
        <v>1115</v>
      </c>
      <c r="DU3" s="454">
        <f>IF(記入シート1!AV97=0,"",記入シート1!AV97)</f>
        <v>2</v>
      </c>
      <c r="DV3" s="31"/>
      <c r="DW3" s="22"/>
      <c r="DX3" s="115"/>
      <c r="DY3" s="115"/>
    </row>
    <row r="4" spans="1:129" ht="19.5" customHeight="1">
      <c r="A4" s="186"/>
      <c r="B4" s="249">
        <f>SUM(B5:B199)</f>
        <v>2</v>
      </c>
      <c r="C4" s="2055" t="s">
        <v>691</v>
      </c>
      <c r="D4" s="2056"/>
      <c r="E4" s="2056"/>
      <c r="F4" s="2056"/>
      <c r="G4" s="2056"/>
      <c r="H4" s="2057"/>
      <c r="I4" s="2058"/>
      <c r="J4" s="1769"/>
      <c r="K4" s="2059"/>
      <c r="L4" s="1767" t="str">
        <f>IF(OR(I4="",I4="－",I4="‐",I4="-",I4="ー"),"",IF(ISERROR(VLOOKUP(I4,$CD$1:$CF$100,2,FALSE)),"未登録",VLOOKUP(I4,$CD$1:$CF$100,2,FALSE)))</f>
        <v/>
      </c>
      <c r="M4" s="1768"/>
      <c r="N4" s="1768"/>
      <c r="O4" s="1768"/>
      <c r="P4" s="1768"/>
      <c r="Q4" s="1768"/>
      <c r="R4" s="1768"/>
      <c r="S4" s="1768"/>
      <c r="T4" s="1768"/>
      <c r="U4" s="1768"/>
      <c r="V4" s="1768"/>
      <c r="W4" s="1768"/>
      <c r="X4" s="1768"/>
      <c r="Y4" s="1768"/>
      <c r="Z4" s="1768"/>
      <c r="AA4" s="1768"/>
      <c r="AB4" s="2060"/>
      <c r="AC4" s="2061" t="s">
        <v>336</v>
      </c>
      <c r="AD4" s="2061"/>
      <c r="AE4" s="2061"/>
      <c r="AF4" s="2061"/>
      <c r="AG4" s="2062" t="str">
        <f>IF(L4="登録中","",IF(LEN(I4)=4,I4,""))</f>
        <v/>
      </c>
      <c r="AH4" s="2062"/>
      <c r="AI4" s="2062"/>
      <c r="AJ4" s="2062"/>
      <c r="AK4" s="2062"/>
      <c r="AL4" s="2063"/>
      <c r="AM4" s="2064"/>
      <c r="AN4" s="2064"/>
      <c r="AO4" s="2064"/>
      <c r="AP4" s="3106"/>
      <c r="AQ4" s="3106"/>
      <c r="AR4" s="3106"/>
      <c r="AS4" s="3106"/>
      <c r="AT4" s="3107"/>
      <c r="AU4" s="228"/>
      <c r="AV4" s="651"/>
      <c r="AW4" s="618" t="s">
        <v>3840</v>
      </c>
      <c r="AX4" s="203"/>
      <c r="AY4" s="123"/>
      <c r="AZ4" s="116"/>
      <c r="BA4" s="10"/>
      <c r="BB4" s="10"/>
      <c r="BC4" s="10"/>
      <c r="BD4" s="10"/>
      <c r="BE4" s="10"/>
      <c r="BF4" s="10"/>
      <c r="BG4" s="10"/>
      <c r="BH4" s="10"/>
      <c r="BI4" s="10"/>
      <c r="BJ4" s="10"/>
      <c r="BK4" s="10"/>
      <c r="BL4" s="10"/>
      <c r="BM4" s="10"/>
      <c r="BN4" s="10"/>
      <c r="BO4" s="10"/>
      <c r="BP4" s="10"/>
      <c r="BQ4" s="10"/>
      <c r="BR4" s="10"/>
      <c r="BS4" s="10"/>
      <c r="BT4" s="897"/>
      <c r="BU4" s="897"/>
      <c r="BV4" s="1035" t="s">
        <v>3657</v>
      </c>
      <c r="BW4" s="126" t="s">
        <v>3621</v>
      </c>
      <c r="BX4" s="11" t="s">
        <v>1995</v>
      </c>
      <c r="BY4" s="11"/>
      <c r="BZ4" s="722" t="s">
        <v>1304</v>
      </c>
      <c r="CA4" s="723" t="str">
        <f t="shared" si="0"/>
        <v>0430268</v>
      </c>
      <c r="CB4" s="724" t="s">
        <v>648</v>
      </c>
      <c r="CC4" s="23"/>
      <c r="CD4" s="145">
        <v>6046</v>
      </c>
      <c r="CE4" s="145" t="s">
        <v>3586</v>
      </c>
      <c r="CF4" s="145">
        <v>6046</v>
      </c>
      <c r="CH4" s="65" t="s">
        <v>353</v>
      </c>
      <c r="CI4" s="65" t="s">
        <v>63</v>
      </c>
      <c r="CJ4" s="65">
        <v>3</v>
      </c>
      <c r="CK4" s="65" t="s">
        <v>216</v>
      </c>
      <c r="CL4" s="65" t="s">
        <v>83</v>
      </c>
      <c r="CM4" s="65"/>
      <c r="CN4" s="65" t="s">
        <v>588</v>
      </c>
      <c r="CO4" s="66" t="s">
        <v>309</v>
      </c>
      <c r="CP4" s="67" t="str">
        <f>ASC(R3)</f>
        <v/>
      </c>
      <c r="CQ4" s="10"/>
      <c r="CR4" s="68" t="s">
        <v>1007</v>
      </c>
      <c r="CS4" s="68">
        <v>707</v>
      </c>
      <c r="CT4" s="68" t="str">
        <f>CT3</f>
        <v>00000000</v>
      </c>
      <c r="CU4" s="70">
        <f>IF(CV4&gt;0,1,0)</f>
        <v>0</v>
      </c>
      <c r="CV4" s="60">
        <f t="shared" si="1"/>
        <v>0</v>
      </c>
      <c r="CW4" s="128" t="s">
        <v>317</v>
      </c>
      <c r="CX4" s="128" t="s">
        <v>749</v>
      </c>
      <c r="CY4" s="134" t="s">
        <v>931</v>
      </c>
      <c r="CZ4" s="135" t="s">
        <v>343</v>
      </c>
      <c r="DA4" s="134"/>
      <c r="DB4" s="97" t="str">
        <f t="shared" ref="DB4:DB69" si="2">LEFT(DC4,3)</f>
        <v>001</v>
      </c>
      <c r="DC4" s="136" t="s">
        <v>748</v>
      </c>
      <c r="DD4" s="98">
        <v>2</v>
      </c>
      <c r="DF4" s="90"/>
      <c r="DG4" s="90"/>
      <c r="DH4" s="99" t="s">
        <v>891</v>
      </c>
      <c r="DI4" s="103" t="s">
        <v>938</v>
      </c>
      <c r="DJ4" s="51" t="s">
        <v>624</v>
      </c>
      <c r="DK4" s="101" t="str">
        <f>DL4&amp;DM4</f>
        <v>106242Y2</v>
      </c>
      <c r="DL4" s="105" t="s">
        <v>3644</v>
      </c>
      <c r="DM4" s="102" t="s">
        <v>936</v>
      </c>
      <c r="DN4" s="298">
        <f>IF(AV17=TRUE,1,0)</f>
        <v>0</v>
      </c>
      <c r="DP4" s="455" t="s">
        <v>1250</v>
      </c>
      <c r="DQ4" s="455" t="s">
        <v>1116</v>
      </c>
      <c r="DR4" s="455" t="s">
        <v>1252</v>
      </c>
      <c r="DS4" s="452" t="s">
        <v>1253</v>
      </c>
      <c r="DT4" s="456" t="s">
        <v>1254</v>
      </c>
      <c r="DU4" s="299" t="str">
        <f>IF(記入シート1!AV97=3,RIGHT("0000"&amp;記入シート1!AF97,4)&amp;RIGHT("00"&amp;記入シート1!AJ97,2),"")</f>
        <v/>
      </c>
      <c r="DX4" s="115"/>
      <c r="DY4" s="115"/>
    </row>
    <row r="5" spans="1:129" ht="19.5" customHeight="1" thickBot="1">
      <c r="A5" s="186"/>
      <c r="B5" s="249">
        <f>IF(OR(W3="",AP3="",I4=""),1,0)</f>
        <v>1</v>
      </c>
      <c r="C5" s="2055" t="s">
        <v>584</v>
      </c>
      <c r="D5" s="2056"/>
      <c r="E5" s="2056"/>
      <c r="F5" s="2056"/>
      <c r="G5" s="2056"/>
      <c r="H5" s="2057"/>
      <c r="I5" s="649" t="s">
        <v>585</v>
      </c>
      <c r="J5" s="2069" t="str">
        <f>IF(記入シート1!B13=0,"-","※")</f>
        <v>※</v>
      </c>
      <c r="K5" s="2070"/>
      <c r="L5" s="650">
        <v>1</v>
      </c>
      <c r="M5" s="2069" t="str">
        <f>IF(記入シート1!B27=0,"-","※")</f>
        <v>※</v>
      </c>
      <c r="N5" s="2070"/>
      <c r="O5" s="650">
        <v>2</v>
      </c>
      <c r="P5" s="2069" t="str">
        <f>IF(記入シート1!B48=0,"-","※")</f>
        <v>※</v>
      </c>
      <c r="Q5" s="2070"/>
      <c r="R5" s="650">
        <v>3</v>
      </c>
      <c r="S5" s="2069" t="str">
        <f>IF(記入シート1!B60=0,"-","※")</f>
        <v>※</v>
      </c>
      <c r="T5" s="2070"/>
      <c r="U5" s="650">
        <v>4</v>
      </c>
      <c r="V5" s="2069" t="str">
        <f>IF(記入シート1!B104=0,"-","※")</f>
        <v>※</v>
      </c>
      <c r="W5" s="2070"/>
      <c r="X5" s="650">
        <v>5</v>
      </c>
      <c r="Y5" s="2069" t="str">
        <f>IF(記入シート1!B117=0,"-","※")</f>
        <v>※</v>
      </c>
      <c r="Z5" s="2070"/>
      <c r="AA5" s="650">
        <v>6</v>
      </c>
      <c r="AB5" s="2069" t="str">
        <f ca="1">IF((OR(AV6=0,AV25="NG",AY51="NG",AW63="NG",BC63="NG",AX66="NG",AY68="NG",AY72="NG",AX76="NG",BB79="NG",AW82="NG",AW84="NG",AND(OR(AV96=TRUE,AV97=TRUE),AV99=FALSE))),"※","-")</f>
        <v>※</v>
      </c>
      <c r="AC5" s="2070"/>
      <c r="AD5" s="650">
        <v>7</v>
      </c>
      <c r="AE5" s="2065" t="str">
        <f>IF(OR(AV126="NG",AV153="NG"),"※","-")</f>
        <v>※</v>
      </c>
      <c r="AF5" s="2079"/>
      <c r="AG5" s="898">
        <v>8</v>
      </c>
      <c r="AH5" s="3104" t="str">
        <f>IF(AV155="NG","※","-")</f>
        <v>-</v>
      </c>
      <c r="AI5" s="3105"/>
      <c r="AJ5" s="681"/>
      <c r="AK5" s="682"/>
      <c r="AL5" s="2067" t="s">
        <v>779</v>
      </c>
      <c r="AM5" s="2056"/>
      <c r="AN5" s="2056"/>
      <c r="AO5" s="2056"/>
      <c r="AP5" s="2062">
        <v>6691</v>
      </c>
      <c r="AQ5" s="2062"/>
      <c r="AR5" s="2062"/>
      <c r="AS5" s="2062"/>
      <c r="AT5" s="2068"/>
      <c r="AU5" s="228"/>
      <c r="AV5" s="329"/>
      <c r="AX5" s="203"/>
      <c r="AY5" s="123"/>
      <c r="AZ5" s="116"/>
      <c r="BA5" s="10"/>
      <c r="BB5" s="10"/>
      <c r="BC5" s="10"/>
      <c r="BD5" s="10"/>
      <c r="BE5" s="10"/>
      <c r="BF5" s="10"/>
      <c r="BG5" s="10"/>
      <c r="BH5" s="10"/>
      <c r="BI5" s="10"/>
      <c r="BJ5" s="10"/>
      <c r="BK5" s="10"/>
      <c r="BL5" s="10"/>
      <c r="BM5" s="10"/>
      <c r="BN5" s="10"/>
      <c r="BO5" s="10"/>
      <c r="BP5" s="10"/>
      <c r="BQ5" s="10"/>
      <c r="BR5" s="10"/>
      <c r="BS5" s="10"/>
      <c r="BT5" s="897"/>
      <c r="BU5" s="897"/>
      <c r="BV5" s="126"/>
      <c r="BW5" s="23"/>
      <c r="BX5" s="23" t="s">
        <v>1996</v>
      </c>
      <c r="BY5" s="23"/>
      <c r="BZ5" s="722" t="s">
        <v>1305</v>
      </c>
      <c r="CA5" s="723" t="str">
        <f t="shared" si="0"/>
        <v>0435209</v>
      </c>
      <c r="CB5" s="724" t="s">
        <v>649</v>
      </c>
      <c r="CC5" s="23"/>
      <c r="CD5" s="145">
        <v>6050</v>
      </c>
      <c r="CE5" s="349" t="s">
        <v>3587</v>
      </c>
      <c r="CF5" s="145">
        <v>6050</v>
      </c>
      <c r="CH5" s="65" t="s">
        <v>356</v>
      </c>
      <c r="CI5" s="65" t="s">
        <v>21</v>
      </c>
      <c r="CJ5" s="65">
        <v>10</v>
      </c>
      <c r="CK5" s="65" t="s">
        <v>216</v>
      </c>
      <c r="CL5" s="65" t="s">
        <v>357</v>
      </c>
      <c r="CM5" s="65"/>
      <c r="CN5" s="65" t="s">
        <v>358</v>
      </c>
      <c r="CO5" s="71" t="s">
        <v>306</v>
      </c>
      <c r="CP5" s="67" t="str">
        <f>ASC(W3)</f>
        <v>1629244</v>
      </c>
      <c r="CQ5" s="10"/>
      <c r="CR5" s="68" t="s">
        <v>1923</v>
      </c>
      <c r="CS5" s="68">
        <v>107</v>
      </c>
      <c r="CT5" s="69" t="str">
        <f t="shared" ref="CT5:CT24" si="3">$CP$14</f>
        <v>00000000</v>
      </c>
      <c r="CU5" s="70">
        <f>IF(CV5&gt;0,1,0)</f>
        <v>0</v>
      </c>
      <c r="CV5" s="60">
        <f t="shared" si="1"/>
        <v>0</v>
      </c>
      <c r="CW5" s="9" t="s">
        <v>304</v>
      </c>
      <c r="CX5" s="9" t="s">
        <v>750</v>
      </c>
      <c r="CY5" s="51" t="s">
        <v>733</v>
      </c>
      <c r="CZ5" s="52" t="s">
        <v>349</v>
      </c>
      <c r="DA5" s="51"/>
      <c r="DB5" s="97" t="str">
        <f t="shared" si="2"/>
        <v>001</v>
      </c>
      <c r="DC5" s="136" t="s">
        <v>305</v>
      </c>
      <c r="DD5" s="98">
        <v>0</v>
      </c>
      <c r="DF5" s="90"/>
      <c r="DG5" s="90"/>
      <c r="DH5" s="99" t="s">
        <v>891</v>
      </c>
      <c r="DI5" s="103" t="s">
        <v>335</v>
      </c>
      <c r="DJ5" s="51"/>
      <c r="DK5" s="101" t="str">
        <f t="shared" ref="DK5:DK45" si="4">DL5&amp;DM5</f>
        <v>106242Y5</v>
      </c>
      <c r="DL5" s="105" t="s">
        <v>3644</v>
      </c>
      <c r="DM5" s="102" t="s">
        <v>912</v>
      </c>
      <c r="DN5" s="298" t="str">
        <f>ASC(SUBSTITUTE(SUBSTITUTE(SUBSTITUTE(T(記入シート1!I60),"―","ー"),"－","‐"),"～","ー"))</f>
        <v/>
      </c>
      <c r="DP5" s="455" t="s">
        <v>1250</v>
      </c>
      <c r="DQ5" s="455" t="s">
        <v>1117</v>
      </c>
      <c r="DR5" s="455" t="s">
        <v>1112</v>
      </c>
      <c r="DS5" s="452" t="s">
        <v>1255</v>
      </c>
      <c r="DT5" s="456" t="s">
        <v>1118</v>
      </c>
      <c r="DU5" s="299">
        <f>IF(記入シート1!AV99=0,"",記入シート1!AV99)</f>
        <v>3</v>
      </c>
      <c r="DX5" s="115"/>
      <c r="DY5" s="115"/>
    </row>
    <row r="6" spans="1:129" ht="19.5" customHeight="1" thickTop="1" thickBot="1">
      <c r="A6" s="186"/>
      <c r="B6" s="249"/>
      <c r="C6" s="305"/>
      <c r="D6" s="305"/>
      <c r="E6" s="305"/>
      <c r="F6" s="305"/>
      <c r="G6" s="305"/>
      <c r="H6" s="305"/>
      <c r="I6" s="303"/>
      <c r="J6" s="303"/>
      <c r="K6" s="303"/>
      <c r="L6" s="303"/>
      <c r="M6" s="303"/>
      <c r="N6" s="303"/>
      <c r="O6" s="303"/>
      <c r="P6" s="303"/>
      <c r="Q6" s="303"/>
      <c r="R6" s="303"/>
      <c r="S6" s="303"/>
      <c r="T6" s="303"/>
      <c r="U6" s="303"/>
      <c r="V6" s="303"/>
      <c r="W6" s="303"/>
      <c r="X6" s="303"/>
      <c r="Y6" s="303"/>
      <c r="Z6" s="303"/>
      <c r="AA6" s="303"/>
      <c r="AB6" s="303"/>
      <c r="AC6" s="303"/>
      <c r="AD6" s="303"/>
      <c r="AE6" s="303"/>
      <c r="AF6" s="303"/>
      <c r="AG6" s="303"/>
      <c r="AH6" s="304"/>
      <c r="AI6" s="304"/>
      <c r="AJ6" s="304"/>
      <c r="AK6" s="304"/>
      <c r="AL6" s="305"/>
      <c r="AM6" s="305"/>
      <c r="AN6" s="305"/>
      <c r="AO6" s="305"/>
      <c r="AP6" s="602"/>
      <c r="AQ6" s="306"/>
      <c r="AR6" s="306"/>
      <c r="AS6" s="306"/>
      <c r="AT6" s="307"/>
      <c r="AU6" s="228"/>
      <c r="AV6" s="329">
        <f>SUM(AW11:AW23)+SUM(AW27:AW38)+SUM(AW44:AW45,AW47:AW50)+SUM(AW60,AW64:AW65,AW67,AW71,AW75,AW78)</f>
        <v>0</v>
      </c>
      <c r="AW6" s="200" t="s">
        <v>3842</v>
      </c>
      <c r="AX6" s="203"/>
      <c r="AY6" s="123"/>
      <c r="AZ6" s="116"/>
      <c r="BA6" s="129"/>
      <c r="BB6" s="129"/>
      <c r="BC6" s="129"/>
      <c r="BD6" s="129"/>
      <c r="BE6" s="129"/>
      <c r="BF6" s="129"/>
      <c r="BG6" s="129"/>
      <c r="BH6" s="129"/>
      <c r="BI6" s="129"/>
      <c r="BJ6" s="129"/>
      <c r="BK6" s="129"/>
      <c r="BL6" s="129"/>
      <c r="BM6" s="129"/>
      <c r="BN6" s="129"/>
      <c r="BO6" s="129"/>
      <c r="BP6" s="129"/>
      <c r="BQ6" s="129"/>
      <c r="BR6" s="129"/>
      <c r="BS6" s="129"/>
      <c r="BT6" s="23"/>
      <c r="BU6" s="23"/>
      <c r="BV6" s="23"/>
      <c r="BW6" s="23"/>
      <c r="BX6" s="23" t="s">
        <v>1997</v>
      </c>
      <c r="BY6" s="23"/>
      <c r="BZ6" s="722" t="s">
        <v>1306</v>
      </c>
      <c r="CA6" s="723" t="str">
        <f t="shared" si="0"/>
        <v>0441261</v>
      </c>
      <c r="CB6" s="724" t="s">
        <v>650</v>
      </c>
      <c r="CC6" s="12"/>
      <c r="CD6" s="145">
        <v>6052</v>
      </c>
      <c r="CE6" s="349" t="s">
        <v>3588</v>
      </c>
      <c r="CF6" s="145">
        <v>6052</v>
      </c>
      <c r="CG6" s="33"/>
      <c r="CH6" s="65" t="s">
        <v>346</v>
      </c>
      <c r="CI6" s="65" t="s">
        <v>292</v>
      </c>
      <c r="CJ6" s="65">
        <v>4</v>
      </c>
      <c r="CK6" s="65" t="s">
        <v>216</v>
      </c>
      <c r="CL6" s="65" t="s">
        <v>220</v>
      </c>
      <c r="CM6" s="65"/>
      <c r="CN6" s="65" t="s">
        <v>347</v>
      </c>
      <c r="CO6" s="142" t="s">
        <v>348</v>
      </c>
      <c r="CP6" s="143">
        <f>AP5</f>
        <v>6691</v>
      </c>
      <c r="CQ6" s="10"/>
      <c r="CR6" s="68" t="s">
        <v>1403</v>
      </c>
      <c r="CS6" s="68">
        <v>108</v>
      </c>
      <c r="CT6" s="69" t="str">
        <f t="shared" si="3"/>
        <v>00000000</v>
      </c>
      <c r="CU6" s="70">
        <f>IF(CV6&gt;0,1,0)</f>
        <v>0</v>
      </c>
      <c r="CV6" s="60">
        <f t="shared" si="1"/>
        <v>0</v>
      </c>
      <c r="CW6" s="45" t="s">
        <v>314</v>
      </c>
      <c r="CX6" s="45" t="s">
        <v>629</v>
      </c>
      <c r="CY6" s="53" t="s">
        <v>734</v>
      </c>
      <c r="CZ6" s="54" t="s">
        <v>757</v>
      </c>
      <c r="DA6" s="53"/>
      <c r="DB6" s="45" t="str">
        <f t="shared" si="2"/>
        <v>001</v>
      </c>
      <c r="DC6" s="108" t="s">
        <v>315</v>
      </c>
      <c r="DD6" s="131"/>
      <c r="DF6" s="90"/>
      <c r="DG6" s="90"/>
      <c r="DH6" s="99" t="s">
        <v>891</v>
      </c>
      <c r="DI6" s="103" t="s">
        <v>892</v>
      </c>
      <c r="DJ6" s="100"/>
      <c r="DK6" s="101" t="str">
        <f t="shared" si="4"/>
        <v>106242Y6</v>
      </c>
      <c r="DL6" s="105" t="s">
        <v>3644</v>
      </c>
      <c r="DM6" s="102" t="s">
        <v>913</v>
      </c>
      <c r="DN6" s="298" t="str">
        <f>ASC(記入シート1!I43)</f>
        <v/>
      </c>
      <c r="DO6" s="24"/>
      <c r="DP6" s="452" t="s">
        <v>1250</v>
      </c>
      <c r="DQ6" s="452" t="s">
        <v>1119</v>
      </c>
      <c r="DR6" s="452" t="s">
        <v>1252</v>
      </c>
      <c r="DS6" s="452" t="s">
        <v>1256</v>
      </c>
      <c r="DT6" s="453" t="s">
        <v>1257</v>
      </c>
      <c r="DU6" s="454" t="str">
        <f>IF(記入シート1!AV99=2,RIGHT("0000"&amp;記入シート1!AF99,4)&amp;RIGHT("00"&amp;記入シート1!AJ99,2),"")</f>
        <v/>
      </c>
      <c r="DV6" s="33"/>
      <c r="DX6" s="115"/>
      <c r="DY6" s="115"/>
    </row>
    <row r="7" spans="1:129" ht="19.5" customHeight="1" thickTop="1" thickBot="1">
      <c r="A7" s="186"/>
      <c r="B7" s="248"/>
      <c r="C7" s="309"/>
      <c r="D7" s="309"/>
      <c r="E7" s="309"/>
      <c r="F7" s="309"/>
      <c r="G7" s="309"/>
      <c r="H7" s="309"/>
      <c r="I7" s="310"/>
      <c r="J7" s="310"/>
      <c r="K7" s="310"/>
      <c r="L7" s="310"/>
      <c r="M7" s="310"/>
      <c r="N7" s="310"/>
      <c r="O7" s="310"/>
      <c r="P7" s="310"/>
      <c r="Q7" s="310"/>
      <c r="R7" s="310"/>
      <c r="S7" s="310"/>
      <c r="T7" s="310"/>
      <c r="U7" s="310"/>
      <c r="V7" s="310"/>
      <c r="W7" s="310"/>
      <c r="X7" s="310"/>
      <c r="Y7" s="310"/>
      <c r="Z7" s="310"/>
      <c r="AA7" s="310"/>
      <c r="AB7" s="310"/>
      <c r="AC7" s="310"/>
      <c r="AD7" s="310"/>
      <c r="AE7" s="310"/>
      <c r="AF7" s="310"/>
      <c r="AG7" s="310"/>
      <c r="AH7" s="311"/>
      <c r="AI7" s="311"/>
      <c r="AJ7" s="311"/>
      <c r="AK7" s="311"/>
      <c r="AL7" s="309"/>
      <c r="AM7" s="309"/>
      <c r="AN7" s="309"/>
      <c r="AO7" s="309"/>
      <c r="AP7" s="603"/>
      <c r="AQ7" s="603"/>
      <c r="AR7" s="603"/>
      <c r="AS7" s="603"/>
      <c r="AT7" s="603"/>
      <c r="AU7" s="227"/>
      <c r="AV7" s="329">
        <f>記入シート1!AV13</f>
        <v>0</v>
      </c>
      <c r="AW7" s="200" t="s">
        <v>5634</v>
      </c>
      <c r="AX7" s="203"/>
      <c r="AY7" s="123"/>
      <c r="AZ7" s="116"/>
      <c r="BA7" s="129"/>
      <c r="BB7" s="129"/>
      <c r="BC7" s="129"/>
      <c r="BD7" s="129"/>
      <c r="BE7" s="129"/>
      <c r="BF7" s="129"/>
      <c r="BG7" s="129"/>
      <c r="BH7" s="129"/>
      <c r="BI7" s="129"/>
      <c r="BJ7" s="129"/>
      <c r="BK7" s="129"/>
      <c r="BL7" s="129"/>
      <c r="BM7" s="129"/>
      <c r="BN7" s="129"/>
      <c r="BO7" s="129"/>
      <c r="BP7" s="129"/>
      <c r="BQ7" s="129"/>
      <c r="BR7" s="129"/>
      <c r="BS7" s="129"/>
      <c r="BT7" s="23"/>
      <c r="BU7" s="23"/>
      <c r="BV7" s="23"/>
      <c r="BW7" s="23"/>
      <c r="BX7" s="23" t="s">
        <v>1998</v>
      </c>
      <c r="BY7" s="23"/>
      <c r="BZ7" s="722" t="s">
        <v>1307</v>
      </c>
      <c r="CA7" s="723" t="str">
        <f t="shared" si="0"/>
        <v>0441467</v>
      </c>
      <c r="CB7" s="724" t="s">
        <v>651</v>
      </c>
      <c r="CD7" s="145">
        <v>6055</v>
      </c>
      <c r="CE7" s="348" t="s">
        <v>3822</v>
      </c>
      <c r="CF7" s="145">
        <v>6055</v>
      </c>
      <c r="CG7" s="33"/>
      <c r="CH7" s="65" t="s">
        <v>361</v>
      </c>
      <c r="CI7" s="65" t="s">
        <v>22</v>
      </c>
      <c r="CJ7" s="65">
        <v>20</v>
      </c>
      <c r="CK7" s="65" t="s">
        <v>216</v>
      </c>
      <c r="CL7" s="65" t="s">
        <v>362</v>
      </c>
      <c r="CM7" s="65"/>
      <c r="CN7" s="65" t="s">
        <v>692</v>
      </c>
      <c r="CO7" s="71" t="s">
        <v>316</v>
      </c>
      <c r="CP7" s="67" t="str">
        <f>ASC(AP3)</f>
        <v/>
      </c>
      <c r="CQ7" s="10"/>
      <c r="CR7" s="68" t="s">
        <v>1976</v>
      </c>
      <c r="CS7" s="68">
        <v>109</v>
      </c>
      <c r="CT7" s="69" t="str">
        <f t="shared" si="3"/>
        <v>00000000</v>
      </c>
      <c r="CU7" s="70">
        <f t="shared" ref="CU7:CU20" si="5">IF(CV7&gt;0,1,0)</f>
        <v>0</v>
      </c>
      <c r="CV7" s="60">
        <f t="shared" si="1"/>
        <v>0</v>
      </c>
      <c r="CW7" s="9" t="s">
        <v>716</v>
      </c>
      <c r="CX7" s="9"/>
      <c r="CY7" s="51"/>
      <c r="CZ7" s="52"/>
      <c r="DA7" s="51"/>
      <c r="DB7" s="97" t="str">
        <f t="shared" si="2"/>
        <v>001</v>
      </c>
      <c r="DC7" s="136" t="s">
        <v>312</v>
      </c>
      <c r="DD7" s="1160" t="str">
        <f>""</f>
        <v/>
      </c>
      <c r="DF7" s="90"/>
      <c r="DG7" s="90"/>
      <c r="DH7" s="99" t="s">
        <v>891</v>
      </c>
      <c r="DI7" s="103" t="s">
        <v>893</v>
      </c>
      <c r="DJ7" s="100"/>
      <c r="DK7" s="101" t="str">
        <f t="shared" si="4"/>
        <v>106242Y7</v>
      </c>
      <c r="DL7" s="105" t="s">
        <v>3644</v>
      </c>
      <c r="DM7" s="102" t="s">
        <v>914</v>
      </c>
      <c r="DN7" s="298" t="str">
        <f>IF(OR(記入シート1!AE55="",記入シート1!AK55="",記入シート1!AP55=""),"",CONCATENATE(ASC(記入シート1!AE55),"-",ASC(記入シート1!AK55),"-",ASC(記入シート1!AP55)))</f>
        <v/>
      </c>
      <c r="DO7" s="24"/>
      <c r="DP7" s="457" t="s">
        <v>1250</v>
      </c>
      <c r="DQ7" s="457" t="s">
        <v>1120</v>
      </c>
      <c r="DR7" s="457" t="s">
        <v>1258</v>
      </c>
      <c r="DS7" s="457"/>
      <c r="DT7" s="457" t="s">
        <v>1259</v>
      </c>
      <c r="DU7" s="458"/>
      <c r="DV7" s="33"/>
      <c r="DX7" s="115"/>
      <c r="DY7" s="115"/>
    </row>
    <row r="8" spans="1:129" ht="19.5" customHeight="1" thickTop="1" thickBot="1">
      <c r="A8" s="186"/>
      <c r="B8" s="249">
        <f>IF(OR(L8="",P8="",T8="",AH8="",AL8="",AP8=""),1,0)</f>
        <v>1</v>
      </c>
      <c r="C8" s="2096" t="s">
        <v>694</v>
      </c>
      <c r="D8" s="2080"/>
      <c r="E8" s="2080"/>
      <c r="F8" s="2080"/>
      <c r="G8" s="2080"/>
      <c r="H8" s="2080"/>
      <c r="I8" s="2081"/>
      <c r="J8" s="2082" t="s">
        <v>380</v>
      </c>
      <c r="K8" s="2083"/>
      <c r="L8" s="2054"/>
      <c r="M8" s="2054"/>
      <c r="N8" s="2054"/>
      <c r="O8" s="244" t="s">
        <v>381</v>
      </c>
      <c r="P8" s="2054"/>
      <c r="Q8" s="2054"/>
      <c r="R8" s="2054"/>
      <c r="S8" s="244" t="s">
        <v>382</v>
      </c>
      <c r="T8" s="2054"/>
      <c r="U8" s="2054"/>
      <c r="V8" s="2054"/>
      <c r="W8" s="244" t="s">
        <v>383</v>
      </c>
      <c r="X8" s="302"/>
      <c r="Y8" s="2080" t="s">
        <v>693</v>
      </c>
      <c r="Z8" s="2080"/>
      <c r="AA8" s="2080"/>
      <c r="AB8" s="2080"/>
      <c r="AC8" s="2080"/>
      <c r="AD8" s="2080"/>
      <c r="AE8" s="2081"/>
      <c r="AF8" s="2082" t="s">
        <v>380</v>
      </c>
      <c r="AG8" s="2083"/>
      <c r="AH8" s="2054"/>
      <c r="AI8" s="2054"/>
      <c r="AJ8" s="2054"/>
      <c r="AK8" s="244" t="s">
        <v>381</v>
      </c>
      <c r="AL8" s="2054"/>
      <c r="AM8" s="2054"/>
      <c r="AN8" s="2054"/>
      <c r="AO8" s="244" t="s">
        <v>1089</v>
      </c>
      <c r="AP8" s="2054"/>
      <c r="AQ8" s="2054"/>
      <c r="AR8" s="2054"/>
      <c r="AS8" s="244" t="s">
        <v>383</v>
      </c>
      <c r="AT8" s="245"/>
      <c r="AU8" s="228"/>
      <c r="AV8" s="330" t="str">
        <f>IF(OR(L8="",P8="",T8="",AH8="",AL8="",AP8=""),"NG","OK")</f>
        <v>NG</v>
      </c>
      <c r="AW8" s="201"/>
      <c r="AX8" s="444" t="str">
        <f>IF(AV8="OK",DATE(L8,P8,T8),"")</f>
        <v/>
      </c>
      <c r="AY8" s="444" t="str">
        <f>IF(AV8="OK",DATE(AH8,AL8,AP8),"")</f>
        <v/>
      </c>
      <c r="AZ8" s="445" t="str">
        <f>IF(AX8&gt;AY8,"NG","OK")</f>
        <v>OK</v>
      </c>
      <c r="BA8" s="10"/>
      <c r="BB8" s="10"/>
      <c r="BC8" s="10"/>
      <c r="BD8" s="10"/>
      <c r="BE8" s="10"/>
      <c r="BF8" s="10"/>
      <c r="BG8" s="10"/>
      <c r="BH8" s="10"/>
      <c r="BI8" s="10"/>
      <c r="BJ8" s="10"/>
      <c r="BK8" s="10"/>
      <c r="BL8" s="944">
        <f>COLUMN(Q14)</f>
        <v>17</v>
      </c>
      <c r="BM8" s="944">
        <f>COLUMN(U146)</f>
        <v>21</v>
      </c>
      <c r="BN8" s="944">
        <f>COLUMN(Y14)</f>
        <v>25</v>
      </c>
      <c r="BO8" s="944">
        <f>COLUMN(AC14)</f>
        <v>29</v>
      </c>
      <c r="BP8" s="944">
        <f>COLUMN(AG14)</f>
        <v>33</v>
      </c>
      <c r="BQ8" s="10"/>
      <c r="BR8" s="10"/>
      <c r="BS8" s="10"/>
      <c r="BT8" s="23" t="s">
        <v>4083</v>
      </c>
      <c r="BU8" s="23"/>
      <c r="BV8" s="23"/>
      <c r="BW8" s="23"/>
      <c r="BX8" s="23" t="s">
        <v>1999</v>
      </c>
      <c r="BY8" s="23"/>
      <c r="BZ8" s="722" t="s">
        <v>1308</v>
      </c>
      <c r="CA8" s="723" t="str">
        <f t="shared" si="0"/>
        <v>0446579</v>
      </c>
      <c r="CB8" s="724" t="s">
        <v>1369</v>
      </c>
      <c r="CD8" s="145">
        <v>6061</v>
      </c>
      <c r="CE8" s="348" t="s">
        <v>3596</v>
      </c>
      <c r="CF8" s="145">
        <v>6061</v>
      </c>
      <c r="CG8" s="33"/>
      <c r="CH8" s="65" t="s">
        <v>366</v>
      </c>
      <c r="CI8" s="65" t="s">
        <v>292</v>
      </c>
      <c r="CJ8" s="65">
        <v>4</v>
      </c>
      <c r="CK8" s="65" t="s">
        <v>362</v>
      </c>
      <c r="CL8" s="65" t="s">
        <v>362</v>
      </c>
      <c r="CM8" s="74"/>
      <c r="CN8" s="75" t="s">
        <v>367</v>
      </c>
      <c r="CO8" s="71" t="s">
        <v>368</v>
      </c>
      <c r="CP8" s="67" t="str">
        <f>IF(LEN(AG4)&gt;0,AG4,"")</f>
        <v/>
      </c>
      <c r="CQ8" s="10"/>
      <c r="CR8" s="68" t="s">
        <v>1972</v>
      </c>
      <c r="CS8" s="68">
        <v>110</v>
      </c>
      <c r="CT8" s="69" t="str">
        <f t="shared" si="3"/>
        <v>00000000</v>
      </c>
      <c r="CU8" s="70">
        <f t="shared" si="5"/>
        <v>0</v>
      </c>
      <c r="CV8" s="60">
        <f t="shared" si="1"/>
        <v>0</v>
      </c>
      <c r="CW8" s="9" t="s">
        <v>5</v>
      </c>
      <c r="CX8" s="9" t="s">
        <v>706</v>
      </c>
      <c r="CY8" s="51" t="s">
        <v>735</v>
      </c>
      <c r="CZ8" s="52" t="s">
        <v>625</v>
      </c>
      <c r="DA8" s="51"/>
      <c r="DB8" s="97" t="str">
        <f t="shared" si="2"/>
        <v>001</v>
      </c>
      <c r="DC8" s="136" t="s">
        <v>310</v>
      </c>
      <c r="DD8" s="98">
        <f>IF(AV84=2,1,IF(AV84=3,2,0))</f>
        <v>0</v>
      </c>
      <c r="DF8" s="90"/>
      <c r="DG8" s="90"/>
      <c r="DH8" s="99" t="s">
        <v>891</v>
      </c>
      <c r="DI8" s="103" t="s">
        <v>894</v>
      </c>
      <c r="DJ8" s="100" t="s">
        <v>929</v>
      </c>
      <c r="DK8" s="101" t="str">
        <f t="shared" si="4"/>
        <v>106242Y8</v>
      </c>
      <c r="DL8" s="105" t="s">
        <v>3644</v>
      </c>
      <c r="DM8" s="102" t="s">
        <v>915</v>
      </c>
      <c r="DN8" s="298" t="str">
        <f>ASC(記入シート1!AV13)</f>
        <v>0</v>
      </c>
      <c r="DO8" s="24"/>
      <c r="DP8" s="457" t="s">
        <v>1250</v>
      </c>
      <c r="DQ8" s="457" t="s">
        <v>1121</v>
      </c>
      <c r="DR8" s="457" t="s">
        <v>1258</v>
      </c>
      <c r="DS8" s="457"/>
      <c r="DT8" s="457" t="s">
        <v>1260</v>
      </c>
      <c r="DU8" s="458"/>
      <c r="DV8" s="33"/>
      <c r="DX8" s="115"/>
      <c r="DY8" s="115"/>
    </row>
    <row r="9" spans="1:129" ht="19.5" customHeight="1" thickTop="1">
      <c r="A9" s="186"/>
      <c r="B9" s="249" t="str">
        <f>IF(OR(AV8="NG",AV126="NG",AV150=0),"NG","OK")</f>
        <v>NG</v>
      </c>
      <c r="C9" s="229"/>
      <c r="D9" s="229"/>
      <c r="E9" s="229"/>
      <c r="F9" s="229"/>
      <c r="G9" s="229"/>
      <c r="H9" s="229"/>
      <c r="I9" s="229"/>
      <c r="J9" s="229"/>
      <c r="K9" s="229"/>
      <c r="L9" s="229"/>
      <c r="M9" s="229"/>
      <c r="N9" s="229"/>
      <c r="O9" s="229"/>
      <c r="P9" s="229"/>
      <c r="Q9" s="229"/>
      <c r="R9" s="229"/>
      <c r="S9" s="229"/>
      <c r="T9" s="229"/>
      <c r="U9" s="229"/>
      <c r="V9" s="229"/>
      <c r="W9" s="229"/>
      <c r="X9" s="229"/>
      <c r="Y9" s="229" t="s">
        <v>1968</v>
      </c>
      <c r="Z9" s="446"/>
      <c r="AA9" s="229"/>
      <c r="AB9" s="229"/>
      <c r="AC9" s="229"/>
      <c r="AD9" s="229"/>
      <c r="AE9" s="229"/>
      <c r="AF9" s="229"/>
      <c r="AG9" s="229"/>
      <c r="AH9" s="229"/>
      <c r="AI9" s="229"/>
      <c r="AJ9" s="229"/>
      <c r="AK9" s="229"/>
      <c r="AL9" s="229"/>
      <c r="AM9" s="229"/>
      <c r="AN9" s="229"/>
      <c r="AO9" s="229"/>
      <c r="AP9" s="229"/>
      <c r="AQ9" s="230"/>
      <c r="AR9" s="230"/>
      <c r="AS9" s="230"/>
      <c r="AT9" s="255"/>
      <c r="AU9" s="228"/>
      <c r="AW9" s="201"/>
      <c r="AX9" s="122"/>
      <c r="AY9" s="124" t="s">
        <v>7</v>
      </c>
      <c r="AZ9" s="124" t="s">
        <v>454</v>
      </c>
      <c r="BA9" s="25" t="s">
        <v>908</v>
      </c>
      <c r="BB9" s="25" t="s">
        <v>0</v>
      </c>
      <c r="BC9" s="25" t="s">
        <v>455</v>
      </c>
      <c r="BD9" s="25" t="s">
        <v>975</v>
      </c>
      <c r="BE9" s="25"/>
      <c r="BF9" s="25"/>
      <c r="BG9" s="25"/>
      <c r="BH9" s="25"/>
      <c r="BI9" s="202" t="s">
        <v>456</v>
      </c>
      <c r="BJ9" s="202" t="s">
        <v>457</v>
      </c>
      <c r="BK9" s="202" t="s">
        <v>458</v>
      </c>
      <c r="BL9" s="17" t="s">
        <v>973</v>
      </c>
      <c r="BM9" s="25" t="s">
        <v>974</v>
      </c>
      <c r="BN9" s="17" t="s">
        <v>459</v>
      </c>
      <c r="BO9" s="17" t="s">
        <v>460</v>
      </c>
      <c r="BP9" s="17" t="s">
        <v>461</v>
      </c>
      <c r="BR9" s="25" t="s">
        <v>7</v>
      </c>
      <c r="BS9" s="129"/>
      <c r="BT9" s="23" t="s">
        <v>4084</v>
      </c>
      <c r="BU9" s="23"/>
      <c r="BV9" s="23"/>
      <c r="BW9" s="23"/>
      <c r="BX9" s="23" t="s">
        <v>2000</v>
      </c>
      <c r="BY9" s="23"/>
      <c r="BZ9" s="722" t="s">
        <v>1309</v>
      </c>
      <c r="CA9" s="723" t="str">
        <f t="shared" si="0"/>
        <v>0510538</v>
      </c>
      <c r="CB9" s="724" t="s">
        <v>652</v>
      </c>
      <c r="CD9" s="145">
        <v>6063</v>
      </c>
      <c r="CE9" s="348" t="s">
        <v>3823</v>
      </c>
      <c r="CF9" s="145">
        <v>6063</v>
      </c>
      <c r="CG9" s="33"/>
      <c r="CH9" s="65" t="s">
        <v>785</v>
      </c>
      <c r="CI9" s="65" t="s">
        <v>21</v>
      </c>
      <c r="CJ9" s="65">
        <v>60</v>
      </c>
      <c r="CK9" s="65" t="s">
        <v>83</v>
      </c>
      <c r="CL9" s="65" t="s">
        <v>83</v>
      </c>
      <c r="CM9" s="74"/>
      <c r="CN9" s="75" t="s">
        <v>784</v>
      </c>
      <c r="CO9" s="66" t="s">
        <v>364</v>
      </c>
      <c r="CP9" s="67" t="str">
        <f>T(AI3)</f>
        <v/>
      </c>
      <c r="CQ9" s="10"/>
      <c r="CR9" s="68" t="s">
        <v>1974</v>
      </c>
      <c r="CS9" s="68">
        <v>111</v>
      </c>
      <c r="CT9" s="69" t="str">
        <f t="shared" si="3"/>
        <v>00000000</v>
      </c>
      <c r="CU9" s="70">
        <f t="shared" si="5"/>
        <v>0</v>
      </c>
      <c r="CV9" s="60">
        <f t="shared" si="1"/>
        <v>0</v>
      </c>
      <c r="CW9" s="9" t="s">
        <v>307</v>
      </c>
      <c r="CX9" s="9" t="s">
        <v>629</v>
      </c>
      <c r="CY9" s="51"/>
      <c r="CZ9" s="52"/>
      <c r="DA9" s="51" t="s">
        <v>707</v>
      </c>
      <c r="DB9" s="97" t="str">
        <f t="shared" si="2"/>
        <v>001</v>
      </c>
      <c r="DC9" s="136" t="s">
        <v>308</v>
      </c>
      <c r="DD9" s="98" t="str">
        <f>IF(Q85&lt;&gt;"",Q85&amp;"."&amp;S85&amp;"."&amp;U85&amp;"."&amp;W85,"")&amp;IF(AA85&lt;&gt;"",","&amp;AA85&amp;"."&amp;AC85&amp;"."&amp;AE85&amp;"."&amp;AG85,"")&amp;IF(AK85&lt;&gt;"",","&amp;AK85&amp;"."&amp;AM85&amp;"."&amp;AO85&amp;"."&amp;AQ85,"")&amp;IF(Q86&lt;&gt;"",","&amp;Q86&amp;"."&amp;S86&amp;"."&amp;U86&amp;"."&amp;W86,"")&amp;IF(AA86&lt;&gt;"",","&amp;AA86&amp;"."&amp;AC86&amp;"."&amp;AE86&amp;"."&amp;AG86,"")&amp;IF(AK86&lt;&gt;"",","&amp;AK86&amp;"."&amp;AM86&amp;"."&amp;AO86&amp;"."&amp;AQ86,"")</f>
        <v/>
      </c>
      <c r="DE9" s="90"/>
      <c r="DF9" s="90"/>
      <c r="DG9" s="90"/>
      <c r="DH9" s="99" t="s">
        <v>891</v>
      </c>
      <c r="DI9" s="103" t="s">
        <v>940</v>
      </c>
      <c r="DJ9" s="100"/>
      <c r="DK9" s="101" t="str">
        <f>DL9&amp;DM9</f>
        <v>106242Y9</v>
      </c>
      <c r="DL9" s="105" t="s">
        <v>3644</v>
      </c>
      <c r="DM9" s="102" t="s">
        <v>916</v>
      </c>
      <c r="DN9" s="298" t="str">
        <f>CONCATENATE(ASC(記入シート1!I76),"-",ASC(記入シート1!O76),"-",ASC(記入シート1!T76))</f>
        <v>--</v>
      </c>
      <c r="DO9" s="24"/>
      <c r="DP9" s="457" t="s">
        <v>1250</v>
      </c>
      <c r="DQ9" s="457" t="s">
        <v>1122</v>
      </c>
      <c r="DR9" s="457" t="s">
        <v>1258</v>
      </c>
      <c r="DS9" s="457"/>
      <c r="DT9" s="457" t="s">
        <v>1261</v>
      </c>
      <c r="DU9" s="458"/>
      <c r="DV9" s="33"/>
      <c r="DX9" s="115"/>
      <c r="DY9" s="115"/>
    </row>
    <row r="10" spans="1:129" ht="19.5" customHeight="1">
      <c r="A10" s="186"/>
      <c r="B10" s="249"/>
      <c r="C10" s="229"/>
      <c r="D10" s="229"/>
      <c r="E10" s="229"/>
      <c r="F10" s="229"/>
      <c r="G10" s="229"/>
      <c r="H10" s="229"/>
      <c r="I10" s="229"/>
      <c r="J10" s="229"/>
      <c r="K10" s="229"/>
      <c r="L10" s="1129" t="str">
        <f>IF(AND(AV18=TRUE,【JCB用記入シート】業態シート!G5=0,AS18="包括"),"　※【JCB用記入シート】業態シート　のご入力が必要です。","")</f>
        <v/>
      </c>
      <c r="M10" s="1046"/>
      <c r="N10" s="1046"/>
      <c r="O10" s="1046"/>
      <c r="P10" s="1046"/>
      <c r="Q10" s="1046"/>
      <c r="R10" s="1046"/>
      <c r="S10" s="1046"/>
      <c r="T10" s="1046"/>
      <c r="U10" s="1046"/>
      <c r="V10" s="1046"/>
      <c r="W10" s="1046"/>
      <c r="X10" s="1046"/>
      <c r="Y10" s="1046"/>
      <c r="Z10" s="1046"/>
      <c r="AA10" s="1046"/>
      <c r="AB10" s="1046"/>
      <c r="AC10" s="229"/>
      <c r="AD10" s="229"/>
      <c r="AE10" s="229"/>
      <c r="AF10" s="229"/>
      <c r="AG10" s="229"/>
      <c r="AH10" s="229"/>
      <c r="AI10" s="229"/>
      <c r="AJ10" s="229"/>
      <c r="AK10" s="229"/>
      <c r="AL10" s="229"/>
      <c r="AM10" s="229"/>
      <c r="AN10" s="229"/>
      <c r="AO10" s="229"/>
      <c r="AP10" s="229"/>
      <c r="AQ10" s="230"/>
      <c r="AR10" s="230"/>
      <c r="AS10" s="230"/>
      <c r="AT10" s="231"/>
      <c r="AU10" s="228"/>
      <c r="AV10" s="330" t="str">
        <f>IF(AND(AO15="",Y16&lt;=2.4%),"NG","OK")</f>
        <v>OK</v>
      </c>
      <c r="AW10" s="200" t="s">
        <v>5647</v>
      </c>
      <c r="AY10" s="123"/>
      <c r="AZ10" s="116"/>
      <c r="BA10" s="129"/>
      <c r="BB10" s="129"/>
      <c r="BC10" s="129"/>
      <c r="BD10" s="129"/>
      <c r="BE10" s="129"/>
      <c r="BF10" s="129"/>
      <c r="BG10" s="129"/>
      <c r="BH10" s="129"/>
      <c r="BI10" s="129"/>
      <c r="BJ10" s="129"/>
      <c r="BK10" s="129"/>
      <c r="BL10" s="129"/>
      <c r="BM10" s="129"/>
      <c r="BN10" s="129"/>
      <c r="BO10" s="129"/>
      <c r="BP10" s="129"/>
      <c r="BQ10" s="129"/>
      <c r="BR10" s="129"/>
      <c r="BS10" s="129"/>
      <c r="BT10" s="23"/>
      <c r="BU10" s="23"/>
      <c r="BV10" s="23"/>
      <c r="BW10" s="23"/>
      <c r="BX10" s="23" t="s">
        <v>2001</v>
      </c>
      <c r="BY10" s="23"/>
      <c r="BZ10" s="722" t="s">
        <v>1346</v>
      </c>
      <c r="CA10" s="723" t="str">
        <f t="shared" si="0"/>
        <v>0518614</v>
      </c>
      <c r="CB10" s="724" t="s">
        <v>653</v>
      </c>
      <c r="CD10" s="145">
        <v>6064</v>
      </c>
      <c r="CE10" s="348" t="s">
        <v>3597</v>
      </c>
      <c r="CF10" s="145">
        <v>6064</v>
      </c>
      <c r="CG10" s="33"/>
      <c r="CH10" s="65" t="s">
        <v>370</v>
      </c>
      <c r="CI10" s="65" t="s">
        <v>63</v>
      </c>
      <c r="CJ10" s="65">
        <v>1</v>
      </c>
      <c r="CK10" s="65" t="s">
        <v>216</v>
      </c>
      <c r="CL10" s="65" t="s">
        <v>220</v>
      </c>
      <c r="CM10" s="65" t="s">
        <v>589</v>
      </c>
      <c r="CN10" s="65"/>
      <c r="CO10" s="66" t="s">
        <v>303</v>
      </c>
      <c r="CP10" s="67">
        <f>IF(記入シート1!AV18=TRUE,1,0)</f>
        <v>0</v>
      </c>
      <c r="CQ10" s="10"/>
      <c r="CR10" s="1230" t="s">
        <v>3809</v>
      </c>
      <c r="CS10" s="68">
        <v>932</v>
      </c>
      <c r="CT10" s="69" t="str">
        <f t="shared" si="3"/>
        <v>00000000</v>
      </c>
      <c r="CU10" s="70">
        <f t="shared" si="5"/>
        <v>0</v>
      </c>
      <c r="CV10" s="60">
        <f t="shared" si="1"/>
        <v>0</v>
      </c>
      <c r="CW10" s="9" t="s">
        <v>301</v>
      </c>
      <c r="CX10" s="9" t="s">
        <v>712</v>
      </c>
      <c r="CY10" s="51" t="s">
        <v>736</v>
      </c>
      <c r="CZ10" s="52" t="s">
        <v>343</v>
      </c>
      <c r="DA10" s="51"/>
      <c r="DB10" s="97" t="str">
        <f t="shared" si="2"/>
        <v>001</v>
      </c>
      <c r="DC10" s="136" t="s">
        <v>302</v>
      </c>
      <c r="DD10" s="98">
        <f>IF(AV87=2,1,0)</f>
        <v>0</v>
      </c>
      <c r="DE10" s="90"/>
      <c r="DF10" s="90"/>
      <c r="DG10" s="90"/>
      <c r="DH10" s="99" t="s">
        <v>891</v>
      </c>
      <c r="DI10" s="103" t="s">
        <v>895</v>
      </c>
      <c r="DJ10" s="51" t="s">
        <v>928</v>
      </c>
      <c r="DK10" s="101" t="str">
        <f t="shared" si="4"/>
        <v>106242YA</v>
      </c>
      <c r="DL10" s="105" t="s">
        <v>3644</v>
      </c>
      <c r="DM10" s="102" t="s">
        <v>917</v>
      </c>
      <c r="DN10" s="298" t="str">
        <f>ASC(記入シート1!AX88)</f>
        <v/>
      </c>
      <c r="DO10" s="24"/>
      <c r="DP10" s="457" t="s">
        <v>1250</v>
      </c>
      <c r="DQ10" s="457" t="s">
        <v>1123</v>
      </c>
      <c r="DR10" s="457" t="s">
        <v>1258</v>
      </c>
      <c r="DS10" s="457"/>
      <c r="DT10" s="457" t="s">
        <v>1262</v>
      </c>
      <c r="DU10" s="458"/>
      <c r="DV10" s="33"/>
      <c r="DX10" s="115"/>
      <c r="DY10" s="115"/>
    </row>
    <row r="11" spans="1:129" ht="19.5" customHeight="1">
      <c r="A11" s="210"/>
      <c r="B11" s="249"/>
      <c r="C11" s="360"/>
      <c r="D11" s="360"/>
      <c r="E11" s="360"/>
      <c r="F11" s="360"/>
      <c r="G11" s="360"/>
      <c r="H11" s="360"/>
      <c r="I11" s="360"/>
      <c r="J11" s="360"/>
      <c r="K11" s="360"/>
      <c r="L11" s="212"/>
      <c r="M11" s="1395" t="s">
        <v>844</v>
      </c>
      <c r="N11" s="1395"/>
      <c r="O11" s="1395"/>
      <c r="P11" s="1395"/>
      <c r="Q11" s="1395"/>
      <c r="R11" s="1395"/>
      <c r="S11" s="1395"/>
      <c r="T11" s="1395"/>
      <c r="U11" s="1395"/>
      <c r="V11" s="1395"/>
      <c r="W11" s="1395"/>
      <c r="X11" s="1395"/>
      <c r="Y11" s="1395"/>
      <c r="Z11" s="1395"/>
      <c r="AA11" s="1395"/>
      <c r="AB11" s="1395"/>
      <c r="AC11" s="1395"/>
      <c r="AD11" s="1395"/>
      <c r="AE11" s="1395"/>
      <c r="AF11" s="1395"/>
      <c r="AG11" s="1395"/>
      <c r="AH11" s="1395"/>
      <c r="AI11" s="1395"/>
      <c r="AJ11" s="1395"/>
      <c r="AK11" s="1395"/>
      <c r="AL11" s="1395"/>
      <c r="AM11" s="1395"/>
      <c r="AN11" s="1395"/>
      <c r="AO11" s="1395"/>
      <c r="AP11" s="1395"/>
      <c r="AQ11" s="1395"/>
      <c r="AR11" s="1395"/>
      <c r="AS11" s="1395"/>
      <c r="AT11" s="1395"/>
      <c r="AU11" s="234"/>
      <c r="AW11" s="932">
        <f>IF(OR(AV17=TRUE,AV19=TRUE),1,0)</f>
        <v>0</v>
      </c>
      <c r="AX11" s="927" t="s">
        <v>3639</v>
      </c>
      <c r="AY11" s="933" t="str">
        <f>TEXT(BR11,"000")</f>
        <v>106</v>
      </c>
      <c r="AZ11" s="535">
        <f>AW11</f>
        <v>0</v>
      </c>
      <c r="BA11" s="26" t="str">
        <f>IF(O16="2回入金","92",IF(O16="1回入金","91",IF(O16="早期2回","R2",IF(O16="早期3回","R3",IF(O16="早期4回","R4",IF(O16="早期6回","R6",""))))))</f>
        <v>92</v>
      </c>
      <c r="BB11" s="929" t="s">
        <v>3650</v>
      </c>
      <c r="BC11" s="1117" t="s">
        <v>3649</v>
      </c>
      <c r="BD11" s="940">
        <f>ROW(C16)</f>
        <v>16</v>
      </c>
      <c r="BE11" s="940">
        <v>1</v>
      </c>
      <c r="BF11" s="20" t="str">
        <f>BR11&amp;BC11&amp;BE11</f>
        <v>106106011</v>
      </c>
      <c r="BG11" s="18"/>
      <c r="BH11" s="127" t="str">
        <f t="shared" ref="BH11:BH18" si="6">AX11&amp;"→"</f>
        <v>VISA→</v>
      </c>
      <c r="BI11" s="277">
        <v>10602</v>
      </c>
      <c r="BJ11" s="18">
        <f t="shared" ref="BJ11:BJ18" si="7">AW11</f>
        <v>0</v>
      </c>
      <c r="BK11" s="940">
        <f>$AZ$11</f>
        <v>0</v>
      </c>
      <c r="BL11" s="3146" t="str">
        <f ca="1">IF(AV15*1=0,"",INDIRECT(ADDRESS($BD11,BL$8)))</f>
        <v/>
      </c>
      <c r="BM11" s="3141" t="str">
        <f ca="1">IF(AV15*1=0,"",INDIRECT(ADDRESS($BD11,BM$8)))</f>
        <v/>
      </c>
      <c r="BN11" s="343" t="str">
        <f t="shared" ref="BN11:BP18" ca="1" si="8">IF($AW11=0,"",INDIRECT(ADDRESS($BD11,BN$8)))</f>
        <v/>
      </c>
      <c r="BO11" s="343" t="str">
        <f t="shared" ca="1" si="8"/>
        <v/>
      </c>
      <c r="BP11" s="492" t="str">
        <f t="shared" ca="1" si="8"/>
        <v/>
      </c>
      <c r="BR11" s="26">
        <v>106</v>
      </c>
      <c r="BT11" s="24" t="s">
        <v>3641</v>
      </c>
      <c r="BU11" s="24"/>
      <c r="BV11" s="24"/>
      <c r="BW11" s="24"/>
      <c r="BX11" s="23" t="s">
        <v>2002</v>
      </c>
      <c r="BY11" s="23"/>
      <c r="BZ11" s="722" t="s">
        <v>1347</v>
      </c>
      <c r="CA11" s="723" t="str">
        <f t="shared" si="0"/>
        <v>0518623</v>
      </c>
      <c r="CB11" s="724" t="s">
        <v>654</v>
      </c>
      <c r="CD11" s="145">
        <v>6065</v>
      </c>
      <c r="CE11" s="348" t="s">
        <v>3598</v>
      </c>
      <c r="CF11" s="145">
        <v>6065</v>
      </c>
      <c r="CG11" s="33"/>
      <c r="CH11" s="72" t="s">
        <v>338</v>
      </c>
      <c r="CI11" s="72" t="s">
        <v>63</v>
      </c>
      <c r="CJ11" s="72">
        <v>2</v>
      </c>
      <c r="CK11" s="72" t="s">
        <v>216</v>
      </c>
      <c r="CL11" s="72" t="s">
        <v>339</v>
      </c>
      <c r="CM11" s="72" t="s">
        <v>590</v>
      </c>
      <c r="CN11" s="72" t="s">
        <v>340</v>
      </c>
      <c r="CO11" s="73" t="s">
        <v>341</v>
      </c>
      <c r="CP11" s="76" t="s">
        <v>842</v>
      </c>
      <c r="CQ11" s="10"/>
      <c r="CR11" s="68" t="s">
        <v>2151</v>
      </c>
      <c r="CS11" s="68">
        <v>931</v>
      </c>
      <c r="CT11" s="69" t="str">
        <f t="shared" si="3"/>
        <v>00000000</v>
      </c>
      <c r="CU11" s="70">
        <f t="shared" si="5"/>
        <v>0</v>
      </c>
      <c r="CV11" s="60">
        <f t="shared" si="1"/>
        <v>0</v>
      </c>
      <c r="CW11" s="1302" t="s">
        <v>5510</v>
      </c>
      <c r="CX11" s="1302"/>
      <c r="CY11" s="1303"/>
      <c r="CZ11" s="1304"/>
      <c r="DA11" s="1303"/>
      <c r="DB11" s="97" t="str">
        <f t="shared" si="2"/>
        <v>001</v>
      </c>
      <c r="DC11" s="1305" t="s">
        <v>5515</v>
      </c>
      <c r="DD11" s="98">
        <f>AA126</f>
        <v>0</v>
      </c>
      <c r="DE11" s="90"/>
      <c r="DF11" s="90"/>
      <c r="DG11" s="90"/>
      <c r="DH11" s="99" t="s">
        <v>891</v>
      </c>
      <c r="DI11" s="103" t="s">
        <v>896</v>
      </c>
      <c r="DJ11" s="51"/>
      <c r="DK11" s="101" t="str">
        <f t="shared" si="4"/>
        <v>106242YB</v>
      </c>
      <c r="DL11" s="105" t="s">
        <v>3644</v>
      </c>
      <c r="DM11" s="102" t="s">
        <v>918</v>
      </c>
      <c r="DN11" s="298" t="str">
        <f>LEFT(記入シート1!AY88,30)</f>
        <v/>
      </c>
      <c r="DO11" s="24"/>
      <c r="DP11" s="452" t="s">
        <v>1263</v>
      </c>
      <c r="DQ11" s="452" t="s">
        <v>1124</v>
      </c>
      <c r="DR11" s="452" t="s">
        <v>1112</v>
      </c>
      <c r="DS11" s="452" t="s">
        <v>1264</v>
      </c>
      <c r="DT11" s="453" t="s">
        <v>1125</v>
      </c>
      <c r="DU11" s="454">
        <f>IF(記入シート1!AV94=1,0,IF(記入シート1!AV94=2,1,""))</f>
        <v>0</v>
      </c>
      <c r="DV11" s="33"/>
      <c r="DX11" s="115"/>
      <c r="DY11" s="115"/>
    </row>
    <row r="12" spans="1:129" ht="19.5" customHeight="1" thickBot="1">
      <c r="A12" s="210"/>
      <c r="B12" s="249"/>
      <c r="C12" s="360"/>
      <c r="D12" s="360"/>
      <c r="E12" s="360"/>
      <c r="F12" s="360"/>
      <c r="G12" s="360"/>
      <c r="H12" s="360"/>
      <c r="I12" s="360"/>
      <c r="J12" s="360"/>
      <c r="K12" s="360"/>
      <c r="L12" s="212"/>
      <c r="M12" s="1395"/>
      <c r="N12" s="1395"/>
      <c r="O12" s="1395"/>
      <c r="P12" s="1395"/>
      <c r="Q12" s="1395"/>
      <c r="R12" s="1395"/>
      <c r="S12" s="1395"/>
      <c r="T12" s="1395"/>
      <c r="U12" s="1395"/>
      <c r="V12" s="1395"/>
      <c r="W12" s="1395"/>
      <c r="X12" s="1395"/>
      <c r="Y12" s="1395"/>
      <c r="Z12" s="1395"/>
      <c r="AA12" s="1395"/>
      <c r="AB12" s="1395"/>
      <c r="AC12" s="1395"/>
      <c r="AD12" s="1395"/>
      <c r="AE12" s="1395"/>
      <c r="AF12" s="1395"/>
      <c r="AG12" s="1395"/>
      <c r="AH12" s="1395"/>
      <c r="AI12" s="1395"/>
      <c r="AJ12" s="1395"/>
      <c r="AK12" s="1395"/>
      <c r="AL12" s="1395"/>
      <c r="AM12" s="1395"/>
      <c r="AN12" s="1395"/>
      <c r="AO12" s="1395"/>
      <c r="AP12" s="1395"/>
      <c r="AQ12" s="1395"/>
      <c r="AR12" s="1395"/>
      <c r="AS12" s="1395"/>
      <c r="AT12" s="1395"/>
      <c r="AU12" s="234"/>
      <c r="AW12" s="931">
        <f>AW$11</f>
        <v>0</v>
      </c>
      <c r="AX12" s="931" t="str">
        <f>IF(AW12=1,"分割・リボ","")</f>
        <v/>
      </c>
      <c r="AY12" s="939"/>
      <c r="AZ12" s="273"/>
      <c r="BA12" s="274"/>
      <c r="BB12" s="929" t="s">
        <v>3650</v>
      </c>
      <c r="BC12" s="1117" t="s">
        <v>1984</v>
      </c>
      <c r="BD12" s="940">
        <f>ROW(C16)</f>
        <v>16</v>
      </c>
      <c r="BE12" s="940">
        <v>2</v>
      </c>
      <c r="BF12" s="20" t="str">
        <f t="shared" ref="BF12:BF22" si="9">BR12&amp;BC12&amp;BE12</f>
        <v>106106022</v>
      </c>
      <c r="BG12" s="18"/>
      <c r="BH12" s="127" t="str">
        <f t="shared" si="6"/>
        <v>→</v>
      </c>
      <c r="BI12" s="277">
        <v>10602</v>
      </c>
      <c r="BJ12" s="18">
        <f t="shared" si="7"/>
        <v>0</v>
      </c>
      <c r="BK12" s="940">
        <f>$AZ$11</f>
        <v>0</v>
      </c>
      <c r="BL12" s="3147"/>
      <c r="BM12" s="3142"/>
      <c r="BN12" s="343" t="str">
        <f t="shared" ca="1" si="8"/>
        <v/>
      </c>
      <c r="BO12" s="343" t="str">
        <f t="shared" ca="1" si="8"/>
        <v/>
      </c>
      <c r="BP12" s="492" t="str">
        <f t="shared" ca="1" si="8"/>
        <v/>
      </c>
      <c r="BR12" s="26">
        <v>106</v>
      </c>
      <c r="BT12" s="24" t="s">
        <v>3642</v>
      </c>
      <c r="BU12" s="24"/>
      <c r="BV12" s="24"/>
      <c r="BW12" s="24"/>
      <c r="BX12" s="23" t="s">
        <v>2003</v>
      </c>
      <c r="BY12" s="23"/>
      <c r="BZ12" s="722" t="s">
        <v>1310</v>
      </c>
      <c r="CA12" s="723" t="str">
        <f t="shared" si="0"/>
        <v>0518669</v>
      </c>
      <c r="CB12" s="724" t="s">
        <v>1370</v>
      </c>
      <c r="CD12" s="145">
        <v>6069</v>
      </c>
      <c r="CE12" s="348" t="s">
        <v>3824</v>
      </c>
      <c r="CF12" s="145">
        <v>6069</v>
      </c>
      <c r="CG12" s="33"/>
      <c r="CH12" s="72" t="s">
        <v>332</v>
      </c>
      <c r="CI12" s="72" t="s">
        <v>63</v>
      </c>
      <c r="CJ12" s="72">
        <v>2</v>
      </c>
      <c r="CK12" s="72" t="s">
        <v>216</v>
      </c>
      <c r="CL12" s="72" t="s">
        <v>220</v>
      </c>
      <c r="CM12" s="72" t="s">
        <v>778</v>
      </c>
      <c r="CN12" s="72" t="s">
        <v>592</v>
      </c>
      <c r="CO12" s="73" t="s">
        <v>333</v>
      </c>
      <c r="CP12" s="76" t="s">
        <v>334</v>
      </c>
      <c r="CQ12" s="10"/>
      <c r="CR12" s="68" t="s">
        <v>938</v>
      </c>
      <c r="CS12" s="68">
        <v>935</v>
      </c>
      <c r="CT12" s="69" t="str">
        <f t="shared" si="3"/>
        <v>00000000</v>
      </c>
      <c r="CU12" s="70">
        <f t="shared" si="5"/>
        <v>0</v>
      </c>
      <c r="CV12" s="60">
        <f t="shared" si="1"/>
        <v>0</v>
      </c>
      <c r="CW12" s="1302" t="s">
        <v>5511</v>
      </c>
      <c r="CX12" s="1302"/>
      <c r="CY12" s="1303"/>
      <c r="CZ12" s="1304"/>
      <c r="DA12" s="1303"/>
      <c r="DB12" s="97" t="str">
        <f t="shared" si="2"/>
        <v>001</v>
      </c>
      <c r="DC12" s="1305" t="s">
        <v>5516</v>
      </c>
      <c r="DD12" s="98">
        <f>AP148</f>
        <v>11013</v>
      </c>
      <c r="DE12" s="90"/>
      <c r="DF12" s="90"/>
      <c r="DG12" s="90"/>
      <c r="DH12" s="99" t="s">
        <v>891</v>
      </c>
      <c r="DI12" s="103" t="s">
        <v>897</v>
      </c>
      <c r="DJ12" s="51" t="s">
        <v>624</v>
      </c>
      <c r="DK12" s="101" t="str">
        <f t="shared" si="4"/>
        <v>106242YC</v>
      </c>
      <c r="DL12" s="105" t="s">
        <v>3644</v>
      </c>
      <c r="DM12" s="105" t="s">
        <v>919</v>
      </c>
      <c r="DN12" s="139">
        <f>IF(AV20=TRUE,1,0)</f>
        <v>0</v>
      </c>
      <c r="DO12" s="24"/>
      <c r="DP12" s="452" t="s">
        <v>1263</v>
      </c>
      <c r="DQ12" s="452" t="s">
        <v>1126</v>
      </c>
      <c r="DR12" s="452" t="s">
        <v>1112</v>
      </c>
      <c r="DS12" s="452" t="s">
        <v>1264</v>
      </c>
      <c r="DT12" s="453" t="s">
        <v>1127</v>
      </c>
      <c r="DU12" s="454">
        <f>IF(記入シート1!AW94=1,0,IF(記入シート1!AW94=2,1,""))</f>
        <v>0</v>
      </c>
      <c r="DV12" s="33"/>
      <c r="DX12" s="115"/>
      <c r="DY12" s="115"/>
    </row>
    <row r="13" spans="1:129" ht="19.5" customHeight="1" thickTop="1">
      <c r="A13" s="210"/>
      <c r="B13" s="249"/>
      <c r="C13" s="1998" t="s">
        <v>449</v>
      </c>
      <c r="D13" s="1999"/>
      <c r="E13" s="1999"/>
      <c r="F13" s="1999"/>
      <c r="G13" s="1999"/>
      <c r="H13" s="1999"/>
      <c r="I13" s="2000"/>
      <c r="J13" s="2004" t="s">
        <v>845</v>
      </c>
      <c r="K13" s="1999"/>
      <c r="L13" s="2100" t="s">
        <v>846</v>
      </c>
      <c r="M13" s="2101"/>
      <c r="N13" s="2102"/>
      <c r="O13" s="2106" t="s">
        <v>1059</v>
      </c>
      <c r="P13" s="2107"/>
      <c r="Q13" s="2106" t="s">
        <v>5502</v>
      </c>
      <c r="R13" s="2110"/>
      <c r="S13" s="2110"/>
      <c r="T13" s="2107"/>
      <c r="U13" s="2106" t="s">
        <v>5503</v>
      </c>
      <c r="V13" s="2110"/>
      <c r="W13" s="2110"/>
      <c r="X13" s="2107"/>
      <c r="Y13" s="2106" t="s">
        <v>5504</v>
      </c>
      <c r="Z13" s="2110"/>
      <c r="AA13" s="2110"/>
      <c r="AB13" s="2107"/>
      <c r="AC13" s="2106" t="s">
        <v>5505</v>
      </c>
      <c r="AD13" s="2110"/>
      <c r="AE13" s="2110"/>
      <c r="AF13" s="2107"/>
      <c r="AG13" s="2106" t="s">
        <v>5506</v>
      </c>
      <c r="AH13" s="2110"/>
      <c r="AI13" s="2110"/>
      <c r="AJ13" s="2107"/>
      <c r="AK13" s="2112" t="s">
        <v>2052</v>
      </c>
      <c r="AL13" s="2113"/>
      <c r="AM13" s="2113"/>
      <c r="AN13" s="2113"/>
      <c r="AO13" s="2113"/>
      <c r="AP13" s="2113"/>
      <c r="AQ13" s="2113"/>
      <c r="AR13" s="2113"/>
      <c r="AS13" s="2113"/>
      <c r="AT13" s="2114"/>
      <c r="AU13" s="234"/>
      <c r="AW13" s="931">
        <f>AW$11</f>
        <v>0</v>
      </c>
      <c r="AX13" s="931" t="str">
        <f>IF(AW13=1,"ボーナス","")</f>
        <v/>
      </c>
      <c r="AY13" s="939"/>
      <c r="AZ13" s="273"/>
      <c r="BA13" s="274"/>
      <c r="BB13" s="929" t="s">
        <v>3650</v>
      </c>
      <c r="BC13" s="1117" t="s">
        <v>906</v>
      </c>
      <c r="BD13" s="940">
        <f>ROW(C16)</f>
        <v>16</v>
      </c>
      <c r="BE13" s="940">
        <v>3</v>
      </c>
      <c r="BF13" s="20" t="str">
        <f t="shared" si="9"/>
        <v>106106033</v>
      </c>
      <c r="BG13" s="18"/>
      <c r="BH13" s="127" t="str">
        <f t="shared" si="6"/>
        <v>→</v>
      </c>
      <c r="BI13" s="277">
        <v>10602</v>
      </c>
      <c r="BJ13" s="18">
        <f t="shared" si="7"/>
        <v>0</v>
      </c>
      <c r="BK13" s="940">
        <f>$AZ$11</f>
        <v>0</v>
      </c>
      <c r="BL13" s="3147"/>
      <c r="BM13" s="3142"/>
      <c r="BN13" s="343" t="str">
        <f t="shared" ca="1" si="8"/>
        <v/>
      </c>
      <c r="BO13" s="343" t="str">
        <f t="shared" ca="1" si="8"/>
        <v/>
      </c>
      <c r="BP13" s="492" t="str">
        <f t="shared" ca="1" si="8"/>
        <v/>
      </c>
      <c r="BR13" s="26">
        <v>106</v>
      </c>
      <c r="BT13" s="24" t="s">
        <v>3643</v>
      </c>
      <c r="BU13" s="24"/>
      <c r="BV13" s="24"/>
      <c r="BW13" s="24"/>
      <c r="BX13" s="23" t="s">
        <v>2004</v>
      </c>
      <c r="BY13" s="23"/>
      <c r="BZ13" s="722" t="s">
        <v>1348</v>
      </c>
      <c r="CA13" s="723" t="str">
        <f t="shared" si="0"/>
        <v>0522770</v>
      </c>
      <c r="CB13" s="724" t="s">
        <v>655</v>
      </c>
      <c r="CD13" s="145">
        <v>6044</v>
      </c>
      <c r="CE13" s="145" t="s">
        <v>3380</v>
      </c>
      <c r="CF13" s="145">
        <v>6044</v>
      </c>
      <c r="CG13" s="33"/>
      <c r="CH13" s="65" t="s">
        <v>300</v>
      </c>
      <c r="CI13" s="65" t="s">
        <v>63</v>
      </c>
      <c r="CJ13" s="65">
        <v>8</v>
      </c>
      <c r="CK13" s="65" t="s">
        <v>216</v>
      </c>
      <c r="CL13" s="65" t="s">
        <v>220</v>
      </c>
      <c r="CM13" s="65"/>
      <c r="CN13" s="65"/>
      <c r="CO13" s="66" t="s">
        <v>372</v>
      </c>
      <c r="CP13" s="67" t="str">
        <f>RIGHT("0000"&amp;L8,4)&amp;RIGHT("00"&amp;P8,2)&amp;RIGHT("00"&amp;T8,2)</f>
        <v>00000000</v>
      </c>
      <c r="CQ13" s="10"/>
      <c r="CR13" s="68" t="s">
        <v>2152</v>
      </c>
      <c r="CS13" s="68">
        <v>936</v>
      </c>
      <c r="CT13" s="69" t="str">
        <f t="shared" si="3"/>
        <v>00000000</v>
      </c>
      <c r="CU13" s="70">
        <f t="shared" si="5"/>
        <v>0</v>
      </c>
      <c r="CV13" s="60">
        <f t="shared" si="1"/>
        <v>0</v>
      </c>
      <c r="CW13" s="1302" t="s">
        <v>5099</v>
      </c>
      <c r="CX13" s="1302"/>
      <c r="CY13" s="1303" t="s">
        <v>5512</v>
      </c>
      <c r="CZ13" s="1304"/>
      <c r="DA13" s="1303"/>
      <c r="DB13" s="97" t="str">
        <f t="shared" si="2"/>
        <v>001</v>
      </c>
      <c r="DC13" s="1305" t="s">
        <v>5517</v>
      </c>
      <c r="DD13" s="98" t="str">
        <f>ASC(記入シート1!AW88)</f>
        <v>5</v>
      </c>
      <c r="DE13" s="90"/>
      <c r="DF13" s="90"/>
      <c r="DG13" s="90"/>
      <c r="DH13" s="99" t="s">
        <v>891</v>
      </c>
      <c r="DI13" s="103" t="s">
        <v>898</v>
      </c>
      <c r="DJ13" s="51" t="s">
        <v>624</v>
      </c>
      <c r="DK13" s="101" t="str">
        <f t="shared" si="4"/>
        <v>106242YD</v>
      </c>
      <c r="DL13" s="105" t="s">
        <v>3644</v>
      </c>
      <c r="DM13" s="105" t="s">
        <v>920</v>
      </c>
      <c r="DN13" s="139">
        <f>IF(AV21=TRUE,1,0)</f>
        <v>0</v>
      </c>
      <c r="DO13" s="27"/>
      <c r="DP13" s="452" t="s">
        <v>1263</v>
      </c>
      <c r="DQ13" s="452" t="s">
        <v>1128</v>
      </c>
      <c r="DR13" s="452" t="s">
        <v>1112</v>
      </c>
      <c r="DS13" s="452" t="s">
        <v>1264</v>
      </c>
      <c r="DT13" s="453" t="s">
        <v>1129</v>
      </c>
      <c r="DU13" s="454">
        <f>IF(記入シート1!AX94=1,0,IF(記入シート1!AX94=2,1,""))</f>
        <v>0</v>
      </c>
      <c r="DV13" s="33"/>
      <c r="DX13" s="115"/>
      <c r="DY13" s="115"/>
    </row>
    <row r="14" spans="1:129" ht="19.5" customHeight="1">
      <c r="A14" s="210"/>
      <c r="B14" s="249"/>
      <c r="C14" s="2125"/>
      <c r="D14" s="2126"/>
      <c r="E14" s="2126"/>
      <c r="F14" s="2126"/>
      <c r="G14" s="2126"/>
      <c r="H14" s="2126"/>
      <c r="I14" s="2127"/>
      <c r="J14" s="2128"/>
      <c r="K14" s="2126"/>
      <c r="L14" s="2103"/>
      <c r="M14" s="2104"/>
      <c r="N14" s="2105"/>
      <c r="O14" s="2108"/>
      <c r="P14" s="2109"/>
      <c r="Q14" s="2108"/>
      <c r="R14" s="2111"/>
      <c r="S14" s="2111"/>
      <c r="T14" s="2109"/>
      <c r="U14" s="2108"/>
      <c r="V14" s="2111"/>
      <c r="W14" s="2111"/>
      <c r="X14" s="2109"/>
      <c r="Y14" s="2108"/>
      <c r="Z14" s="2111"/>
      <c r="AA14" s="2111"/>
      <c r="AB14" s="2109"/>
      <c r="AC14" s="2108"/>
      <c r="AD14" s="2111"/>
      <c r="AE14" s="2111"/>
      <c r="AF14" s="2109"/>
      <c r="AG14" s="2108"/>
      <c r="AH14" s="2111"/>
      <c r="AI14" s="2111"/>
      <c r="AJ14" s="2109"/>
      <c r="AK14" s="2115"/>
      <c r="AL14" s="2116"/>
      <c r="AM14" s="2116"/>
      <c r="AN14" s="2116"/>
      <c r="AO14" s="2116"/>
      <c r="AP14" s="2116"/>
      <c r="AQ14" s="2116"/>
      <c r="AR14" s="2116"/>
      <c r="AS14" s="2116"/>
      <c r="AT14" s="2117"/>
      <c r="AU14" s="234"/>
      <c r="AW14" s="931">
        <f>AW$11</f>
        <v>0</v>
      </c>
      <c r="AX14" s="931" t="str">
        <f>IF(AW14=1,"ボーナス留保分","")</f>
        <v/>
      </c>
      <c r="AY14" s="939"/>
      <c r="AZ14" s="273"/>
      <c r="BA14" s="274"/>
      <c r="BB14" s="929" t="s">
        <v>3650</v>
      </c>
      <c r="BC14" s="1117" t="s">
        <v>907</v>
      </c>
      <c r="BD14" s="940">
        <f>ROW(C16)</f>
        <v>16</v>
      </c>
      <c r="BE14" s="940">
        <v>4</v>
      </c>
      <c r="BF14" s="20" t="str">
        <f t="shared" si="9"/>
        <v>106106044</v>
      </c>
      <c r="BG14" s="18"/>
      <c r="BH14" s="127" t="str">
        <f t="shared" si="6"/>
        <v>→</v>
      </c>
      <c r="BI14" s="277">
        <v>10602</v>
      </c>
      <c r="BJ14" s="18">
        <f t="shared" si="7"/>
        <v>0</v>
      </c>
      <c r="BK14" s="940">
        <f>$AZ$11</f>
        <v>0</v>
      </c>
      <c r="BL14" s="3147"/>
      <c r="BM14" s="3142"/>
      <c r="BN14" s="343" t="str">
        <f t="shared" ca="1" si="8"/>
        <v/>
      </c>
      <c r="BO14" s="343" t="str">
        <f t="shared" ca="1" si="8"/>
        <v/>
      </c>
      <c r="BP14" s="492" t="str">
        <f t="shared" ca="1" si="8"/>
        <v/>
      </c>
      <c r="BR14" s="26">
        <v>106</v>
      </c>
      <c r="BT14" s="24" t="s">
        <v>3644</v>
      </c>
      <c r="BU14" s="24"/>
      <c r="BV14" s="24"/>
      <c r="BW14" s="24"/>
      <c r="BX14" s="23" t="s">
        <v>2005</v>
      </c>
      <c r="BY14" s="23"/>
      <c r="BZ14" s="722" t="s">
        <v>1349</v>
      </c>
      <c r="CA14" s="723" t="str">
        <f t="shared" si="0"/>
        <v>0524381</v>
      </c>
      <c r="CB14" s="724" t="s">
        <v>656</v>
      </c>
      <c r="CD14" s="145">
        <v>6076</v>
      </c>
      <c r="CE14" s="145" t="s">
        <v>4085</v>
      </c>
      <c r="CF14" s="145">
        <v>6076</v>
      </c>
      <c r="CG14" s="33"/>
      <c r="CH14" s="65" t="s">
        <v>941</v>
      </c>
      <c r="CI14" s="65" t="s">
        <v>63</v>
      </c>
      <c r="CJ14" s="65">
        <v>8</v>
      </c>
      <c r="CK14" s="65" t="s">
        <v>216</v>
      </c>
      <c r="CL14" s="65" t="s">
        <v>220</v>
      </c>
      <c r="CM14" s="65"/>
      <c r="CN14" s="65"/>
      <c r="CO14" s="66" t="s">
        <v>581</v>
      </c>
      <c r="CP14" s="67" t="str">
        <f>RIGHT("0000"&amp;AH8,4)&amp;RIGHT("00"&amp;AL8,2)&amp;RIGHT("00"&amp;AP8,2)</f>
        <v>00000000</v>
      </c>
      <c r="CQ14" s="10"/>
      <c r="CR14" s="68" t="s">
        <v>2244</v>
      </c>
      <c r="CS14" s="68">
        <v>937</v>
      </c>
      <c r="CT14" s="69" t="str">
        <f t="shared" si="3"/>
        <v>00000000</v>
      </c>
      <c r="CU14" s="70">
        <f t="shared" si="5"/>
        <v>0</v>
      </c>
      <c r="CV14" s="60">
        <f t="shared" si="1"/>
        <v>0</v>
      </c>
      <c r="CW14" s="1302" t="s">
        <v>5513</v>
      </c>
      <c r="CX14" s="1302"/>
      <c r="CY14" s="1303" t="s">
        <v>5514</v>
      </c>
      <c r="CZ14" s="1304"/>
      <c r="DA14" s="1303"/>
      <c r="DB14" s="97" t="str">
        <f t="shared" si="2"/>
        <v>001</v>
      </c>
      <c r="DC14" s="1305" t="s">
        <v>5518</v>
      </c>
      <c r="DD14" s="98">
        <v>1</v>
      </c>
      <c r="DE14" s="90"/>
      <c r="DF14" s="90"/>
      <c r="DG14" s="90"/>
      <c r="DH14" s="99" t="s">
        <v>891</v>
      </c>
      <c r="DI14" s="141" t="s">
        <v>899</v>
      </c>
      <c r="DJ14" s="51" t="s">
        <v>624</v>
      </c>
      <c r="DK14" s="101" t="str">
        <f t="shared" si="4"/>
        <v>106242YE</v>
      </c>
      <c r="DL14" s="105" t="s">
        <v>3644</v>
      </c>
      <c r="DM14" s="102" t="s">
        <v>921</v>
      </c>
      <c r="DN14" s="139">
        <f>IF(AV22=TRUE,1,0)</f>
        <v>0</v>
      </c>
      <c r="DO14" s="27"/>
      <c r="DP14" s="452" t="s">
        <v>1263</v>
      </c>
      <c r="DQ14" s="452" t="s">
        <v>1130</v>
      </c>
      <c r="DR14" s="452" t="s">
        <v>1112</v>
      </c>
      <c r="DS14" s="452" t="s">
        <v>1264</v>
      </c>
      <c r="DT14" s="453" t="s">
        <v>1131</v>
      </c>
      <c r="DU14" s="454">
        <f>IF(記入シート1!AV96=1,0,IF(記入シート1!AV96=2,1,""))</f>
        <v>0</v>
      </c>
      <c r="DV14" s="33"/>
      <c r="DX14" s="115"/>
      <c r="DY14" s="115"/>
    </row>
    <row r="15" spans="1:129" ht="19.5" customHeight="1">
      <c r="A15" s="210"/>
      <c r="B15" s="249"/>
      <c r="C15" s="2166" t="s">
        <v>453</v>
      </c>
      <c r="D15" s="2167"/>
      <c r="E15" s="2167"/>
      <c r="F15" s="2167"/>
      <c r="G15" s="2167"/>
      <c r="H15" s="2167"/>
      <c r="I15" s="2167"/>
      <c r="J15" s="478"/>
      <c r="K15" s="913"/>
      <c r="L15" s="917"/>
      <c r="M15" s="918"/>
      <c r="N15" s="915"/>
      <c r="O15" s="915"/>
      <c r="P15" s="915"/>
      <c r="Q15" s="915"/>
      <c r="R15" s="915"/>
      <c r="S15" s="915"/>
      <c r="T15" s="915"/>
      <c r="U15" s="919"/>
      <c r="V15" s="956"/>
      <c r="W15" s="956"/>
      <c r="X15" s="956"/>
      <c r="Y15" s="956"/>
      <c r="Z15" s="956"/>
      <c r="AA15" s="957"/>
      <c r="AB15" s="957"/>
      <c r="AC15" s="957"/>
      <c r="AD15" s="957"/>
      <c r="AE15" s="957"/>
      <c r="AF15" s="958"/>
      <c r="AG15" s="958"/>
      <c r="AH15" s="958"/>
      <c r="AI15" s="958"/>
      <c r="AJ15" s="958"/>
      <c r="AK15" s="2084" t="s">
        <v>5507</v>
      </c>
      <c r="AL15" s="2085"/>
      <c r="AM15" s="2085"/>
      <c r="AN15" s="2085"/>
      <c r="AO15" s="2086"/>
      <c r="AP15" s="2086"/>
      <c r="AQ15" s="2086"/>
      <c r="AR15" s="2086"/>
      <c r="AS15" s="2086"/>
      <c r="AT15" s="2087"/>
      <c r="AU15" s="234"/>
      <c r="AV15" s="651" t="b">
        <f>IF(SUMPRODUCT((AV17:AV19)*1)=0,FALSE,TRUE)</f>
        <v>0</v>
      </c>
      <c r="AW15" s="934">
        <f>IF(OR(AV17=TRUE,AV19=TRUE),1,0)</f>
        <v>0</v>
      </c>
      <c r="AX15" s="928" t="s">
        <v>3640</v>
      </c>
      <c r="AY15" s="935" t="str">
        <f>TEXT(BR15,"000")</f>
        <v>106</v>
      </c>
      <c r="AZ15" s="535">
        <f>AW15</f>
        <v>0</v>
      </c>
      <c r="BA15" s="26" t="str">
        <f>IF(O17="2回入金","92",IF(O17="1回入金","91",IF(O17="早期2回","R2",IF(O17="早期3回","R3",IF(O17="早期4回","R4",IF(O17="早期6回","R6",""))))))</f>
        <v>92</v>
      </c>
      <c r="BB15" s="929" t="s">
        <v>3650</v>
      </c>
      <c r="BC15" s="948" t="s">
        <v>3649</v>
      </c>
      <c r="BD15" s="1246">
        <f>ROW(C16)</f>
        <v>16</v>
      </c>
      <c r="BE15" s="1246"/>
      <c r="BF15" s="1247" t="str">
        <f t="shared" si="9"/>
        <v>10610601</v>
      </c>
      <c r="BG15" s="1248"/>
      <c r="BH15" s="1249" t="str">
        <f t="shared" si="6"/>
        <v>Master→</v>
      </c>
      <c r="BI15" s="1250">
        <v>10602</v>
      </c>
      <c r="BJ15" s="1248">
        <f t="shared" si="7"/>
        <v>0</v>
      </c>
      <c r="BK15" s="1246">
        <f>$AZ$15</f>
        <v>0</v>
      </c>
      <c r="BL15" s="3147"/>
      <c r="BM15" s="3142"/>
      <c r="BN15" s="1251" t="str">
        <f t="shared" ca="1" si="8"/>
        <v/>
      </c>
      <c r="BO15" s="1251" t="str">
        <f t="shared" ca="1" si="8"/>
        <v/>
      </c>
      <c r="BP15" s="1252" t="str">
        <f t="shared" ca="1" si="8"/>
        <v/>
      </c>
      <c r="BR15" s="26">
        <v>106</v>
      </c>
      <c r="BT15" s="24" t="s">
        <v>3645</v>
      </c>
      <c r="BU15" s="24"/>
      <c r="BV15" s="24"/>
      <c r="BW15" s="24"/>
      <c r="BX15" s="23" t="s">
        <v>2006</v>
      </c>
      <c r="BY15" s="23"/>
      <c r="BZ15" s="722" t="s">
        <v>1311</v>
      </c>
      <c r="CA15" s="723" t="str">
        <f t="shared" si="0"/>
        <v>0524934</v>
      </c>
      <c r="CB15" s="724" t="s">
        <v>657</v>
      </c>
      <c r="CD15" s="145">
        <v>6078</v>
      </c>
      <c r="CE15" s="145" t="s">
        <v>4088</v>
      </c>
      <c r="CF15" s="145">
        <v>6078</v>
      </c>
      <c r="CG15" s="33"/>
      <c r="CH15" s="77" t="s">
        <v>597</v>
      </c>
      <c r="CI15" s="77"/>
      <c r="CJ15" s="77"/>
      <c r="CK15" s="77"/>
      <c r="CL15" s="77"/>
      <c r="CM15" s="77"/>
      <c r="CN15" s="77"/>
      <c r="CO15" s="13"/>
      <c r="CP15" s="58"/>
      <c r="CQ15" s="60"/>
      <c r="CR15" s="68" t="s">
        <v>2153</v>
      </c>
      <c r="CS15" s="68">
        <v>938</v>
      </c>
      <c r="CT15" s="69" t="str">
        <f t="shared" si="3"/>
        <v>00000000</v>
      </c>
      <c r="CU15" s="70">
        <f t="shared" si="5"/>
        <v>0</v>
      </c>
      <c r="CV15" s="60">
        <f t="shared" si="1"/>
        <v>0</v>
      </c>
      <c r="CW15" s="45" t="s">
        <v>290</v>
      </c>
      <c r="CX15" s="45" t="s">
        <v>706</v>
      </c>
      <c r="CY15" s="130"/>
      <c r="CZ15" s="53" t="s">
        <v>359</v>
      </c>
      <c r="DA15" s="53"/>
      <c r="DB15" s="45" t="str">
        <f t="shared" si="2"/>
        <v>001</v>
      </c>
      <c r="DC15" s="108" t="s">
        <v>291</v>
      </c>
      <c r="DD15" s="131"/>
      <c r="DE15" s="90"/>
      <c r="DF15" s="90"/>
      <c r="DG15" s="90"/>
      <c r="DH15" s="99" t="s">
        <v>891</v>
      </c>
      <c r="DI15" s="103" t="s">
        <v>174</v>
      </c>
      <c r="DJ15" s="51" t="s">
        <v>624</v>
      </c>
      <c r="DK15" s="101" t="str">
        <f t="shared" si="4"/>
        <v>106242YF</v>
      </c>
      <c r="DL15" s="105" t="s">
        <v>3644</v>
      </c>
      <c r="DM15" s="102" t="s">
        <v>922</v>
      </c>
      <c r="DN15" s="139">
        <f>IF(AV23=TRUE,1,0)</f>
        <v>0</v>
      </c>
      <c r="DO15" s="27"/>
      <c r="DP15" s="452" t="s">
        <v>1263</v>
      </c>
      <c r="DQ15" s="452" t="s">
        <v>1132</v>
      </c>
      <c r="DR15" s="452" t="s">
        <v>1112</v>
      </c>
      <c r="DS15" s="452" t="s">
        <v>1264</v>
      </c>
      <c r="DT15" s="453" t="s">
        <v>1133</v>
      </c>
      <c r="DU15" s="454">
        <f>IF(記入シート1!AW96=1,0,IF(記入シート1!AW96=2,1,""))</f>
        <v>0</v>
      </c>
      <c r="DV15" s="33"/>
      <c r="DX15" s="115"/>
      <c r="DY15" s="115"/>
    </row>
    <row r="16" spans="1:129" ht="19.5" customHeight="1">
      <c r="A16" s="210"/>
      <c r="B16" s="249"/>
      <c r="C16" s="2097" t="s">
        <v>4881</v>
      </c>
      <c r="D16" s="2098"/>
      <c r="E16" s="2098"/>
      <c r="F16" s="2098"/>
      <c r="G16" s="2098"/>
      <c r="H16" s="2098"/>
      <c r="I16" s="2099"/>
      <c r="J16" s="946"/>
      <c r="K16" s="947"/>
      <c r="L16" s="3126" t="s">
        <v>642</v>
      </c>
      <c r="M16" s="3127"/>
      <c r="N16" s="3128"/>
      <c r="O16" s="3129" t="s">
        <v>1071</v>
      </c>
      <c r="P16" s="3130"/>
      <c r="Q16" s="3156">
        <v>0</v>
      </c>
      <c r="R16" s="3157"/>
      <c r="S16" s="3157"/>
      <c r="T16" s="3158"/>
      <c r="U16" s="3156">
        <v>0</v>
      </c>
      <c r="V16" s="3157"/>
      <c r="W16" s="3157"/>
      <c r="X16" s="3158"/>
      <c r="Y16" s="2118">
        <v>2.7E-2</v>
      </c>
      <c r="Z16" s="2118"/>
      <c r="AA16" s="2118"/>
      <c r="AB16" s="2118"/>
      <c r="AC16" s="2118">
        <v>0</v>
      </c>
      <c r="AD16" s="2118"/>
      <c r="AE16" s="2118"/>
      <c r="AF16" s="2118"/>
      <c r="AG16" s="2168">
        <v>0</v>
      </c>
      <c r="AH16" s="2168"/>
      <c r="AI16" s="2168"/>
      <c r="AJ16" s="2168"/>
      <c r="AK16" s="912" t="s">
        <v>5500</v>
      </c>
      <c r="AL16" s="913"/>
      <c r="AM16" s="913"/>
      <c r="AN16" s="913"/>
      <c r="AO16" s="913"/>
      <c r="AP16" s="913"/>
      <c r="AQ16" s="913"/>
      <c r="AR16" s="913"/>
      <c r="AS16" s="913"/>
      <c r="AT16" s="914"/>
      <c r="AU16" s="234"/>
      <c r="AW16" s="931">
        <f>AW$15</f>
        <v>0</v>
      </c>
      <c r="AX16" s="931" t="str">
        <f>IF(AW16=1,"分割・リボ","")</f>
        <v/>
      </c>
      <c r="AY16" s="939"/>
      <c r="AZ16" s="273"/>
      <c r="BA16" s="274"/>
      <c r="BB16" s="929" t="s">
        <v>3650</v>
      </c>
      <c r="BC16" s="948" t="s">
        <v>1984</v>
      </c>
      <c r="BD16" s="1246">
        <f>ROW(C16)</f>
        <v>16</v>
      </c>
      <c r="BE16" s="1246"/>
      <c r="BF16" s="1247" t="str">
        <f t="shared" si="9"/>
        <v>10610602</v>
      </c>
      <c r="BG16" s="1248"/>
      <c r="BH16" s="1249" t="str">
        <f t="shared" si="6"/>
        <v>→</v>
      </c>
      <c r="BI16" s="1250">
        <v>10602</v>
      </c>
      <c r="BJ16" s="1248">
        <f t="shared" si="7"/>
        <v>0</v>
      </c>
      <c r="BK16" s="1246">
        <f>$AZ$15</f>
        <v>0</v>
      </c>
      <c r="BL16" s="3147"/>
      <c r="BM16" s="3142"/>
      <c r="BN16" s="1251" t="str">
        <f t="shared" ca="1" si="8"/>
        <v/>
      </c>
      <c r="BO16" s="1251" t="str">
        <f t="shared" ca="1" si="8"/>
        <v/>
      </c>
      <c r="BP16" s="1252" t="str">
        <f t="shared" ca="1" si="8"/>
        <v/>
      </c>
      <c r="BR16" s="26">
        <v>106</v>
      </c>
      <c r="BT16" s="24" t="s">
        <v>3646</v>
      </c>
      <c r="BU16" s="24"/>
      <c r="BV16" s="24"/>
      <c r="BW16" s="24"/>
      <c r="BX16" s="23" t="s">
        <v>2007</v>
      </c>
      <c r="BY16" s="23"/>
      <c r="BZ16" s="722" t="s">
        <v>1312</v>
      </c>
      <c r="CA16" s="723" t="str">
        <f t="shared" si="0"/>
        <v>0525735</v>
      </c>
      <c r="CB16" s="724" t="s">
        <v>658</v>
      </c>
      <c r="CD16" s="145">
        <v>6079</v>
      </c>
      <c r="CE16" s="145" t="s">
        <v>4086</v>
      </c>
      <c r="CF16" s="145">
        <v>6079</v>
      </c>
      <c r="CG16" s="33"/>
      <c r="CH16" s="62" t="s">
        <v>323</v>
      </c>
      <c r="CI16" s="63" t="s">
        <v>586</v>
      </c>
      <c r="CJ16" s="63" t="s">
        <v>321</v>
      </c>
      <c r="CK16" s="62" t="s">
        <v>320</v>
      </c>
      <c r="CL16" s="62" t="s">
        <v>587</v>
      </c>
      <c r="CM16" s="62" t="s">
        <v>326</v>
      </c>
      <c r="CN16" s="62" t="s">
        <v>327</v>
      </c>
      <c r="CO16" s="62" t="s">
        <v>376</v>
      </c>
      <c r="CP16" s="62" t="s">
        <v>328</v>
      </c>
      <c r="CQ16" s="10"/>
      <c r="CR16" s="68" t="s">
        <v>2154</v>
      </c>
      <c r="CS16" s="68">
        <v>939</v>
      </c>
      <c r="CT16" s="69" t="str">
        <f t="shared" si="3"/>
        <v>00000000</v>
      </c>
      <c r="CU16" s="70">
        <f t="shared" si="5"/>
        <v>0</v>
      </c>
      <c r="CV16" s="60">
        <f t="shared" si="1"/>
        <v>0</v>
      </c>
      <c r="CW16" s="45" t="s">
        <v>288</v>
      </c>
      <c r="CX16" s="45" t="s">
        <v>90</v>
      </c>
      <c r="CY16" s="53" t="s">
        <v>736</v>
      </c>
      <c r="CZ16" s="54" t="s">
        <v>343</v>
      </c>
      <c r="DA16" s="53" t="s">
        <v>627</v>
      </c>
      <c r="DB16" s="45" t="str">
        <f t="shared" si="2"/>
        <v>001</v>
      </c>
      <c r="DC16" s="108" t="s">
        <v>289</v>
      </c>
      <c r="DD16" s="131"/>
      <c r="DE16" s="90"/>
      <c r="DF16" s="90"/>
      <c r="DG16" s="90"/>
      <c r="DH16" s="99" t="s">
        <v>891</v>
      </c>
      <c r="DI16" s="103" t="s">
        <v>900</v>
      </c>
      <c r="DJ16" s="51" t="s">
        <v>904</v>
      </c>
      <c r="DK16" s="101" t="str">
        <f t="shared" si="4"/>
        <v>106242YG</v>
      </c>
      <c r="DL16" s="105" t="s">
        <v>3644</v>
      </c>
      <c r="DM16" s="102" t="s">
        <v>923</v>
      </c>
      <c r="DN16" s="1033"/>
      <c r="DO16" s="27"/>
      <c r="DP16" s="452" t="s">
        <v>1263</v>
      </c>
      <c r="DQ16" s="452" t="s">
        <v>1134</v>
      </c>
      <c r="DR16" s="452" t="s">
        <v>1112</v>
      </c>
      <c r="DS16" s="452" t="s">
        <v>1264</v>
      </c>
      <c r="DT16" s="453" t="s">
        <v>1135</v>
      </c>
      <c r="DU16" s="454">
        <f>IF(記入シート1!AX96=1,0,IF(記入シート1!AX96=2,1,""))</f>
        <v>0</v>
      </c>
      <c r="DV16" s="33"/>
      <c r="DX16" s="115"/>
      <c r="DY16" s="115"/>
    </row>
    <row r="17" spans="1:129" ht="19.5" customHeight="1">
      <c r="A17" s="210"/>
      <c r="B17" s="249"/>
      <c r="C17" s="2097" t="s">
        <v>4882</v>
      </c>
      <c r="D17" s="2098"/>
      <c r="E17" s="2098"/>
      <c r="F17" s="2098"/>
      <c r="G17" s="2098"/>
      <c r="H17" s="2098"/>
      <c r="I17" s="2099"/>
      <c r="J17" s="945"/>
      <c r="K17" s="945"/>
      <c r="L17" s="3126" t="s">
        <v>642</v>
      </c>
      <c r="M17" s="3127"/>
      <c r="N17" s="3128"/>
      <c r="O17" s="3129" t="s">
        <v>1071</v>
      </c>
      <c r="P17" s="3130"/>
      <c r="Q17" s="3159"/>
      <c r="R17" s="3160"/>
      <c r="S17" s="3160"/>
      <c r="T17" s="3161"/>
      <c r="U17" s="3159"/>
      <c r="V17" s="3160"/>
      <c r="W17" s="3160"/>
      <c r="X17" s="3161"/>
      <c r="Y17" s="2118">
        <v>2.7E-2</v>
      </c>
      <c r="Z17" s="2118"/>
      <c r="AA17" s="2118"/>
      <c r="AB17" s="2118"/>
      <c r="AC17" s="2118">
        <v>0</v>
      </c>
      <c r="AD17" s="2118"/>
      <c r="AE17" s="2118"/>
      <c r="AF17" s="2118"/>
      <c r="AG17" s="2168">
        <v>0</v>
      </c>
      <c r="AH17" s="2168"/>
      <c r="AI17" s="2168"/>
      <c r="AJ17" s="2168"/>
      <c r="AK17" s="2088" t="s">
        <v>5501</v>
      </c>
      <c r="AL17" s="2089"/>
      <c r="AM17" s="2089"/>
      <c r="AN17" s="2089"/>
      <c r="AO17" s="2089"/>
      <c r="AP17" s="210"/>
      <c r="AQ17" s="915"/>
      <c r="AR17" s="915"/>
      <c r="AS17" s="210"/>
      <c r="AT17" s="211"/>
      <c r="AU17" s="234"/>
      <c r="AV17" s="199" t="b">
        <v>0</v>
      </c>
      <c r="AW17" s="931">
        <f>AW$15</f>
        <v>0</v>
      </c>
      <c r="AX17" s="931" t="str">
        <f>IF(AW17=1,"ボーナス","")</f>
        <v/>
      </c>
      <c r="AY17" s="939"/>
      <c r="AZ17" s="273"/>
      <c r="BA17" s="274"/>
      <c r="BB17" s="929" t="s">
        <v>3650</v>
      </c>
      <c r="BC17" s="948" t="s">
        <v>906</v>
      </c>
      <c r="BD17" s="1246">
        <f>ROW(C16)</f>
        <v>16</v>
      </c>
      <c r="BE17" s="1246"/>
      <c r="BF17" s="1247" t="str">
        <f t="shared" si="9"/>
        <v>10610603</v>
      </c>
      <c r="BG17" s="1248"/>
      <c r="BH17" s="1249" t="str">
        <f t="shared" si="6"/>
        <v>→</v>
      </c>
      <c r="BI17" s="1250">
        <v>10602</v>
      </c>
      <c r="BJ17" s="1248">
        <f t="shared" si="7"/>
        <v>0</v>
      </c>
      <c r="BK17" s="1246">
        <f>$AZ$15</f>
        <v>0</v>
      </c>
      <c r="BL17" s="3147"/>
      <c r="BM17" s="3142"/>
      <c r="BN17" s="1251" t="str">
        <f t="shared" ca="1" si="8"/>
        <v/>
      </c>
      <c r="BO17" s="1251" t="str">
        <f t="shared" ca="1" si="8"/>
        <v/>
      </c>
      <c r="BP17" s="1252" t="str">
        <f t="shared" ca="1" si="8"/>
        <v/>
      </c>
      <c r="BR17" s="26">
        <v>106</v>
      </c>
      <c r="BT17" s="24" t="s">
        <v>3647</v>
      </c>
      <c r="BU17" s="24"/>
      <c r="BV17" s="24"/>
      <c r="BW17" s="24"/>
      <c r="BX17" s="12" t="s">
        <v>2008</v>
      </c>
      <c r="BY17" s="12"/>
      <c r="BZ17" s="722" t="s">
        <v>1313</v>
      </c>
      <c r="CA17" s="723" t="str">
        <f t="shared" si="0"/>
        <v>1202892</v>
      </c>
      <c r="CB17" s="724" t="s">
        <v>1371</v>
      </c>
      <c r="CD17" s="145">
        <v>6080</v>
      </c>
      <c r="CE17" s="145" t="s">
        <v>4087</v>
      </c>
      <c r="CF17" s="145">
        <v>6080</v>
      </c>
      <c r="CG17" s="33"/>
      <c r="CH17" s="65" t="s">
        <v>284</v>
      </c>
      <c r="CI17" s="65" t="s">
        <v>22</v>
      </c>
      <c r="CJ17" s="65">
        <v>60</v>
      </c>
      <c r="CK17" s="65" t="s">
        <v>216</v>
      </c>
      <c r="CL17" s="65" t="s">
        <v>90</v>
      </c>
      <c r="CM17" s="65"/>
      <c r="CN17" s="65"/>
      <c r="CO17" s="66" t="s">
        <v>283</v>
      </c>
      <c r="CP17" s="78" t="str">
        <f>ASC(SUBSTITUTE(SUBSTITUTE(記入シート1!I27,"ヴ","ウﾞ"),"・",""))</f>
        <v/>
      </c>
      <c r="CQ17" s="10"/>
      <c r="CR17" s="1026" t="s">
        <v>3762</v>
      </c>
      <c r="CS17" s="68">
        <v>940</v>
      </c>
      <c r="CT17" s="69" t="str">
        <f t="shared" si="3"/>
        <v>00000000</v>
      </c>
      <c r="CU17" s="70">
        <f t="shared" si="5"/>
        <v>0</v>
      </c>
      <c r="CV17" s="60">
        <f>SUMIF(AY$11:AY$143,CS17,AZ$11:AZ$143)</f>
        <v>0</v>
      </c>
      <c r="CW17" s="45" t="s">
        <v>285</v>
      </c>
      <c r="CX17" s="45" t="s">
        <v>629</v>
      </c>
      <c r="CY17" s="53" t="s">
        <v>736</v>
      </c>
      <c r="CZ17" s="54" t="s">
        <v>343</v>
      </c>
      <c r="DA17" s="53"/>
      <c r="DB17" s="45" t="str">
        <f t="shared" si="2"/>
        <v>001</v>
      </c>
      <c r="DC17" s="108" t="s">
        <v>286</v>
      </c>
      <c r="DD17" s="131"/>
      <c r="DE17" s="90"/>
      <c r="DF17" s="90"/>
      <c r="DG17" s="90"/>
      <c r="DH17" s="543" t="s">
        <v>891</v>
      </c>
      <c r="DI17" s="141" t="s">
        <v>1899</v>
      </c>
      <c r="DJ17" s="904"/>
      <c r="DK17" s="101" t="str">
        <f t="shared" si="4"/>
        <v>106242YH</v>
      </c>
      <c r="DL17" s="105" t="s">
        <v>3644</v>
      </c>
      <c r="DM17" s="102" t="s">
        <v>924</v>
      </c>
      <c r="DN17" s="299">
        <f>AA126</f>
        <v>0</v>
      </c>
      <c r="DO17" s="27"/>
      <c r="DP17" s="452" t="s">
        <v>1263</v>
      </c>
      <c r="DQ17" s="452" t="s">
        <v>1136</v>
      </c>
      <c r="DR17" s="452" t="s">
        <v>1112</v>
      </c>
      <c r="DS17" s="452" t="s">
        <v>1265</v>
      </c>
      <c r="DT17" s="457" t="s">
        <v>1266</v>
      </c>
      <c r="DU17" s="459"/>
      <c r="DV17" s="33"/>
      <c r="DX17" s="115"/>
      <c r="DY17" s="115"/>
    </row>
    <row r="18" spans="1:129" ht="19.5" customHeight="1" thickBot="1">
      <c r="A18" s="210"/>
      <c r="B18" s="249"/>
      <c r="C18" s="2169" t="s">
        <v>5021</v>
      </c>
      <c r="D18" s="2170"/>
      <c r="E18" s="2170"/>
      <c r="F18" s="2170"/>
      <c r="G18" s="2170"/>
      <c r="H18" s="2170"/>
      <c r="I18" s="2171"/>
      <c r="J18" s="1090"/>
      <c r="K18" s="1091"/>
      <c r="L18" s="3166" t="s">
        <v>642</v>
      </c>
      <c r="M18" s="3167"/>
      <c r="N18" s="3168"/>
      <c r="O18" s="3154" t="s">
        <v>1071</v>
      </c>
      <c r="P18" s="3155"/>
      <c r="Q18" s="3159"/>
      <c r="R18" s="3160"/>
      <c r="S18" s="3160"/>
      <c r="T18" s="3161"/>
      <c r="U18" s="3159"/>
      <c r="V18" s="3160"/>
      <c r="W18" s="3160"/>
      <c r="X18" s="3161"/>
      <c r="Y18" s="3134">
        <v>3.2399999999999998E-2</v>
      </c>
      <c r="Z18" s="3134"/>
      <c r="AA18" s="3134"/>
      <c r="AB18" s="3134"/>
      <c r="AC18" s="3134">
        <v>0</v>
      </c>
      <c r="AD18" s="3134"/>
      <c r="AE18" s="3134"/>
      <c r="AF18" s="3134"/>
      <c r="AG18" s="3181">
        <v>0</v>
      </c>
      <c r="AH18" s="3181"/>
      <c r="AI18" s="3181"/>
      <c r="AJ18" s="3181"/>
      <c r="AK18" s="2162" t="s">
        <v>3656</v>
      </c>
      <c r="AL18" s="2163"/>
      <c r="AM18" s="2163"/>
      <c r="AN18" s="2163"/>
      <c r="AO18" s="2163"/>
      <c r="AP18" s="2094" t="s">
        <v>3651</v>
      </c>
      <c r="AQ18" s="2094"/>
      <c r="AR18" s="2094"/>
      <c r="AS18" s="2152" t="s">
        <v>3652</v>
      </c>
      <c r="AT18" s="2153"/>
      <c r="AU18" s="234"/>
      <c r="AV18" s="199" t="b">
        <v>0</v>
      </c>
      <c r="AW18" s="931">
        <f>AW$15</f>
        <v>0</v>
      </c>
      <c r="AX18" s="931" t="str">
        <f>IF(AW18=1,"ボーナス留保分","")</f>
        <v/>
      </c>
      <c r="AY18" s="939"/>
      <c r="AZ18" s="273"/>
      <c r="BA18" s="274"/>
      <c r="BB18" s="929" t="s">
        <v>3650</v>
      </c>
      <c r="BC18" s="948" t="s">
        <v>907</v>
      </c>
      <c r="BD18" s="1246">
        <f>ROW(C16)</f>
        <v>16</v>
      </c>
      <c r="BE18" s="1246"/>
      <c r="BF18" s="1247" t="str">
        <f t="shared" si="9"/>
        <v>10610604</v>
      </c>
      <c r="BG18" s="1248"/>
      <c r="BH18" s="1249" t="str">
        <f t="shared" si="6"/>
        <v>→</v>
      </c>
      <c r="BI18" s="1250">
        <v>10602</v>
      </c>
      <c r="BJ18" s="1248">
        <f t="shared" si="7"/>
        <v>0</v>
      </c>
      <c r="BK18" s="1246">
        <f>$AZ$15</f>
        <v>0</v>
      </c>
      <c r="BL18" s="3147"/>
      <c r="BM18" s="3142"/>
      <c r="BN18" s="1251" t="str">
        <f t="shared" ca="1" si="8"/>
        <v/>
      </c>
      <c r="BO18" s="1251" t="str">
        <f t="shared" ca="1" si="8"/>
        <v/>
      </c>
      <c r="BP18" s="1252" t="str">
        <f t="shared" ca="1" si="8"/>
        <v/>
      </c>
      <c r="BR18" s="26">
        <v>106</v>
      </c>
      <c r="BT18" s="24" t="s">
        <v>3648</v>
      </c>
      <c r="BU18" s="24"/>
      <c r="BV18" s="24"/>
      <c r="BW18" s="24"/>
      <c r="BX18" s="15" t="s">
        <v>2009</v>
      </c>
      <c r="BZ18" s="722" t="s">
        <v>1350</v>
      </c>
      <c r="CA18" s="723" t="str">
        <f t="shared" si="0"/>
        <v>1202895</v>
      </c>
      <c r="CB18" s="724" t="s">
        <v>659</v>
      </c>
      <c r="CC18" s="19"/>
      <c r="CD18" s="1337"/>
      <c r="CE18" s="1337"/>
      <c r="CF18" s="1337"/>
      <c r="CG18" s="34"/>
      <c r="CH18" s="65" t="s">
        <v>378</v>
      </c>
      <c r="CI18" s="65" t="s">
        <v>21</v>
      </c>
      <c r="CJ18" s="65">
        <v>60</v>
      </c>
      <c r="CK18" s="65" t="s">
        <v>216</v>
      </c>
      <c r="CL18" s="65" t="s">
        <v>90</v>
      </c>
      <c r="CM18" s="65"/>
      <c r="CN18" s="65"/>
      <c r="CO18" s="66" t="s">
        <v>287</v>
      </c>
      <c r="CP18" s="78" t="str">
        <f>T(記入シート1!I28)</f>
        <v/>
      </c>
      <c r="CQ18" s="10"/>
      <c r="CR18" s="68" t="s">
        <v>2156</v>
      </c>
      <c r="CS18" s="68">
        <v>941</v>
      </c>
      <c r="CT18" s="69" t="str">
        <f t="shared" si="3"/>
        <v>00000000</v>
      </c>
      <c r="CU18" s="70">
        <f t="shared" si="5"/>
        <v>0</v>
      </c>
      <c r="CV18" s="60">
        <f t="shared" si="1"/>
        <v>0</v>
      </c>
      <c r="CW18" s="45" t="s">
        <v>281</v>
      </c>
      <c r="CX18" s="45" t="s">
        <v>629</v>
      </c>
      <c r="CY18" s="53" t="s">
        <v>736</v>
      </c>
      <c r="CZ18" s="54" t="s">
        <v>343</v>
      </c>
      <c r="DA18" s="53"/>
      <c r="DB18" s="45" t="str">
        <f t="shared" si="2"/>
        <v>001</v>
      </c>
      <c r="DC18" s="108" t="s">
        <v>282</v>
      </c>
      <c r="DD18" s="131"/>
      <c r="DE18" s="90"/>
      <c r="DF18" s="90"/>
      <c r="DG18" s="90"/>
      <c r="DH18" s="543" t="s">
        <v>891</v>
      </c>
      <c r="DI18" s="620" t="s">
        <v>1900</v>
      </c>
      <c r="DJ18" s="905"/>
      <c r="DK18" s="101" t="str">
        <f t="shared" si="4"/>
        <v>106242YI</v>
      </c>
      <c r="DL18" s="105" t="s">
        <v>3644</v>
      </c>
      <c r="DM18" s="102" t="s">
        <v>925</v>
      </c>
      <c r="DN18" s="299"/>
      <c r="DO18" s="27"/>
      <c r="DP18" s="457" t="s">
        <v>1263</v>
      </c>
      <c r="DQ18" s="457" t="s">
        <v>1137</v>
      </c>
      <c r="DR18" s="457" t="s">
        <v>1258</v>
      </c>
      <c r="DS18" s="457"/>
      <c r="DT18" s="457" t="s">
        <v>1267</v>
      </c>
      <c r="DU18" s="458"/>
      <c r="DV18" s="33"/>
      <c r="DX18" s="115"/>
      <c r="DY18" s="115"/>
    </row>
    <row r="19" spans="1:129" ht="19.5" hidden="1" customHeight="1" thickBot="1">
      <c r="A19" s="1048" t="s">
        <v>4883</v>
      </c>
      <c r="B19" s="249"/>
      <c r="C19" s="2175"/>
      <c r="D19" s="2176"/>
      <c r="E19" s="2176"/>
      <c r="F19" s="2176"/>
      <c r="G19" s="2176"/>
      <c r="H19" s="2176"/>
      <c r="I19" s="2177"/>
      <c r="J19" s="889"/>
      <c r="K19" s="916"/>
      <c r="L19" s="3169" t="s">
        <v>968</v>
      </c>
      <c r="M19" s="3170"/>
      <c r="N19" s="3171"/>
      <c r="O19" s="3152" t="s">
        <v>1071</v>
      </c>
      <c r="P19" s="3153"/>
      <c r="Q19" s="3162"/>
      <c r="R19" s="3163"/>
      <c r="S19" s="3163"/>
      <c r="T19" s="3164"/>
      <c r="U19" s="3162"/>
      <c r="V19" s="3163"/>
      <c r="W19" s="3163"/>
      <c r="X19" s="3164"/>
      <c r="Y19" s="2195">
        <v>0</v>
      </c>
      <c r="Z19" s="2195"/>
      <c r="AA19" s="2195"/>
      <c r="AB19" s="2195"/>
      <c r="AC19" s="2195">
        <v>0</v>
      </c>
      <c r="AD19" s="2195"/>
      <c r="AE19" s="2195"/>
      <c r="AF19" s="2195"/>
      <c r="AG19" s="2196">
        <v>0</v>
      </c>
      <c r="AH19" s="2196"/>
      <c r="AI19" s="2196"/>
      <c r="AJ19" s="2196"/>
      <c r="AK19" s="3136" t="s">
        <v>875</v>
      </c>
      <c r="AL19" s="3137"/>
      <c r="AM19" s="3137"/>
      <c r="AN19" s="3137"/>
      <c r="AO19" s="3137"/>
      <c r="AP19" s="888" t="s">
        <v>997</v>
      </c>
      <c r="AQ19" s="3144" t="s">
        <v>991</v>
      </c>
      <c r="AR19" s="3144"/>
      <c r="AS19" s="3144"/>
      <c r="AT19" s="3145"/>
      <c r="AU19" s="234"/>
      <c r="AW19" s="936">
        <f>IF(AV18=TRUE,AV18*1,0)</f>
        <v>0</v>
      </c>
      <c r="AX19" s="937" t="s">
        <v>3625</v>
      </c>
      <c r="AY19" s="938" t="str">
        <f>TEXT(BR19,"000")</f>
        <v>106</v>
      </c>
      <c r="AZ19" s="535">
        <f>AW19</f>
        <v>0</v>
      </c>
      <c r="BA19" s="26" t="str">
        <f>IF(O18="2回入金","92",IF(O18="1回入金","91",IF(O18="早期2回","R2",IF(O18="早期3回","R3",IF(O18="早期4回","R4",IF(O18="早期6回","R6",""))))))</f>
        <v>92</v>
      </c>
      <c r="BB19" s="942" t="s">
        <v>3650</v>
      </c>
      <c r="BC19" s="1253" t="str">
        <f>IF(AS18="包括","D0607","E0607")</f>
        <v>D0607</v>
      </c>
      <c r="BD19" s="26">
        <f>ROW(C18)</f>
        <v>18</v>
      </c>
      <c r="BE19" s="1253" t="s">
        <v>5094</v>
      </c>
      <c r="BF19" s="1254" t="str">
        <f>BR19&amp;BC19&amp;BE19</f>
        <v>106D0607JCB</v>
      </c>
      <c r="BG19" s="18"/>
      <c r="BH19" s="127" t="str">
        <f>AX19&amp;"→"</f>
        <v>JCB→</v>
      </c>
      <c r="BI19" s="941">
        <v>10607</v>
      </c>
      <c r="BJ19" s="341">
        <f>IF(L18=$BC$2,1,0)</f>
        <v>1</v>
      </c>
      <c r="BK19" s="26">
        <f>$AZ$19</f>
        <v>0</v>
      </c>
      <c r="BL19" s="3147"/>
      <c r="BM19" s="3142"/>
      <c r="BN19" s="1255" t="str">
        <f ca="1">IF($AW19=0,"",INDIRECT(ADDRESS($BD19,BN$8)))</f>
        <v/>
      </c>
      <c r="BO19" s="1255" t="str">
        <f ca="1">IF($AW19=0,"",INDIRECT(ADDRESS($BD19,BO$8)))</f>
        <v/>
      </c>
      <c r="BP19" s="1256" t="str">
        <f ca="1">IF($AW19=0,"",INDIRECT(ADDRESS($BD19,BP$8)))</f>
        <v/>
      </c>
      <c r="BQ19" s="21"/>
      <c r="BR19" s="26">
        <v>106</v>
      </c>
      <c r="BU19" s="24"/>
      <c r="BV19" s="24"/>
      <c r="BW19" s="24"/>
      <c r="BX19" s="15" t="s">
        <v>2010</v>
      </c>
      <c r="BZ19" s="722" t="s">
        <v>1351</v>
      </c>
      <c r="CA19" s="723" t="str">
        <f t="shared" si="0"/>
        <v>1203376</v>
      </c>
      <c r="CB19" s="724" t="s">
        <v>660</v>
      </c>
      <c r="CC19" s="19"/>
      <c r="CD19" s="145">
        <v>6082</v>
      </c>
      <c r="CE19" s="145" t="s">
        <v>4093</v>
      </c>
      <c r="CF19" s="145">
        <v>6082</v>
      </c>
      <c r="CG19" s="34"/>
      <c r="CH19" s="65" t="s">
        <v>379</v>
      </c>
      <c r="CI19" s="65" t="s">
        <v>22</v>
      </c>
      <c r="CJ19" s="65">
        <v>255</v>
      </c>
      <c r="CK19" s="65" t="s">
        <v>216</v>
      </c>
      <c r="CL19" s="65" t="s">
        <v>220</v>
      </c>
      <c r="CM19" s="65"/>
      <c r="CN19" s="65"/>
      <c r="CO19" s="66" t="s">
        <v>273</v>
      </c>
      <c r="CP19" s="78" t="str">
        <f>ASC(記入シート1!J34)&amp;" "&amp;ASC(SUBSTITUTE(SUBSTITUTE(SUBSTITUTE(SUBSTITUTE(SUBSTITUTE(記入シート1!O34,"　","")," ",""),"ヴ","ウﾞ"),"・",""),"－","‐"))&amp;" "&amp;ASC(SUBSTITUTE(SUBSTITUTE(SUBSTITUTE(SUBSTITUTE(SUBSTITUTE(記入シート1!W34,"　","")," ",""),"ヴ","ウﾞ"),"・",""),"－","‐"))&amp;" "&amp;ASC(SUBSTITUTE(SUBSTITUTE(SUBSTITUTE(SUBSTITUTE(SUBSTITUTE(記入シート1!AE34,"　","")," ",""),"ヴ","ウﾞ"),"・",""),"－","‐"))&amp;IF(記入シート1!AM34="",""," "&amp;ASC(SUBSTITUTE(SUBSTITUTE(SUBSTITUTE(SUBSTITUTE(SUBSTITUTE(記入シート1!AM34,"　","")," ",""),"ヴ","ウﾞ"),"・",""),"－","‐")))</f>
        <v xml:space="preserve">(自動表示)   </v>
      </c>
      <c r="CQ19" s="10"/>
      <c r="CR19" s="68" t="s">
        <v>2157</v>
      </c>
      <c r="CS19" s="68">
        <v>942</v>
      </c>
      <c r="CT19" s="69" t="str">
        <f t="shared" si="3"/>
        <v>00000000</v>
      </c>
      <c r="CU19" s="70">
        <f t="shared" si="5"/>
        <v>0</v>
      </c>
      <c r="CV19" s="60">
        <f t="shared" si="1"/>
        <v>0</v>
      </c>
      <c r="CW19" s="45" t="s">
        <v>277</v>
      </c>
      <c r="CX19" s="45" t="s">
        <v>629</v>
      </c>
      <c r="CY19" s="53" t="s">
        <v>736</v>
      </c>
      <c r="CZ19" s="54" t="s">
        <v>343</v>
      </c>
      <c r="DA19" s="53"/>
      <c r="DB19" s="45" t="str">
        <f t="shared" si="2"/>
        <v>001</v>
      </c>
      <c r="DC19" s="108" t="s">
        <v>278</v>
      </c>
      <c r="DD19" s="131"/>
      <c r="DE19" s="90"/>
      <c r="DF19" s="90"/>
      <c r="DG19" s="90"/>
      <c r="DH19" s="543" t="s">
        <v>891</v>
      </c>
      <c r="DI19" s="620" t="s">
        <v>1901</v>
      </c>
      <c r="DJ19" s="905" t="s">
        <v>3807</v>
      </c>
      <c r="DK19" s="101" t="str">
        <f t="shared" si="4"/>
        <v>106242YJ</v>
      </c>
      <c r="DL19" s="105" t="s">
        <v>3644</v>
      </c>
      <c r="DM19" s="102" t="s">
        <v>926</v>
      </c>
      <c r="DN19" s="1033"/>
      <c r="DO19" s="27"/>
      <c r="DP19" s="457" t="s">
        <v>1263</v>
      </c>
      <c r="DQ19" s="457" t="s">
        <v>1138</v>
      </c>
      <c r="DR19" s="457" t="s">
        <v>1258</v>
      </c>
      <c r="DS19" s="457"/>
      <c r="DT19" s="457" t="s">
        <v>1268</v>
      </c>
      <c r="DU19" s="458"/>
      <c r="DV19" s="33"/>
      <c r="DX19" s="115"/>
      <c r="DY19" s="115"/>
    </row>
    <row r="20" spans="1:129" ht="19.5" customHeight="1" thickTop="1">
      <c r="A20" s="210"/>
      <c r="B20" s="249"/>
      <c r="C20" s="2137" t="s">
        <v>5020</v>
      </c>
      <c r="D20" s="2138"/>
      <c r="E20" s="2138"/>
      <c r="F20" s="2138"/>
      <c r="G20" s="2138"/>
      <c r="H20" s="2138"/>
      <c r="I20" s="2138"/>
      <c r="J20" s="2138"/>
      <c r="K20" s="2139"/>
      <c r="L20" s="3177"/>
      <c r="M20" s="3178"/>
      <c r="N20" s="3151" t="s">
        <v>853</v>
      </c>
      <c r="O20" s="3151"/>
      <c r="P20" s="3151"/>
      <c r="Q20" s="3151"/>
      <c r="R20" s="3151"/>
      <c r="S20" s="3151"/>
      <c r="T20" s="3151"/>
      <c r="U20" s="3149"/>
      <c r="V20" s="3149"/>
      <c r="W20" s="3149"/>
      <c r="X20" s="3149"/>
      <c r="Y20" s="3149"/>
      <c r="Z20" s="3149"/>
      <c r="AA20" s="3149"/>
      <c r="AB20" s="3149"/>
      <c r="AC20" s="3149"/>
      <c r="AD20" s="3149"/>
      <c r="AE20" s="3149"/>
      <c r="AF20" s="3149"/>
      <c r="AG20" s="3149"/>
      <c r="AH20" s="3149"/>
      <c r="AI20" s="3149"/>
      <c r="AJ20" s="3149"/>
      <c r="AK20" s="3149"/>
      <c r="AL20" s="3149"/>
      <c r="AM20" s="3149"/>
      <c r="AN20" s="3149"/>
      <c r="AO20" s="3149"/>
      <c r="AP20" s="3149"/>
      <c r="AQ20" s="3149"/>
      <c r="AR20" s="3149"/>
      <c r="AS20" s="3149"/>
      <c r="AT20" s="3150"/>
      <c r="AU20" s="234"/>
      <c r="AV20" s="199" t="b">
        <v>0</v>
      </c>
      <c r="AW20" s="273">
        <f>$AW$19</f>
        <v>0</v>
      </c>
      <c r="AX20" s="931" t="str">
        <f>IF(AW20=1,"分割・リボ","")</f>
        <v/>
      </c>
      <c r="AY20" s="273"/>
      <c r="AZ20" s="273"/>
      <c r="BA20" s="274"/>
      <c r="BB20" s="960" t="s">
        <v>3650</v>
      </c>
      <c r="BC20" s="948"/>
      <c r="BD20" s="274">
        <f>ROW(C18)</f>
        <v>18</v>
      </c>
      <c r="BE20" s="274"/>
      <c r="BF20" s="275" t="str">
        <f t="shared" si="9"/>
        <v>106</v>
      </c>
      <c r="BG20" s="276"/>
      <c r="BH20" s="127" t="str">
        <f>AX20&amp;"→"</f>
        <v>→</v>
      </c>
      <c r="BI20" s="941">
        <v>10607</v>
      </c>
      <c r="BJ20" s="18">
        <f>AW20</f>
        <v>0</v>
      </c>
      <c r="BK20" s="26">
        <f>$AZ$19</f>
        <v>0</v>
      </c>
      <c r="BL20" s="3147"/>
      <c r="BM20" s="3142"/>
      <c r="BN20" s="343" t="str">
        <f t="shared" ref="BN20:BP23" ca="1" si="10">IF($AW20=0,"",INDIRECT(ADDRESS($BD20,BN$8)))</f>
        <v/>
      </c>
      <c r="BO20" s="343" t="str">
        <f t="shared" ca="1" si="10"/>
        <v/>
      </c>
      <c r="BP20" s="492" t="str">
        <f t="shared" ca="1" si="10"/>
        <v/>
      </c>
      <c r="BQ20" s="21"/>
      <c r="BR20" s="26">
        <v>106</v>
      </c>
      <c r="BU20" s="24"/>
      <c r="BV20" s="24"/>
      <c r="BW20" s="24"/>
      <c r="BX20" s="15" t="s">
        <v>2011</v>
      </c>
      <c r="BZ20" s="722" t="s">
        <v>1314</v>
      </c>
      <c r="CA20" s="723" t="str">
        <f t="shared" si="0"/>
        <v>1203405</v>
      </c>
      <c r="CB20" s="724" t="s">
        <v>1372</v>
      </c>
      <c r="CD20" s="145">
        <v>6084</v>
      </c>
      <c r="CE20" s="145" t="s">
        <v>5102</v>
      </c>
      <c r="CF20" s="145">
        <v>6084</v>
      </c>
      <c r="CG20" s="34"/>
      <c r="CH20" s="65" t="s">
        <v>280</v>
      </c>
      <c r="CI20" s="65" t="s">
        <v>22</v>
      </c>
      <c r="CJ20" s="65">
        <v>8</v>
      </c>
      <c r="CK20" s="65" t="s">
        <v>216</v>
      </c>
      <c r="CL20" s="65" t="s">
        <v>220</v>
      </c>
      <c r="CM20" s="65"/>
      <c r="CN20" s="65"/>
      <c r="CO20" s="66" t="s">
        <v>279</v>
      </c>
      <c r="CP20" s="78" t="str">
        <f>ASC(記入シート1!J35&amp;"-"&amp;記入シート1!M35)</f>
        <v>-</v>
      </c>
      <c r="CQ20" s="10"/>
      <c r="CR20" s="68" t="s">
        <v>3775</v>
      </c>
      <c r="CS20" s="68">
        <v>943</v>
      </c>
      <c r="CT20" s="69" t="str">
        <f t="shared" si="3"/>
        <v>00000000</v>
      </c>
      <c r="CU20" s="70">
        <f t="shared" si="5"/>
        <v>0</v>
      </c>
      <c r="CV20" s="60">
        <f t="shared" si="1"/>
        <v>0</v>
      </c>
      <c r="CW20" s="45" t="s">
        <v>274</v>
      </c>
      <c r="CX20" s="45" t="s">
        <v>629</v>
      </c>
      <c r="CY20" s="53" t="s">
        <v>736</v>
      </c>
      <c r="CZ20" s="54" t="s">
        <v>343</v>
      </c>
      <c r="DA20" s="53"/>
      <c r="DB20" s="45" t="str">
        <f t="shared" si="2"/>
        <v>001</v>
      </c>
      <c r="DC20" s="108" t="s">
        <v>275</v>
      </c>
      <c r="DD20" s="131"/>
      <c r="DE20" s="90"/>
      <c r="DF20" s="90"/>
      <c r="DG20" s="90"/>
      <c r="DH20" s="543" t="s">
        <v>891</v>
      </c>
      <c r="DI20" s="141" t="s">
        <v>1902</v>
      </c>
      <c r="DJ20" s="904" t="s">
        <v>3807</v>
      </c>
      <c r="DK20" s="101" t="str">
        <f t="shared" si="4"/>
        <v>106242YK</v>
      </c>
      <c r="DL20" s="105" t="s">
        <v>3644</v>
      </c>
      <c r="DM20" s="102" t="s">
        <v>927</v>
      </c>
      <c r="DN20" s="1033"/>
      <c r="DO20" s="27"/>
      <c r="DP20" s="452" t="s">
        <v>1269</v>
      </c>
      <c r="DQ20" s="452" t="s">
        <v>1139</v>
      </c>
      <c r="DR20" s="452" t="s">
        <v>1112</v>
      </c>
      <c r="DS20" s="452" t="s">
        <v>1270</v>
      </c>
      <c r="DT20" s="457" t="s">
        <v>1271</v>
      </c>
      <c r="DU20" s="459"/>
      <c r="DV20" s="33"/>
      <c r="DX20" s="115"/>
      <c r="DY20" s="115"/>
    </row>
    <row r="21" spans="1:129" ht="19.5" customHeight="1">
      <c r="A21" s="210"/>
      <c r="B21" s="249"/>
      <c r="C21" s="2140"/>
      <c r="D21" s="2141"/>
      <c r="E21" s="2141"/>
      <c r="F21" s="2141"/>
      <c r="G21" s="2141"/>
      <c r="H21" s="2141"/>
      <c r="I21" s="2141"/>
      <c r="J21" s="2141"/>
      <c r="K21" s="2142"/>
      <c r="L21" s="3172"/>
      <c r="M21" s="2225"/>
      <c r="N21" s="2209" t="s">
        <v>854</v>
      </c>
      <c r="O21" s="2209"/>
      <c r="P21" s="2209"/>
      <c r="Q21" s="2209"/>
      <c r="R21" s="2209"/>
      <c r="S21" s="2209"/>
      <c r="T21" s="2209"/>
      <c r="U21" s="3131" t="s">
        <v>857</v>
      </c>
      <c r="V21" s="3131"/>
      <c r="W21" s="3131"/>
      <c r="X21" s="3131"/>
      <c r="Y21" s="3131"/>
      <c r="Z21" s="3131"/>
      <c r="AA21" s="3131"/>
      <c r="AB21" s="3131"/>
      <c r="AC21" s="3131"/>
      <c r="AD21" s="3131"/>
      <c r="AE21" s="3131"/>
      <c r="AF21" s="3131"/>
      <c r="AG21" s="3131"/>
      <c r="AH21" s="3131"/>
      <c r="AI21" s="3131"/>
      <c r="AJ21" s="3131"/>
      <c r="AK21" s="3131"/>
      <c r="AL21" s="3131"/>
      <c r="AM21" s="3131"/>
      <c r="AN21" s="3131"/>
      <c r="AO21" s="3131"/>
      <c r="AP21" s="3131"/>
      <c r="AQ21" s="3131"/>
      <c r="AR21" s="3131"/>
      <c r="AS21" s="3131"/>
      <c r="AT21" s="2149"/>
      <c r="AU21" s="234"/>
      <c r="AV21" s="199" t="b">
        <v>0</v>
      </c>
      <c r="AW21" s="273">
        <f>$AW$19</f>
        <v>0</v>
      </c>
      <c r="AX21" s="931" t="str">
        <f>IF(AW21=1,"ボーナス","")</f>
        <v/>
      </c>
      <c r="AY21" s="273"/>
      <c r="AZ21" s="273"/>
      <c r="BA21" s="274"/>
      <c r="BB21" s="960" t="s">
        <v>3650</v>
      </c>
      <c r="BC21" s="948"/>
      <c r="BD21" s="274">
        <f>ROW(C18)</f>
        <v>18</v>
      </c>
      <c r="BE21" s="274"/>
      <c r="BF21" s="275" t="str">
        <f t="shared" si="9"/>
        <v>106</v>
      </c>
      <c r="BG21" s="276"/>
      <c r="BH21" s="127" t="str">
        <f>AX21&amp;"→"</f>
        <v>→</v>
      </c>
      <c r="BI21" s="941">
        <v>10607</v>
      </c>
      <c r="BJ21" s="18">
        <f>AW21</f>
        <v>0</v>
      </c>
      <c r="BK21" s="26">
        <f>$AZ$19</f>
        <v>0</v>
      </c>
      <c r="BL21" s="3147"/>
      <c r="BM21" s="3142"/>
      <c r="BN21" s="343" t="str">
        <f t="shared" ca="1" si="10"/>
        <v/>
      </c>
      <c r="BO21" s="343" t="str">
        <f t="shared" ca="1" si="10"/>
        <v/>
      </c>
      <c r="BP21" s="492" t="str">
        <f t="shared" ca="1" si="10"/>
        <v/>
      </c>
      <c r="BQ21" s="21"/>
      <c r="BR21" s="26">
        <v>106</v>
      </c>
      <c r="BS21" s="21"/>
      <c r="BU21" s="24"/>
      <c r="BV21" s="24"/>
      <c r="BW21" s="24"/>
      <c r="BX21" s="15" t="s">
        <v>2012</v>
      </c>
      <c r="BZ21" s="722" t="s">
        <v>1352</v>
      </c>
      <c r="CA21" s="723" t="str">
        <f t="shared" si="0"/>
        <v>1203713</v>
      </c>
      <c r="CB21" s="724" t="s">
        <v>661</v>
      </c>
      <c r="CD21" s="145">
        <v>6085</v>
      </c>
      <c r="CE21" s="145" t="s">
        <v>5103</v>
      </c>
      <c r="CF21" s="145">
        <v>6085</v>
      </c>
      <c r="CG21" s="34"/>
      <c r="CH21" s="65" t="s">
        <v>384</v>
      </c>
      <c r="CI21" s="65" t="s">
        <v>21</v>
      </c>
      <c r="CJ21" s="65">
        <v>255</v>
      </c>
      <c r="CK21" s="65" t="s">
        <v>216</v>
      </c>
      <c r="CL21" s="65" t="s">
        <v>385</v>
      </c>
      <c r="CM21" s="65"/>
      <c r="CN21" s="65"/>
      <c r="CO21" s="66" t="s">
        <v>276</v>
      </c>
      <c r="CP21" s="78" t="str">
        <f>T(記入シート1!AW36)&amp;"　"&amp;SUBSTITUTE(SUBSTITUTE(SUBSTITUTE(SUBSTITUTE(T(記入シート1!N36),"　","")," ",""),"―","ー"),"－","‐")&amp;"　"&amp;SUBSTITUTE(SUBSTITUTE(SUBSTITUTE(SUBSTITUTE(T(記入シート1!V36),"　","")," ",""),"―","ー"),"－","‐")&amp;"　"&amp;SUBSTITUTE(SUBSTITUTE(SUBSTITUTE(SUBSTITUTE(T(記入シート1!AD36),"　","")," ",""),"―","ー"),"－","‐")&amp;IF(記入シート1!AL36="","","　"&amp;SUBSTITUTE(SUBSTITUTE(SUBSTITUTE(SUBSTITUTE(T(記入シート1!AL36),"　","")," ",""),"―","ー"),"－","‐"))</f>
        <v>選択して下さい　　　</v>
      </c>
      <c r="CQ21" s="10"/>
      <c r="CR21" s="68" t="s">
        <v>3772</v>
      </c>
      <c r="CS21" s="68">
        <v>944</v>
      </c>
      <c r="CT21" s="69" t="str">
        <f t="shared" si="3"/>
        <v>00000000</v>
      </c>
      <c r="CU21" s="70">
        <f>IF(CV21&gt;0,1,0)</f>
        <v>0</v>
      </c>
      <c r="CV21" s="60">
        <f t="shared" si="1"/>
        <v>0</v>
      </c>
      <c r="CW21" s="45" t="s">
        <v>271</v>
      </c>
      <c r="CX21" s="45" t="s">
        <v>712</v>
      </c>
      <c r="CY21" s="53" t="s">
        <v>736</v>
      </c>
      <c r="CZ21" s="54" t="s">
        <v>343</v>
      </c>
      <c r="DA21" s="53"/>
      <c r="DB21" s="45" t="str">
        <f t="shared" si="2"/>
        <v>001</v>
      </c>
      <c r="DC21" s="108" t="s">
        <v>272</v>
      </c>
      <c r="DD21" s="131"/>
      <c r="DE21" s="90"/>
      <c r="DF21" s="90"/>
      <c r="DG21" s="90"/>
      <c r="DH21" s="543" t="s">
        <v>891</v>
      </c>
      <c r="DI21" s="141" t="s">
        <v>901</v>
      </c>
      <c r="DJ21" s="51"/>
      <c r="DK21" s="101" t="str">
        <f t="shared" si="4"/>
        <v>106242YL</v>
      </c>
      <c r="DL21" s="105" t="s">
        <v>3644</v>
      </c>
      <c r="DM21" s="102" t="s">
        <v>933</v>
      </c>
      <c r="DN21" s="299" t="str">
        <f>ASC(AA133)</f>
        <v>0</v>
      </c>
      <c r="DO21" s="27"/>
      <c r="DP21" s="452" t="s">
        <v>1269</v>
      </c>
      <c r="DQ21" s="452" t="s">
        <v>1140</v>
      </c>
      <c r="DR21" s="452" t="s">
        <v>1112</v>
      </c>
      <c r="DS21" s="452" t="s">
        <v>1272</v>
      </c>
      <c r="DT21" s="453" t="s">
        <v>1141</v>
      </c>
      <c r="DU21" s="454">
        <v>1</v>
      </c>
      <c r="DV21" s="34"/>
      <c r="DX21" s="115"/>
      <c r="DY21" s="115"/>
    </row>
    <row r="22" spans="1:129" ht="19.5" customHeight="1">
      <c r="A22" s="210"/>
      <c r="B22" s="249"/>
      <c r="C22" s="2140"/>
      <c r="D22" s="2141"/>
      <c r="E22" s="2141"/>
      <c r="F22" s="2141"/>
      <c r="G22" s="2141"/>
      <c r="H22" s="2141"/>
      <c r="I22" s="2141"/>
      <c r="J22" s="2141"/>
      <c r="K22" s="2142"/>
      <c r="L22" s="3172"/>
      <c r="M22" s="2225"/>
      <c r="N22" s="2209" t="s">
        <v>855</v>
      </c>
      <c r="O22" s="2209"/>
      <c r="P22" s="2209"/>
      <c r="Q22" s="2209"/>
      <c r="R22" s="2209"/>
      <c r="S22" s="2209"/>
      <c r="T22" s="2209"/>
      <c r="U22" s="3131"/>
      <c r="V22" s="3131"/>
      <c r="W22" s="3131"/>
      <c r="X22" s="3131"/>
      <c r="Y22" s="3131"/>
      <c r="Z22" s="3131"/>
      <c r="AA22" s="3131"/>
      <c r="AB22" s="3131"/>
      <c r="AC22" s="3131"/>
      <c r="AD22" s="3131"/>
      <c r="AE22" s="3131"/>
      <c r="AF22" s="3131"/>
      <c r="AG22" s="3131"/>
      <c r="AH22" s="3131"/>
      <c r="AI22" s="3131"/>
      <c r="AJ22" s="3131"/>
      <c r="AK22" s="3131"/>
      <c r="AL22" s="3131"/>
      <c r="AM22" s="3131"/>
      <c r="AN22" s="3131"/>
      <c r="AO22" s="3131"/>
      <c r="AP22" s="3131"/>
      <c r="AQ22" s="3131"/>
      <c r="AR22" s="3131"/>
      <c r="AS22" s="3131"/>
      <c r="AT22" s="2149"/>
      <c r="AU22" s="234"/>
      <c r="AV22" s="199" t="b">
        <v>0</v>
      </c>
      <c r="AW22" s="273">
        <f>$AW$19</f>
        <v>0</v>
      </c>
      <c r="AX22" s="931" t="str">
        <f>IF(AW22=1,"ボーナス留保分","")</f>
        <v/>
      </c>
      <c r="AY22" s="273"/>
      <c r="AZ22" s="273"/>
      <c r="BA22" s="274"/>
      <c r="BB22" s="960" t="s">
        <v>3650</v>
      </c>
      <c r="BC22" s="948"/>
      <c r="BD22" s="274">
        <f>ROW(C18)</f>
        <v>18</v>
      </c>
      <c r="BE22" s="274"/>
      <c r="BF22" s="275" t="str">
        <f t="shared" si="9"/>
        <v>106</v>
      </c>
      <c r="BG22" s="276"/>
      <c r="BH22" s="127" t="str">
        <f>AX22&amp;"→"</f>
        <v>→</v>
      </c>
      <c r="BI22" s="941">
        <v>10607</v>
      </c>
      <c r="BJ22" s="18">
        <f>AW22</f>
        <v>0</v>
      </c>
      <c r="BK22" s="26">
        <f>$AZ$19</f>
        <v>0</v>
      </c>
      <c r="BL22" s="3147"/>
      <c r="BM22" s="3142"/>
      <c r="BN22" s="343" t="str">
        <f t="shared" ca="1" si="10"/>
        <v/>
      </c>
      <c r="BO22" s="343" t="str">
        <f t="shared" ca="1" si="10"/>
        <v/>
      </c>
      <c r="BP22" s="492" t="str">
        <f t="shared" ca="1" si="10"/>
        <v/>
      </c>
      <c r="BQ22" s="21"/>
      <c r="BR22" s="26">
        <v>106</v>
      </c>
      <c r="BU22" s="24"/>
      <c r="BV22" s="24"/>
      <c r="BW22" s="24"/>
      <c r="BX22" s="15" t="s">
        <v>2013</v>
      </c>
      <c r="BZ22" s="722" t="s">
        <v>1353</v>
      </c>
      <c r="CA22" s="723" t="str">
        <f t="shared" si="0"/>
        <v>1203747</v>
      </c>
      <c r="CB22" s="724" t="s">
        <v>662</v>
      </c>
      <c r="CD22" s="145">
        <v>6086</v>
      </c>
      <c r="CE22" s="145" t="s">
        <v>5104</v>
      </c>
      <c r="CF22" s="145">
        <v>6086</v>
      </c>
      <c r="CG22" s="34"/>
      <c r="CH22" s="65" t="s">
        <v>386</v>
      </c>
      <c r="CI22" s="65" t="s">
        <v>22</v>
      </c>
      <c r="CJ22" s="65">
        <v>15</v>
      </c>
      <c r="CK22" s="65" t="s">
        <v>216</v>
      </c>
      <c r="CL22" s="65" t="s">
        <v>387</v>
      </c>
      <c r="CM22" s="65"/>
      <c r="CN22" s="65"/>
      <c r="CO22" s="66" t="s">
        <v>270</v>
      </c>
      <c r="CP22" s="78" t="str">
        <f>ASC(記入シート1!I38)&amp;"-"&amp;ASC(記入シート1!O38)&amp;"-"&amp;ASC(記入シート1!T38)</f>
        <v>--</v>
      </c>
      <c r="CQ22" s="10"/>
      <c r="CR22" s="68" t="s">
        <v>3777</v>
      </c>
      <c r="CS22" s="68">
        <v>112</v>
      </c>
      <c r="CT22" s="69" t="str">
        <f t="shared" si="3"/>
        <v>00000000</v>
      </c>
      <c r="CU22" s="70">
        <f>IF(CV22&gt;0,1,0)</f>
        <v>0</v>
      </c>
      <c r="CV22" s="60">
        <f t="shared" si="1"/>
        <v>0</v>
      </c>
      <c r="CW22" s="45" t="s">
        <v>268</v>
      </c>
      <c r="CX22" s="45" t="s">
        <v>712</v>
      </c>
      <c r="CY22" s="138"/>
      <c r="CZ22" s="53" t="s">
        <v>359</v>
      </c>
      <c r="DA22" s="138" t="s">
        <v>752</v>
      </c>
      <c r="DB22" s="45" t="str">
        <f t="shared" si="2"/>
        <v>001</v>
      </c>
      <c r="DC22" s="108" t="s">
        <v>269</v>
      </c>
      <c r="DD22" s="131"/>
      <c r="DE22" s="90"/>
      <c r="DF22" s="90"/>
      <c r="DG22" s="90"/>
      <c r="DH22" s="543" t="s">
        <v>891</v>
      </c>
      <c r="DI22" s="141" t="s">
        <v>902</v>
      </c>
      <c r="DJ22" s="51"/>
      <c r="DK22" s="101" t="str">
        <f t="shared" si="4"/>
        <v>106242YM</v>
      </c>
      <c r="DL22" s="105" t="s">
        <v>3644</v>
      </c>
      <c r="DM22" s="102" t="s">
        <v>934</v>
      </c>
      <c r="DN22" s="299" t="str">
        <f>ASC(AE147)</f>
        <v>0</v>
      </c>
      <c r="DO22" s="27"/>
      <c r="DP22" s="452" t="s">
        <v>1269</v>
      </c>
      <c r="DQ22" s="452" t="s">
        <v>1142</v>
      </c>
      <c r="DR22" s="452" t="s">
        <v>1273</v>
      </c>
      <c r="DS22" s="452" t="s">
        <v>1274</v>
      </c>
      <c r="DT22" s="457" t="s">
        <v>1275</v>
      </c>
      <c r="DU22" s="458"/>
      <c r="DV22" s="34"/>
      <c r="DX22" s="115"/>
      <c r="DY22" s="115"/>
    </row>
    <row r="23" spans="1:129" ht="19.5" customHeight="1" thickBot="1">
      <c r="A23" s="210"/>
      <c r="B23" s="249"/>
      <c r="C23" s="2143"/>
      <c r="D23" s="2144"/>
      <c r="E23" s="2144"/>
      <c r="F23" s="2144"/>
      <c r="G23" s="2144"/>
      <c r="H23" s="2144"/>
      <c r="I23" s="2144"/>
      <c r="J23" s="2144"/>
      <c r="K23" s="2145"/>
      <c r="L23" s="2132"/>
      <c r="M23" s="3179"/>
      <c r="N23" s="2134" t="s">
        <v>856</v>
      </c>
      <c r="O23" s="2134"/>
      <c r="P23" s="2134"/>
      <c r="Q23" s="2134"/>
      <c r="R23" s="2134"/>
      <c r="S23" s="2134"/>
      <c r="T23" s="2134"/>
      <c r="U23" s="2135" t="s">
        <v>944</v>
      </c>
      <c r="V23" s="2135"/>
      <c r="W23" s="2135"/>
      <c r="X23" s="2135"/>
      <c r="Y23" s="2135"/>
      <c r="Z23" s="2135"/>
      <c r="AA23" s="2135"/>
      <c r="AB23" s="2135"/>
      <c r="AC23" s="2135"/>
      <c r="AD23" s="2135"/>
      <c r="AE23" s="2135"/>
      <c r="AF23" s="2135"/>
      <c r="AG23" s="2135"/>
      <c r="AH23" s="2135"/>
      <c r="AI23" s="2135"/>
      <c r="AJ23" s="2135"/>
      <c r="AK23" s="2135"/>
      <c r="AL23" s="2135"/>
      <c r="AM23" s="2135"/>
      <c r="AN23" s="2135"/>
      <c r="AO23" s="2135"/>
      <c r="AP23" s="2135"/>
      <c r="AQ23" s="2135"/>
      <c r="AR23" s="2135"/>
      <c r="AS23" s="2135"/>
      <c r="AT23" s="2136"/>
      <c r="AU23" s="234"/>
      <c r="AV23" s="199" t="b">
        <v>0</v>
      </c>
      <c r="AW23" s="926">
        <f>IF(AV17=TRUE,AV17*1,0)</f>
        <v>0</v>
      </c>
      <c r="AX23" s="930" t="s">
        <v>938</v>
      </c>
      <c r="AY23" s="938" t="str">
        <f>TEXT(BR23,"000")</f>
        <v>106</v>
      </c>
      <c r="AZ23" s="931">
        <f>AW23</f>
        <v>0</v>
      </c>
      <c r="BA23" s="26" t="str">
        <f>IF(O19="2回入金","92",IF(O19="1回入金","91",IF(O19="早期2回","R2",IF(O19="早期3回","R3",IF(O19="早期4回","R4",IF(O19="早期6回","R6",""))))))</f>
        <v>92</v>
      </c>
      <c r="BB23" s="929" t="s">
        <v>3650</v>
      </c>
      <c r="BC23" s="1012" t="s">
        <v>910</v>
      </c>
      <c r="BD23" s="1257">
        <f>ROW(C17)</f>
        <v>17</v>
      </c>
      <c r="BE23" s="26">
        <v>5</v>
      </c>
      <c r="BF23" s="20" t="str">
        <f>BR23&amp;BC23&amp;BE23</f>
        <v>106106055</v>
      </c>
      <c r="BG23" s="18"/>
      <c r="BH23" s="127" t="str">
        <f>AX23&amp;"→"</f>
        <v>銀聯→</v>
      </c>
      <c r="BI23" s="473">
        <v>10602</v>
      </c>
      <c r="BJ23" s="18">
        <f>AW23</f>
        <v>0</v>
      </c>
      <c r="BK23" s="18">
        <f>AW23</f>
        <v>0</v>
      </c>
      <c r="BL23" s="3148"/>
      <c r="BM23" s="3143"/>
      <c r="BN23" s="343" t="str">
        <f ca="1">IF($AW23=0,"",INDIRECT(ADDRESS($BD23,BN$8)))</f>
        <v/>
      </c>
      <c r="BO23" s="343" t="str">
        <f t="shared" ca="1" si="10"/>
        <v/>
      </c>
      <c r="BP23" s="492" t="str">
        <f t="shared" ca="1" si="10"/>
        <v/>
      </c>
      <c r="BQ23" s="21"/>
      <c r="BR23" s="26">
        <v>106</v>
      </c>
      <c r="BU23" s="24"/>
      <c r="BV23" s="24"/>
      <c r="BW23" s="24"/>
      <c r="BX23" s="15" t="s">
        <v>2014</v>
      </c>
      <c r="BZ23" s="722" t="s">
        <v>1315</v>
      </c>
      <c r="CA23" s="723" t="str">
        <f t="shared" si="0"/>
        <v>1203748</v>
      </c>
      <c r="CB23" s="724" t="s">
        <v>663</v>
      </c>
      <c r="CD23" s="1337"/>
      <c r="CE23" s="1337"/>
      <c r="CF23" s="1337"/>
      <c r="CG23" s="34"/>
      <c r="CH23" s="65" t="s">
        <v>388</v>
      </c>
      <c r="CI23" s="65" t="s">
        <v>22</v>
      </c>
      <c r="CJ23" s="65">
        <v>15</v>
      </c>
      <c r="CK23" s="65" t="s">
        <v>216</v>
      </c>
      <c r="CL23" s="65" t="s">
        <v>362</v>
      </c>
      <c r="CM23" s="65"/>
      <c r="CN23" s="65" t="s">
        <v>600</v>
      </c>
      <c r="CO23" s="66" t="s">
        <v>267</v>
      </c>
      <c r="CP23" s="78" t="str">
        <f>IF(OR(記入シート1!AE38="",記入シート1!AK38="",記入シート1!AP38=""),"00-0000-0000",ASC(記入シート1!AE38)&amp;"-"&amp;ASC(記入シート1!AK38)&amp;"-"&amp;ASC(記入シート1!AP38))</f>
        <v>00-0000-0000</v>
      </c>
      <c r="CQ23" s="10"/>
      <c r="CR23" s="68" t="s">
        <v>5101</v>
      </c>
      <c r="CS23" s="68">
        <v>945</v>
      </c>
      <c r="CT23" s="69" t="str">
        <f t="shared" si="3"/>
        <v>00000000</v>
      </c>
      <c r="CU23" s="70">
        <f>IF(CV23&gt;0,1,0)</f>
        <v>0</v>
      </c>
      <c r="CV23" s="60">
        <f t="shared" si="1"/>
        <v>0</v>
      </c>
      <c r="CW23" s="45" t="s">
        <v>718</v>
      </c>
      <c r="CX23" s="45"/>
      <c r="CY23" s="130"/>
      <c r="CZ23" s="291"/>
      <c r="DA23" s="130"/>
      <c r="DB23" s="45" t="str">
        <f t="shared" si="2"/>
        <v>001</v>
      </c>
      <c r="DC23" s="108" t="s">
        <v>266</v>
      </c>
      <c r="DD23" s="131"/>
      <c r="DE23" s="90"/>
      <c r="DF23" s="90"/>
      <c r="DG23" s="90"/>
      <c r="DH23" s="543" t="s">
        <v>891</v>
      </c>
      <c r="DI23" s="141" t="s">
        <v>903</v>
      </c>
      <c r="DJ23" s="140" t="s">
        <v>905</v>
      </c>
      <c r="DK23" s="101" t="str">
        <f t="shared" si="4"/>
        <v>106242YN</v>
      </c>
      <c r="DL23" s="105" t="s">
        <v>3644</v>
      </c>
      <c r="DM23" s="102" t="s">
        <v>939</v>
      </c>
      <c r="DN23" s="299" t="str">
        <f>ASC(AV150)</f>
        <v>0</v>
      </c>
      <c r="DO23" s="27"/>
      <c r="DP23" s="452" t="s">
        <v>1269</v>
      </c>
      <c r="DQ23" s="452" t="s">
        <v>1143</v>
      </c>
      <c r="DR23" s="452" t="s">
        <v>1112</v>
      </c>
      <c r="DS23" s="452" t="s">
        <v>1276</v>
      </c>
      <c r="DT23" s="457" t="s">
        <v>1277</v>
      </c>
      <c r="DU23" s="459"/>
      <c r="DV23" s="34"/>
      <c r="DX23" s="115"/>
      <c r="DY23" s="115"/>
    </row>
    <row r="24" spans="1:129" ht="19.5" hidden="1" customHeight="1">
      <c r="A24" s="447" t="s">
        <v>3653</v>
      </c>
      <c r="B24" s="249"/>
      <c r="C24" s="951"/>
      <c r="D24" s="951"/>
      <c r="E24" s="951"/>
      <c r="F24" s="951"/>
      <c r="G24" s="951"/>
      <c r="H24" s="951"/>
      <c r="I24" s="951"/>
      <c r="J24" s="951"/>
      <c r="K24" s="951"/>
      <c r="L24" s="871"/>
      <c r="M24" s="484"/>
      <c r="N24" s="485"/>
      <c r="O24" s="485"/>
      <c r="P24" s="485"/>
      <c r="Q24" s="485"/>
      <c r="R24" s="485"/>
      <c r="S24" s="485"/>
      <c r="T24" s="485"/>
      <c r="U24" s="486"/>
      <c r="V24" s="486"/>
      <c r="W24" s="486"/>
      <c r="X24" s="486"/>
      <c r="Y24" s="486"/>
      <c r="Z24" s="486"/>
      <c r="AA24" s="486"/>
      <c r="AB24" s="486"/>
      <c r="AC24" s="486"/>
      <c r="AD24" s="486"/>
      <c r="AE24" s="486"/>
      <c r="AF24" s="486"/>
      <c r="AG24" s="486"/>
      <c r="AH24" s="486"/>
      <c r="AI24" s="486"/>
      <c r="AJ24" s="486"/>
      <c r="AK24" s="486"/>
      <c r="AL24" s="486"/>
      <c r="AM24" s="486"/>
      <c r="AN24" s="486"/>
      <c r="AO24" s="486"/>
      <c r="AP24" s="486"/>
      <c r="AQ24" s="486"/>
      <c r="AR24" s="486"/>
      <c r="AS24" s="486"/>
      <c r="AT24" s="486"/>
      <c r="AU24" s="234"/>
      <c r="AV24" s="200">
        <f>IF(OR(AV20=TRUE,AV21=TRUE,AV22=TRUE,AV23=TRUE),1,0)</f>
        <v>0</v>
      </c>
      <c r="BQ24" s="21"/>
      <c r="BU24" s="24"/>
      <c r="BV24" s="24"/>
      <c r="BW24" s="24"/>
      <c r="BX24" s="24" t="s">
        <v>2015</v>
      </c>
      <c r="BY24" s="24"/>
      <c r="BZ24" s="722" t="s">
        <v>1354</v>
      </c>
      <c r="CA24" s="723" t="str">
        <f t="shared" si="0"/>
        <v>1203976</v>
      </c>
      <c r="CB24" s="724" t="s">
        <v>664</v>
      </c>
      <c r="CD24" s="1337"/>
      <c r="CE24" s="1337"/>
      <c r="CF24" s="1337"/>
      <c r="CG24" s="34"/>
      <c r="CH24" s="65" t="s">
        <v>265</v>
      </c>
      <c r="CI24" s="65" t="s">
        <v>63</v>
      </c>
      <c r="CJ24" s="65">
        <v>8</v>
      </c>
      <c r="CK24" s="65" t="s">
        <v>216</v>
      </c>
      <c r="CL24" s="65" t="s">
        <v>90</v>
      </c>
      <c r="CM24" s="65"/>
      <c r="CN24" s="65"/>
      <c r="CO24" s="66" t="s">
        <v>264</v>
      </c>
      <c r="CP24" s="78" t="str">
        <f>RIGHT("0000"&amp;記入シート1!K39,4)&amp;RIGHT("00"&amp;記入シート1!N39,2)&amp;RIGHT("00"&amp;記入シート1!Q39,2)</f>
        <v>00000000</v>
      </c>
      <c r="CQ24" s="10"/>
      <c r="CR24" s="1026" t="s">
        <v>5720</v>
      </c>
      <c r="CS24" s="1026">
        <v>949</v>
      </c>
      <c r="CT24" s="69" t="str">
        <f t="shared" si="3"/>
        <v>00000000</v>
      </c>
      <c r="CU24" s="70">
        <f>IF(CV24&gt;0,1,0)</f>
        <v>0</v>
      </c>
      <c r="CV24" s="60">
        <f t="shared" si="1"/>
        <v>0</v>
      </c>
      <c r="CW24" s="45" t="s">
        <v>262</v>
      </c>
      <c r="CX24" s="45" t="s">
        <v>706</v>
      </c>
      <c r="CY24" s="53"/>
      <c r="CZ24" s="130" t="s">
        <v>359</v>
      </c>
      <c r="DA24" s="53" t="s">
        <v>707</v>
      </c>
      <c r="DB24" s="45" t="str">
        <f t="shared" si="2"/>
        <v>001</v>
      </c>
      <c r="DC24" s="108" t="s">
        <v>263</v>
      </c>
      <c r="DD24" s="131"/>
      <c r="DE24" s="90"/>
      <c r="DF24" s="90"/>
      <c r="DG24" s="90"/>
      <c r="DH24" s="543" t="s">
        <v>891</v>
      </c>
      <c r="DI24" s="547" t="s">
        <v>1002</v>
      </c>
      <c r="DJ24" s="346"/>
      <c r="DK24" s="101" t="str">
        <f t="shared" si="4"/>
        <v>106242YP</v>
      </c>
      <c r="DL24" s="105" t="s">
        <v>3644</v>
      </c>
      <c r="DM24" s="105" t="s">
        <v>1004</v>
      </c>
      <c r="DN24" s="546" t="str">
        <f>IF(AV96=TRUE,L99&amp;O99,"-")</f>
        <v>-</v>
      </c>
      <c r="DO24" s="27"/>
      <c r="DP24" s="452" t="s">
        <v>1269</v>
      </c>
      <c r="DQ24" s="452" t="s">
        <v>1144</v>
      </c>
      <c r="DR24" s="452" t="s">
        <v>1252</v>
      </c>
      <c r="DS24" s="452" t="s">
        <v>1278</v>
      </c>
      <c r="DT24" s="457" t="s">
        <v>1110</v>
      </c>
      <c r="DU24" s="459"/>
      <c r="DV24" s="34"/>
      <c r="DX24" s="115"/>
      <c r="DY24" s="115"/>
    </row>
    <row r="25" spans="1:129" ht="19.5" customHeight="1" thickBot="1">
      <c r="A25" s="210"/>
      <c r="B25" s="249"/>
      <c r="C25" s="952"/>
      <c r="D25" s="1187" t="str">
        <f>IF(AND(AV30=TRUE,AN30="楽天",AS30="包括"),IF(【楽天Edy用記入シート】業種シート!H5=1,"　【楽天Edy用記入シート】チェックシート　のご入力が必要です。","　【楽天Edy用記入シート】業種シート から業種をご選択ください。"),"")</f>
        <v/>
      </c>
      <c r="E25" s="952"/>
      <c r="F25" s="952"/>
      <c r="G25" s="952"/>
      <c r="H25" s="952"/>
      <c r="I25" s="952"/>
      <c r="J25" s="1088"/>
      <c r="K25" s="952"/>
      <c r="M25" s="1181"/>
      <c r="N25" s="1182"/>
      <c r="O25" s="1182"/>
      <c r="P25" s="1182"/>
      <c r="Q25" s="1182"/>
      <c r="R25" s="1182"/>
      <c r="S25" s="1184" t="str">
        <f>IF(AND(OR(AND(AV29=TRUE,AN29="JCB",AS29="包括"),AND(AV30=TRUE,AN30="JCB",AS30="包括"),AND(AV32=TRUE,AN33="JCB",AS33="包括"),AND(AV33=TRUE,AN34="JCB",AS34="包括"),AND(AV34=TRUE,AN35="JCB",AS35="包括")),AV18=FALSE),"※JCBクレジットカードのお申し込みが必要です。","")</f>
        <v/>
      </c>
      <c r="T25" s="1182"/>
      <c r="U25" s="1183"/>
      <c r="V25" s="1183"/>
      <c r="W25" s="1183"/>
      <c r="X25" s="1183"/>
      <c r="Z25" s="1183"/>
      <c r="AA25" s="1183"/>
      <c r="AB25" s="1183"/>
      <c r="AD25" s="1185"/>
      <c r="AE25" s="1185"/>
      <c r="AF25" s="1188" t="str">
        <f>IF(OR(AND(AV31=TRUE,AN31="イオン",AS31="包括"),AND(AV32=TRUE,AN33="イオン",AS33="包括")),IF(【iD・WAON用記入シート】業種シート!G5=0,"※【iD・WAON用記入シート】業種シート　のご入力が必要です。",""),"")</f>
        <v/>
      </c>
      <c r="AG25" s="1185"/>
      <c r="AH25" s="1185"/>
      <c r="AI25" s="1185"/>
      <c r="AJ25" s="1185"/>
      <c r="AK25" s="1185"/>
      <c r="AL25" s="1185"/>
      <c r="AM25" s="1185"/>
      <c r="AN25" s="1185"/>
      <c r="AO25" s="1185"/>
      <c r="AP25" s="1185"/>
      <c r="AQ25" s="1185"/>
      <c r="AR25" s="1185"/>
      <c r="AS25" s="1185"/>
      <c r="AT25" s="1183"/>
      <c r="AU25" s="234"/>
      <c r="AV25" s="618" t="str">
        <f ca="1">IF(AND(AV30=TRUE,AN30="楽天",AS30="包括",OR(AW25=0,AX25="NG")),"NG","OK")</f>
        <v>OK</v>
      </c>
      <c r="AW25" s="923">
        <f ca="1">【楽天Edy用記入シート】業種シート!G4</f>
        <v>0</v>
      </c>
      <c r="AX25" s="618" t="str">
        <f>IF(AND(【楽天Edy用記入シート】業種シート!H5=1,【楽天Edy用記入シート】業種シート!H4&gt;0),"NG","OK")</f>
        <v>OK</v>
      </c>
      <c r="AY25" s="489"/>
      <c r="BQ25" s="21"/>
      <c r="BU25" s="24"/>
      <c r="BV25" s="24"/>
      <c r="BW25" s="24"/>
      <c r="BX25" s="24"/>
      <c r="BY25" s="24"/>
      <c r="BZ25" s="722" t="s">
        <v>1316</v>
      </c>
      <c r="CA25" s="723" t="str">
        <f t="shared" si="0"/>
        <v>1204164</v>
      </c>
      <c r="CB25" s="724" t="s">
        <v>665</v>
      </c>
      <c r="CD25" s="1337"/>
      <c r="CE25" s="1337"/>
      <c r="CF25" s="1337"/>
      <c r="CG25" s="34"/>
      <c r="CH25" s="65" t="s">
        <v>261</v>
      </c>
      <c r="CI25" s="65" t="s">
        <v>19</v>
      </c>
      <c r="CJ25" s="65">
        <v>13</v>
      </c>
      <c r="CK25" s="65" t="s">
        <v>216</v>
      </c>
      <c r="CL25" s="65" t="s">
        <v>389</v>
      </c>
      <c r="CM25" s="65"/>
      <c r="CN25" s="65"/>
      <c r="CO25" s="66" t="s">
        <v>260</v>
      </c>
      <c r="CP25" s="78">
        <f>記入シート1!AA39*10000</f>
        <v>0</v>
      </c>
      <c r="CQ25" s="79"/>
      <c r="CR25" s="68"/>
      <c r="CS25" s="68"/>
      <c r="CT25" s="68"/>
      <c r="CU25" s="68"/>
      <c r="CV25" s="60">
        <f t="shared" si="1"/>
        <v>0</v>
      </c>
      <c r="CW25" s="45" t="s">
        <v>258</v>
      </c>
      <c r="CX25" s="45" t="s">
        <v>706</v>
      </c>
      <c r="CY25" s="130"/>
      <c r="CZ25" s="130" t="s">
        <v>359</v>
      </c>
      <c r="DA25" s="130" t="s">
        <v>628</v>
      </c>
      <c r="DB25" s="45" t="str">
        <f t="shared" si="2"/>
        <v>001</v>
      </c>
      <c r="DC25" s="108" t="s">
        <v>259</v>
      </c>
      <c r="DD25" s="131"/>
      <c r="DE25" s="90"/>
      <c r="DF25" s="90"/>
      <c r="DG25" s="90"/>
      <c r="DH25" s="543" t="s">
        <v>891</v>
      </c>
      <c r="DI25" s="547" t="s">
        <v>1003</v>
      </c>
      <c r="DJ25" s="346"/>
      <c r="DK25" s="101" t="str">
        <f t="shared" si="4"/>
        <v>106242YQ</v>
      </c>
      <c r="DL25" s="105" t="s">
        <v>3644</v>
      </c>
      <c r="DM25" s="105" t="s">
        <v>1005</v>
      </c>
      <c r="DN25" s="546" t="str">
        <f>IF(AV97=TRUE,L100&amp;O100,"-")</f>
        <v>-</v>
      </c>
      <c r="DO25" s="27"/>
      <c r="DP25" s="460" t="s">
        <v>1269</v>
      </c>
      <c r="DQ25" s="460" t="s">
        <v>1145</v>
      </c>
      <c r="DR25" s="460" t="s">
        <v>1112</v>
      </c>
      <c r="DS25" s="452" t="s">
        <v>1276</v>
      </c>
      <c r="DT25" s="461" t="s">
        <v>1279</v>
      </c>
      <c r="DU25" s="462"/>
      <c r="DV25" s="34"/>
      <c r="DX25" s="115"/>
      <c r="DY25" s="115"/>
    </row>
    <row r="26" spans="1:129" ht="19.5" customHeight="1" thickTop="1">
      <c r="A26" s="210"/>
      <c r="B26" s="249"/>
      <c r="C26" s="1998" t="s">
        <v>449</v>
      </c>
      <c r="D26" s="1999"/>
      <c r="E26" s="1999"/>
      <c r="F26" s="1999"/>
      <c r="G26" s="1999"/>
      <c r="H26" s="1999"/>
      <c r="I26" s="2000"/>
      <c r="J26" s="2128" t="s">
        <v>845</v>
      </c>
      <c r="K26" s="2005"/>
      <c r="L26" s="2008" t="s">
        <v>846</v>
      </c>
      <c r="M26" s="2009"/>
      <c r="N26" s="2010"/>
      <c r="O26" s="2014" t="s">
        <v>1059</v>
      </c>
      <c r="P26" s="2015"/>
      <c r="Q26" s="2014" t="s">
        <v>2053</v>
      </c>
      <c r="R26" s="2018"/>
      <c r="S26" s="2018"/>
      <c r="T26" s="2015"/>
      <c r="U26" s="2014" t="s">
        <v>2054</v>
      </c>
      <c r="V26" s="2018"/>
      <c r="W26" s="2018"/>
      <c r="X26" s="2015"/>
      <c r="Y26" s="2014" t="s">
        <v>2055</v>
      </c>
      <c r="Z26" s="2018"/>
      <c r="AA26" s="2018"/>
      <c r="AB26" s="2015"/>
      <c r="AC26" s="2014" t="s">
        <v>2056</v>
      </c>
      <c r="AD26" s="2018"/>
      <c r="AE26" s="2018"/>
      <c r="AF26" s="2015"/>
      <c r="AG26" s="2014" t="s">
        <v>2057</v>
      </c>
      <c r="AH26" s="2018"/>
      <c r="AI26" s="2018"/>
      <c r="AJ26" s="2015"/>
      <c r="AK26" s="2189" t="s">
        <v>3850</v>
      </c>
      <c r="AL26" s="2190"/>
      <c r="AM26" s="2190"/>
      <c r="AN26" s="2190"/>
      <c r="AO26" s="2190"/>
      <c r="AP26" s="2190"/>
      <c r="AQ26" s="2190"/>
      <c r="AR26" s="2190"/>
      <c r="AS26" s="2190"/>
      <c r="AT26" s="2191"/>
      <c r="AU26" s="234"/>
      <c r="AV26" s="200" t="s">
        <v>789</v>
      </c>
      <c r="AW26" s="200" t="s">
        <v>2169</v>
      </c>
      <c r="AY26" s="489" t="s">
        <v>7</v>
      </c>
      <c r="AZ26" s="489" t="s">
        <v>454</v>
      </c>
      <c r="BA26" s="202" t="s">
        <v>908</v>
      </c>
      <c r="BB26" s="202" t="s">
        <v>0</v>
      </c>
      <c r="BC26" s="202" t="s">
        <v>455</v>
      </c>
      <c r="BD26" s="202" t="s">
        <v>975</v>
      </c>
      <c r="BE26" s="202"/>
      <c r="BF26" s="202"/>
      <c r="BG26" s="202"/>
      <c r="BH26" s="202"/>
      <c r="BI26" s="202" t="s">
        <v>456</v>
      </c>
      <c r="BJ26" s="202" t="s">
        <v>457</v>
      </c>
      <c r="BK26" s="202" t="s">
        <v>458</v>
      </c>
      <c r="BL26" s="202" t="s">
        <v>973</v>
      </c>
      <c r="BM26" s="202" t="s">
        <v>974</v>
      </c>
      <c r="BN26" s="202" t="s">
        <v>459</v>
      </c>
      <c r="BO26" s="202" t="s">
        <v>460</v>
      </c>
      <c r="BP26" s="202" t="s">
        <v>461</v>
      </c>
      <c r="BQ26" s="468"/>
      <c r="BR26" s="202" t="s">
        <v>7</v>
      </c>
      <c r="BU26" s="24"/>
      <c r="BV26" s="24"/>
      <c r="BW26" s="24"/>
      <c r="BX26" s="24"/>
      <c r="BY26" s="24"/>
      <c r="BZ26" s="722" t="s">
        <v>1317</v>
      </c>
      <c r="CA26" s="723" t="str">
        <f t="shared" si="0"/>
        <v>1205880</v>
      </c>
      <c r="CB26" s="724" t="s">
        <v>666</v>
      </c>
      <c r="CD26" s="1337"/>
      <c r="CE26" s="1337"/>
      <c r="CF26" s="1337"/>
      <c r="CG26" s="34"/>
      <c r="CH26" s="65" t="s">
        <v>257</v>
      </c>
      <c r="CI26" s="65" t="s">
        <v>19</v>
      </c>
      <c r="CJ26" s="65">
        <v>13</v>
      </c>
      <c r="CK26" s="65" t="s">
        <v>216</v>
      </c>
      <c r="CL26" s="65" t="s">
        <v>389</v>
      </c>
      <c r="CM26" s="65"/>
      <c r="CN26" s="65" t="s">
        <v>601</v>
      </c>
      <c r="CO26" s="66" t="s">
        <v>256</v>
      </c>
      <c r="CP26" s="78">
        <f>記入シート1!AN39*10000</f>
        <v>0</v>
      </c>
      <c r="CQ26" s="10"/>
      <c r="CR26" s="68"/>
      <c r="CS26" s="68"/>
      <c r="CT26" s="68"/>
      <c r="CU26" s="68"/>
      <c r="CV26" s="60">
        <f t="shared" si="1"/>
        <v>0</v>
      </c>
      <c r="CW26" s="45" t="s">
        <v>719</v>
      </c>
      <c r="CX26" s="45"/>
      <c r="CY26" s="130"/>
      <c r="CZ26" s="291"/>
      <c r="DA26" s="130"/>
      <c r="DB26" s="45" t="str">
        <f t="shared" si="2"/>
        <v>001</v>
      </c>
      <c r="DC26" s="108" t="s">
        <v>255</v>
      </c>
      <c r="DD26" s="131"/>
      <c r="DE26" s="90"/>
      <c r="DF26" s="90"/>
      <c r="DG26" s="90"/>
      <c r="DH26" s="543" t="s">
        <v>891</v>
      </c>
      <c r="DI26" s="547" t="s">
        <v>1054</v>
      </c>
      <c r="DJ26" s="346"/>
      <c r="DK26" s="101" t="str">
        <f t="shared" si="4"/>
        <v>106242YR</v>
      </c>
      <c r="DL26" s="105" t="s">
        <v>3644</v>
      </c>
      <c r="DM26" s="105" t="s">
        <v>1056</v>
      </c>
      <c r="DN26" s="454">
        <f>AP148</f>
        <v>11013</v>
      </c>
      <c r="DO26" s="27"/>
      <c r="DP26" s="452" t="s">
        <v>1269</v>
      </c>
      <c r="DQ26" s="452" t="s">
        <v>1146</v>
      </c>
      <c r="DR26" s="452" t="s">
        <v>1252</v>
      </c>
      <c r="DS26" s="452" t="s">
        <v>1278</v>
      </c>
      <c r="DT26" s="457" t="s">
        <v>1280</v>
      </c>
      <c r="DU26" s="459"/>
      <c r="DV26" s="34"/>
      <c r="DX26" s="115"/>
      <c r="DY26" s="115"/>
    </row>
    <row r="27" spans="1:129" ht="19.5" customHeight="1">
      <c r="A27" s="447"/>
      <c r="B27" s="249"/>
      <c r="C27" s="2001"/>
      <c r="D27" s="2002"/>
      <c r="E27" s="2002"/>
      <c r="F27" s="2002"/>
      <c r="G27" s="2002"/>
      <c r="H27" s="2002"/>
      <c r="I27" s="2003"/>
      <c r="J27" s="2006"/>
      <c r="K27" s="2007"/>
      <c r="L27" s="2011"/>
      <c r="M27" s="2012"/>
      <c r="N27" s="2013"/>
      <c r="O27" s="2016"/>
      <c r="P27" s="2017"/>
      <c r="Q27" s="2016"/>
      <c r="R27" s="2019"/>
      <c r="S27" s="2019"/>
      <c r="T27" s="2017"/>
      <c r="U27" s="2016"/>
      <c r="V27" s="2019"/>
      <c r="W27" s="2019"/>
      <c r="X27" s="2017"/>
      <c r="Y27" s="2016"/>
      <c r="Z27" s="2019"/>
      <c r="AA27" s="2019"/>
      <c r="AB27" s="2017"/>
      <c r="AC27" s="2016"/>
      <c r="AD27" s="2019"/>
      <c r="AE27" s="2019"/>
      <c r="AF27" s="2017"/>
      <c r="AG27" s="2016"/>
      <c r="AH27" s="2019"/>
      <c r="AI27" s="2019"/>
      <c r="AJ27" s="2017"/>
      <c r="AK27" s="2192"/>
      <c r="AL27" s="2193"/>
      <c r="AM27" s="2193"/>
      <c r="AN27" s="2193"/>
      <c r="AO27" s="2193"/>
      <c r="AP27" s="2193"/>
      <c r="AQ27" s="2193"/>
      <c r="AR27" s="2193"/>
      <c r="AS27" s="2193"/>
      <c r="AT27" s="2194"/>
      <c r="AU27" s="234"/>
      <c r="AV27" s="200"/>
      <c r="AW27" s="535">
        <f>AV29*1</f>
        <v>0</v>
      </c>
      <c r="AX27" s="535" t="s">
        <v>3813</v>
      </c>
      <c r="AY27" s="535" t="str">
        <f>TEXT(BR27,"000")</f>
        <v>107</v>
      </c>
      <c r="AZ27" s="535">
        <f>AW27</f>
        <v>0</v>
      </c>
      <c r="BA27" s="493" t="str">
        <f>IF(O29="2回入金","92",IF(O29="1回入金","91",""))</f>
        <v>92</v>
      </c>
      <c r="BB27" s="536" t="str">
        <f>AZ3</f>
        <v>14</v>
      </c>
      <c r="BC27" s="536" t="s">
        <v>1895</v>
      </c>
      <c r="BD27" s="493">
        <f>ROW(C29)</f>
        <v>29</v>
      </c>
      <c r="BE27" s="493">
        <v>1</v>
      </c>
      <c r="BF27" s="20" t="str">
        <f>BR27&amp;BC27&amp;BE27</f>
        <v>107107011</v>
      </c>
      <c r="BG27" s="537"/>
      <c r="BH27" s="493"/>
      <c r="BI27" s="1036" t="str">
        <f>VLOOKUP(DN45,BV2:BW4,2,FALSE)</f>
        <v>10701</v>
      </c>
      <c r="BJ27" s="470">
        <f>IF(L29=$BC$2,1,0)</f>
        <v>1</v>
      </c>
      <c r="BK27" s="493">
        <f>AZ27</f>
        <v>0</v>
      </c>
      <c r="BL27" s="2130" t="str">
        <f ca="1">IF($AW27=0,"",INDIRECT(ADDRESS($BD27,BL$8)))</f>
        <v/>
      </c>
      <c r="BM27" s="2130" t="str">
        <f ca="1">IF($AW27=0,"",INDIRECT(ADDRESS($BD27,BM$8)))</f>
        <v/>
      </c>
      <c r="BN27" s="538" t="str">
        <f ca="1">IF($AW27=0,"",INDIRECT(ADDRESS($BD27,BN$8)))</f>
        <v/>
      </c>
      <c r="BO27" s="538" t="str">
        <f ca="1">IF($AW27=0,"",INDIRECT(ADDRESS($BD27,BO$8)))</f>
        <v/>
      </c>
      <c r="BP27" s="491" t="str">
        <f ca="1">IF($AW27=0,"",INDIRECT(ADDRESS($BD27,BP$8)))</f>
        <v/>
      </c>
      <c r="BQ27" s="539"/>
      <c r="BR27" s="470">
        <v>107</v>
      </c>
      <c r="BU27" s="24"/>
      <c r="BV27" s="24"/>
      <c r="BW27" s="24"/>
      <c r="BX27" s="24"/>
      <c r="BY27" s="24"/>
      <c r="BZ27" s="722" t="s">
        <v>1355</v>
      </c>
      <c r="CA27" s="723" t="str">
        <f t="shared" si="0"/>
        <v>1205979</v>
      </c>
      <c r="CB27" s="724" t="s">
        <v>667</v>
      </c>
      <c r="CD27" s="1337"/>
      <c r="CE27" s="1337"/>
      <c r="CF27" s="1337"/>
      <c r="CG27" s="34"/>
      <c r="CH27" s="65" t="s">
        <v>391</v>
      </c>
      <c r="CI27" s="65" t="s">
        <v>21</v>
      </c>
      <c r="CJ27" s="65">
        <v>255</v>
      </c>
      <c r="CK27" s="65" t="s">
        <v>216</v>
      </c>
      <c r="CL27" s="65" t="s">
        <v>392</v>
      </c>
      <c r="CM27" s="65"/>
      <c r="CN27" s="65"/>
      <c r="CO27" s="66" t="s">
        <v>254</v>
      </c>
      <c r="CP27" s="78" t="str">
        <f>LEFT(SUBSTITUTE(記入シート1!I40,CHAR(10),"　"),255)</f>
        <v/>
      </c>
      <c r="CQ27" s="10"/>
      <c r="CR27" s="68"/>
      <c r="CS27" s="68"/>
      <c r="CT27" s="68"/>
      <c r="CU27" s="281"/>
      <c r="CV27" s="60">
        <f t="shared" si="1"/>
        <v>0</v>
      </c>
      <c r="CW27" s="45" t="s">
        <v>252</v>
      </c>
      <c r="CX27" s="45" t="s">
        <v>708</v>
      </c>
      <c r="CY27" s="53" t="s">
        <v>737</v>
      </c>
      <c r="CZ27" s="54" t="s">
        <v>349</v>
      </c>
      <c r="DA27" s="292"/>
      <c r="DB27" s="45" t="str">
        <f t="shared" si="2"/>
        <v>001</v>
      </c>
      <c r="DC27" s="108" t="s">
        <v>253</v>
      </c>
      <c r="DD27" s="131"/>
      <c r="DE27" s="90"/>
      <c r="DF27" s="90"/>
      <c r="DG27" s="90"/>
      <c r="DH27" s="543" t="s">
        <v>891</v>
      </c>
      <c r="DI27" s="547" t="s">
        <v>1905</v>
      </c>
      <c r="DJ27" s="544" t="s">
        <v>1903</v>
      </c>
      <c r="DK27" s="101" t="str">
        <f t="shared" si="4"/>
        <v>106242YS</v>
      </c>
      <c r="DL27" s="105" t="s">
        <v>3644</v>
      </c>
      <c r="DM27" s="105" t="s">
        <v>1934</v>
      </c>
      <c r="DN27" s="546" t="str">
        <f>IF(記入シート1!AV69=TRUE,記入シート1!AV36,記入シート1!AV72)</f>
        <v>00</v>
      </c>
      <c r="DO27" s="27"/>
      <c r="DP27" s="452" t="s">
        <v>1269</v>
      </c>
      <c r="DQ27" s="452" t="s">
        <v>1147</v>
      </c>
      <c r="DR27" s="452" t="s">
        <v>1112</v>
      </c>
      <c r="DS27" s="452" t="s">
        <v>1276</v>
      </c>
      <c r="DT27" s="457" t="s">
        <v>1111</v>
      </c>
      <c r="DU27" s="459"/>
      <c r="DV27" s="34"/>
      <c r="DX27" s="115"/>
      <c r="DY27" s="115"/>
    </row>
    <row r="28" spans="1:129" ht="19.5" customHeight="1">
      <c r="A28" s="210"/>
      <c r="B28" s="249"/>
      <c r="C28" s="2036" t="s">
        <v>1400</v>
      </c>
      <c r="D28" s="2037"/>
      <c r="E28" s="2037"/>
      <c r="F28" s="2037"/>
      <c r="G28" s="2037"/>
      <c r="H28" s="2037"/>
      <c r="I28" s="2037"/>
      <c r="J28" s="480"/>
      <c r="K28" s="480"/>
      <c r="L28" s="955"/>
      <c r="M28" s="918"/>
      <c r="N28" s="915"/>
      <c r="O28" s="915"/>
      <c r="P28" s="915"/>
      <c r="Q28" s="915"/>
      <c r="R28" s="915"/>
      <c r="S28" s="915"/>
      <c r="T28" s="915"/>
      <c r="U28" s="919"/>
      <c r="V28" s="956"/>
      <c r="W28" s="956"/>
      <c r="X28" s="956"/>
      <c r="Y28" s="956"/>
      <c r="Z28" s="956"/>
      <c r="AA28" s="957"/>
      <c r="AB28" s="957"/>
      <c r="AC28" s="957"/>
      <c r="AD28" s="957"/>
      <c r="AE28" s="957"/>
      <c r="AF28" s="958"/>
      <c r="AG28" s="958"/>
      <c r="AH28" s="958"/>
      <c r="AI28" s="958"/>
      <c r="AJ28" s="958"/>
      <c r="AK28" s="958"/>
      <c r="AL28" s="958"/>
      <c r="AM28" s="958"/>
      <c r="AN28" s="958"/>
      <c r="AO28" s="958"/>
      <c r="AP28" s="958"/>
      <c r="AQ28" s="958"/>
      <c r="AR28" s="958"/>
      <c r="AS28" s="958"/>
      <c r="AT28" s="959"/>
      <c r="AU28" s="234"/>
      <c r="AV28" s="924" t="b">
        <f>IF(SUMPRODUCT((AV29:AV34)*1)=0,FALSE,TRUE)</f>
        <v>0</v>
      </c>
      <c r="AW28" s="490">
        <f>AW27</f>
        <v>0</v>
      </c>
      <c r="AX28" s="490" t="s">
        <v>3814</v>
      </c>
      <c r="AY28" s="490"/>
      <c r="AZ28" s="490"/>
      <c r="BA28" s="470"/>
      <c r="BB28" s="470"/>
      <c r="BC28" s="496" t="s">
        <v>1896</v>
      </c>
      <c r="BD28" s="493">
        <f>BD27</f>
        <v>29</v>
      </c>
      <c r="BE28" s="470">
        <v>2</v>
      </c>
      <c r="BF28" s="20" t="str">
        <f>BR28&amp;BC28&amp;BE28</f>
        <v>107107022</v>
      </c>
      <c r="BG28" s="470"/>
      <c r="BH28" s="470"/>
      <c r="BI28" s="1037" t="str">
        <f>BI27</f>
        <v>10701</v>
      </c>
      <c r="BJ28" s="470">
        <f>IF(L29=$BC$2,1,0)</f>
        <v>1</v>
      </c>
      <c r="BK28" s="470">
        <f>AZ27</f>
        <v>0</v>
      </c>
      <c r="BL28" s="2131"/>
      <c r="BM28" s="2131"/>
      <c r="BN28" s="494" t="str">
        <f t="shared" ref="BN28:BP38" ca="1" si="11">IF($AW28=0,"",INDIRECT(ADDRESS($BD28,BN$8)))</f>
        <v/>
      </c>
      <c r="BO28" s="494" t="str">
        <f t="shared" ca="1" si="11"/>
        <v/>
      </c>
      <c r="BP28" s="491" t="str">
        <f t="shared" ca="1" si="11"/>
        <v/>
      </c>
      <c r="BQ28" s="539"/>
      <c r="BR28" s="470">
        <v>107</v>
      </c>
      <c r="BU28" s="24"/>
      <c r="BV28" s="24"/>
      <c r="BW28" s="24"/>
      <c r="BX28" s="24"/>
      <c r="BY28" s="24"/>
      <c r="BZ28" s="722" t="s">
        <v>1356</v>
      </c>
      <c r="CA28" s="723" t="str">
        <f t="shared" si="0"/>
        <v>1205998</v>
      </c>
      <c r="CB28" s="724" t="s">
        <v>668</v>
      </c>
      <c r="CD28" s="1337"/>
      <c r="CE28" s="1337"/>
      <c r="CF28" s="1337"/>
      <c r="CG28" s="34"/>
      <c r="CH28" s="65" t="s">
        <v>251</v>
      </c>
      <c r="CI28" s="65" t="s">
        <v>22</v>
      </c>
      <c r="CJ28" s="65">
        <v>128</v>
      </c>
      <c r="CK28" s="65" t="s">
        <v>216</v>
      </c>
      <c r="CL28" s="65" t="s">
        <v>90</v>
      </c>
      <c r="CM28" s="65"/>
      <c r="CN28" s="65"/>
      <c r="CO28" s="66" t="s">
        <v>250</v>
      </c>
      <c r="CP28" s="78" t="str">
        <f>ASC(記入シート1!I42)</f>
        <v/>
      </c>
      <c r="CQ28" s="10"/>
      <c r="CR28" s="68"/>
      <c r="CS28" s="68"/>
      <c r="CT28" s="68"/>
      <c r="CU28" s="281"/>
      <c r="CV28" s="60">
        <f t="shared" si="1"/>
        <v>0</v>
      </c>
      <c r="CW28" s="45" t="s">
        <v>720</v>
      </c>
      <c r="CX28" s="45"/>
      <c r="CY28" s="53"/>
      <c r="CZ28" s="54"/>
      <c r="DA28" s="53"/>
      <c r="DB28" s="45" t="str">
        <f t="shared" si="2"/>
        <v>001</v>
      </c>
      <c r="DC28" s="108" t="s">
        <v>249</v>
      </c>
      <c r="DD28" s="131"/>
      <c r="DE28" s="90"/>
      <c r="DF28" s="90"/>
      <c r="DG28" s="90"/>
      <c r="DH28" s="543" t="s">
        <v>891</v>
      </c>
      <c r="DI28" s="547" t="s">
        <v>1904</v>
      </c>
      <c r="DJ28" s="544" t="s">
        <v>1906</v>
      </c>
      <c r="DK28" s="101" t="str">
        <f t="shared" si="4"/>
        <v>106242YT</v>
      </c>
      <c r="DL28" s="105" t="s">
        <v>3644</v>
      </c>
      <c r="DM28" s="105" t="s">
        <v>1935</v>
      </c>
      <c r="DN28" s="546" t="str">
        <f>ASC(記入シート1!AW88)</f>
        <v>5</v>
      </c>
      <c r="DO28" s="40"/>
      <c r="DP28" s="452" t="s">
        <v>1269</v>
      </c>
      <c r="DQ28" s="452" t="s">
        <v>1148</v>
      </c>
      <c r="DR28" s="452" t="s">
        <v>1252</v>
      </c>
      <c r="DS28" s="452" t="s">
        <v>1278</v>
      </c>
      <c r="DT28" s="457" t="s">
        <v>1281</v>
      </c>
      <c r="DU28" s="459"/>
      <c r="DV28" s="34"/>
      <c r="DX28" s="115"/>
      <c r="DY28" s="115"/>
    </row>
    <row r="29" spans="1:129" ht="19.5" customHeight="1">
      <c r="A29" s="210"/>
      <c r="B29" s="249"/>
      <c r="C29" s="2129" t="s">
        <v>1949</v>
      </c>
      <c r="D29" s="2027"/>
      <c r="E29" s="2027"/>
      <c r="F29" s="2027"/>
      <c r="G29" s="2027"/>
      <c r="H29" s="2027"/>
      <c r="I29" s="2027"/>
      <c r="J29" s="2027"/>
      <c r="K29" s="2028"/>
      <c r="L29" s="3125" t="s">
        <v>642</v>
      </c>
      <c r="M29" s="2074"/>
      <c r="N29" s="2075"/>
      <c r="O29" s="3124" t="s">
        <v>1071</v>
      </c>
      <c r="P29" s="3124"/>
      <c r="Q29" s="3165">
        <v>0</v>
      </c>
      <c r="R29" s="3165"/>
      <c r="S29" s="3165"/>
      <c r="T29" s="3165"/>
      <c r="U29" s="3165">
        <v>0</v>
      </c>
      <c r="V29" s="3165"/>
      <c r="W29" s="3165"/>
      <c r="X29" s="3165"/>
      <c r="Y29" s="2118">
        <v>2.9000000000000001E-2</v>
      </c>
      <c r="Z29" s="2118"/>
      <c r="AA29" s="2118"/>
      <c r="AB29" s="2118"/>
      <c r="AC29" s="2118">
        <v>0</v>
      </c>
      <c r="AD29" s="2118"/>
      <c r="AE29" s="2118"/>
      <c r="AF29" s="2118"/>
      <c r="AG29" s="2168">
        <v>0</v>
      </c>
      <c r="AH29" s="2168"/>
      <c r="AI29" s="2168"/>
      <c r="AJ29" s="2168"/>
      <c r="AK29" s="2197" t="s">
        <v>5521</v>
      </c>
      <c r="AL29" s="2198"/>
      <c r="AM29" s="2198"/>
      <c r="AN29" s="2199" t="s">
        <v>3625</v>
      </c>
      <c r="AO29" s="2199"/>
      <c r="AP29" s="1920" t="s">
        <v>5128</v>
      </c>
      <c r="AQ29" s="1920"/>
      <c r="AR29" s="1920"/>
      <c r="AS29" s="1921" t="s">
        <v>3652</v>
      </c>
      <c r="AT29" s="1922"/>
      <c r="AU29" s="234"/>
      <c r="AV29" s="488" t="b">
        <v>0</v>
      </c>
      <c r="AW29" s="540">
        <f>AV30*1</f>
        <v>0</v>
      </c>
      <c r="AX29" s="540" t="s">
        <v>3815</v>
      </c>
      <c r="AY29" s="540" t="str">
        <f>TEXT(BR29,"000")</f>
        <v>108</v>
      </c>
      <c r="AZ29" s="540">
        <f>AW29</f>
        <v>0</v>
      </c>
      <c r="BA29" s="493" t="str">
        <f>IF(O30="2回入金","92",IF(O30="1回入金","91",""))</f>
        <v>92</v>
      </c>
      <c r="BB29" s="541" t="str">
        <f>AZ3</f>
        <v>14</v>
      </c>
      <c r="BC29" s="541" t="s">
        <v>1897</v>
      </c>
      <c r="BD29" s="493">
        <f>ROW(C30)</f>
        <v>30</v>
      </c>
      <c r="BE29" s="539">
        <v>1</v>
      </c>
      <c r="BF29" s="20" t="str">
        <f>BR29&amp;BC29&amp;BE29</f>
        <v>108108011</v>
      </c>
      <c r="BG29" s="542"/>
      <c r="BH29" s="539"/>
      <c r="BI29" s="470">
        <v>10801</v>
      </c>
      <c r="BJ29" s="470">
        <f>IF(L30=$BC$2,1,0)</f>
        <v>1</v>
      </c>
      <c r="BK29" s="539">
        <f>AZ29</f>
        <v>0</v>
      </c>
      <c r="BL29" s="2130" t="str">
        <f ca="1">IF($AW29=0,"",INDIRECT(ADDRESS($BD29,BL$8)))</f>
        <v/>
      </c>
      <c r="BM29" s="2130" t="str">
        <f ca="1">IF($AW29=0,"",INDIRECT(ADDRESS($BD29,BM$8)))</f>
        <v/>
      </c>
      <c r="BN29" s="494" t="str">
        <f t="shared" ca="1" si="11"/>
        <v/>
      </c>
      <c r="BO29" s="494" t="str">
        <f t="shared" ca="1" si="11"/>
        <v/>
      </c>
      <c r="BP29" s="491" t="str">
        <f t="shared" ca="1" si="11"/>
        <v/>
      </c>
      <c r="BQ29" s="539"/>
      <c r="BR29" s="470">
        <v>108</v>
      </c>
      <c r="BU29" s="24"/>
      <c r="BV29" s="24"/>
      <c r="BW29" s="24"/>
      <c r="BX29" s="24"/>
      <c r="BY29" s="24"/>
      <c r="BZ29" s="722" t="s">
        <v>1318</v>
      </c>
      <c r="CA29" s="723" t="str">
        <f t="shared" si="0"/>
        <v>1206228</v>
      </c>
      <c r="CB29" s="724" t="s">
        <v>669</v>
      </c>
      <c r="CD29" s="1337"/>
      <c r="CE29" s="1337"/>
      <c r="CF29" s="1337"/>
      <c r="CG29" s="34"/>
      <c r="CH29" s="65" t="s">
        <v>881</v>
      </c>
      <c r="CI29" s="65" t="s">
        <v>19</v>
      </c>
      <c r="CJ29" s="65">
        <v>10</v>
      </c>
      <c r="CK29" s="65" t="s">
        <v>216</v>
      </c>
      <c r="CL29" s="65" t="s">
        <v>90</v>
      </c>
      <c r="CM29" s="65"/>
      <c r="CN29" s="65"/>
      <c r="CO29" s="66" t="s">
        <v>882</v>
      </c>
      <c r="CP29" s="78" t="str">
        <f>ASC(記入シート1!X43)</f>
        <v/>
      </c>
      <c r="CQ29" s="10"/>
      <c r="CR29" s="68"/>
      <c r="CS29" s="68"/>
      <c r="CT29" s="68"/>
      <c r="CU29" s="281"/>
      <c r="CV29" s="60">
        <f t="shared" si="1"/>
        <v>0</v>
      </c>
      <c r="CW29" s="45" t="s">
        <v>5</v>
      </c>
      <c r="CX29" s="45" t="s">
        <v>709</v>
      </c>
      <c r="CY29" s="53" t="s">
        <v>738</v>
      </c>
      <c r="CZ29" s="54" t="s">
        <v>343</v>
      </c>
      <c r="DA29" s="53" t="s">
        <v>393</v>
      </c>
      <c r="DB29" s="45" t="str">
        <f t="shared" si="2"/>
        <v>001</v>
      </c>
      <c r="DC29" s="108" t="s">
        <v>246</v>
      </c>
      <c r="DD29" s="131"/>
      <c r="DE29" s="90"/>
      <c r="DF29" s="90"/>
      <c r="DG29" s="90"/>
      <c r="DH29" s="543" t="s">
        <v>891</v>
      </c>
      <c r="DI29" s="547" t="s">
        <v>1907</v>
      </c>
      <c r="DJ29" s="51" t="s">
        <v>624</v>
      </c>
      <c r="DK29" s="101" t="str">
        <f t="shared" si="4"/>
        <v>106242YU</v>
      </c>
      <c r="DL29" s="105" t="s">
        <v>3644</v>
      </c>
      <c r="DM29" s="105" t="s">
        <v>1936</v>
      </c>
      <c r="DN29" s="299">
        <f>IF(AV110=TRUE,1,0)</f>
        <v>0</v>
      </c>
      <c r="DO29" s="27"/>
      <c r="DP29" s="452" t="s">
        <v>1269</v>
      </c>
      <c r="DQ29" s="452" t="s">
        <v>1149</v>
      </c>
      <c r="DR29" s="452" t="s">
        <v>1112</v>
      </c>
      <c r="DS29" s="452" t="s">
        <v>1276</v>
      </c>
      <c r="DT29" s="457" t="s">
        <v>1282</v>
      </c>
      <c r="DU29" s="459"/>
      <c r="DV29" s="34"/>
      <c r="DX29" s="115"/>
      <c r="DY29" s="115"/>
    </row>
    <row r="30" spans="1:129" ht="19.5" customHeight="1">
      <c r="A30" s="210"/>
      <c r="B30" s="249"/>
      <c r="C30" s="2129" t="s">
        <v>1401</v>
      </c>
      <c r="D30" s="2027"/>
      <c r="E30" s="2027"/>
      <c r="F30" s="2027"/>
      <c r="G30" s="2027"/>
      <c r="H30" s="2027"/>
      <c r="I30" s="2027"/>
      <c r="J30" s="2027"/>
      <c r="K30" s="2028"/>
      <c r="L30" s="3125" t="s">
        <v>642</v>
      </c>
      <c r="M30" s="2074"/>
      <c r="N30" s="2075"/>
      <c r="O30" s="3180" t="s">
        <v>1071</v>
      </c>
      <c r="P30" s="3180"/>
      <c r="Q30" s="3165">
        <v>0</v>
      </c>
      <c r="R30" s="3165"/>
      <c r="S30" s="3165"/>
      <c r="T30" s="3165"/>
      <c r="U30" s="3165">
        <v>0</v>
      </c>
      <c r="V30" s="3165"/>
      <c r="W30" s="3165"/>
      <c r="X30" s="3165"/>
      <c r="Y30" s="2118">
        <v>2.9000000000000001E-2</v>
      </c>
      <c r="Z30" s="2118"/>
      <c r="AA30" s="2118"/>
      <c r="AB30" s="2118"/>
      <c r="AC30" s="2118">
        <v>0</v>
      </c>
      <c r="AD30" s="2118"/>
      <c r="AE30" s="2118"/>
      <c r="AF30" s="2118"/>
      <c r="AG30" s="2168">
        <v>0</v>
      </c>
      <c r="AH30" s="2168"/>
      <c r="AI30" s="2168"/>
      <c r="AJ30" s="2168"/>
      <c r="AK30" s="2200" t="s">
        <v>5522</v>
      </c>
      <c r="AL30" s="2201"/>
      <c r="AM30" s="2201"/>
      <c r="AN30" s="1921" t="s">
        <v>3625</v>
      </c>
      <c r="AO30" s="1921"/>
      <c r="AP30" s="1920" t="s">
        <v>5128</v>
      </c>
      <c r="AQ30" s="1920"/>
      <c r="AR30" s="1920"/>
      <c r="AS30" s="1921" t="s">
        <v>3652</v>
      </c>
      <c r="AT30" s="1922"/>
      <c r="AU30" s="234"/>
      <c r="AV30" s="488" t="b">
        <v>0</v>
      </c>
      <c r="AW30" s="490">
        <f>AW29</f>
        <v>0</v>
      </c>
      <c r="AX30" s="490" t="s">
        <v>3816</v>
      </c>
      <c r="AY30" s="490"/>
      <c r="AZ30" s="490"/>
      <c r="BA30" s="470"/>
      <c r="BB30" s="470"/>
      <c r="BC30" s="496" t="s">
        <v>1898</v>
      </c>
      <c r="BD30" s="493">
        <f>BD29</f>
        <v>30</v>
      </c>
      <c r="BE30" s="470">
        <v>2</v>
      </c>
      <c r="BF30" s="20" t="str">
        <f>BR30&amp;BC30&amp;BE30</f>
        <v>108108022</v>
      </c>
      <c r="BG30" s="470"/>
      <c r="BH30" s="470"/>
      <c r="BI30" s="470">
        <v>10801</v>
      </c>
      <c r="BJ30" s="470">
        <f>IF(L30=$BC$2,1,0)</f>
        <v>1</v>
      </c>
      <c r="BK30" s="470">
        <f>AZ29</f>
        <v>0</v>
      </c>
      <c r="BL30" s="2131"/>
      <c r="BM30" s="2131"/>
      <c r="BN30" s="494" t="str">
        <f t="shared" ca="1" si="11"/>
        <v/>
      </c>
      <c r="BO30" s="494" t="str">
        <f t="shared" ca="1" si="11"/>
        <v/>
      </c>
      <c r="BP30" s="491" t="str">
        <f t="shared" ca="1" si="11"/>
        <v/>
      </c>
      <c r="BQ30" s="539"/>
      <c r="BR30" s="470">
        <v>108</v>
      </c>
      <c r="BU30" s="24"/>
      <c r="BV30" s="24"/>
      <c r="BW30" s="24"/>
      <c r="BX30" s="24"/>
      <c r="BY30" s="24"/>
      <c r="BZ30" s="722" t="s">
        <v>1319</v>
      </c>
      <c r="CA30" s="723" t="str">
        <f t="shared" si="0"/>
        <v>1206333</v>
      </c>
      <c r="CB30" s="724" t="s">
        <v>670</v>
      </c>
      <c r="CD30" s="1337"/>
      <c r="CE30" s="1337"/>
      <c r="CF30" s="1337"/>
      <c r="CG30" s="34"/>
      <c r="CH30" s="65" t="s">
        <v>245</v>
      </c>
      <c r="CI30" s="65" t="s">
        <v>22</v>
      </c>
      <c r="CJ30" s="65">
        <v>40</v>
      </c>
      <c r="CK30" s="65" t="s">
        <v>216</v>
      </c>
      <c r="CL30" s="65" t="s">
        <v>90</v>
      </c>
      <c r="CM30" s="65"/>
      <c r="CN30" s="65"/>
      <c r="CO30" s="66" t="s">
        <v>244</v>
      </c>
      <c r="CP30" s="78" t="str">
        <f>ASC(SUBSTITUTE(SUBSTITUTE(SUBSTITUTE(SUBSTITUTE(記入シート1!I48,"　","")," ",""),"ヴ","ウﾞ"),"・",""))&amp;" "&amp;ASC(SUBSTITUTE(SUBSTITUTE(SUBSTITUTE(SUBSTITUTE(記入シート1!O48,"　","")," ",""),"ヴ","ウﾞ"),"・",""))</f>
        <v xml:space="preserve"> </v>
      </c>
      <c r="CQ30" s="10"/>
      <c r="CR30" s="68"/>
      <c r="CS30" s="68"/>
      <c r="CT30" s="68"/>
      <c r="CU30" s="281"/>
      <c r="CV30" s="60">
        <f t="shared" si="1"/>
        <v>0</v>
      </c>
      <c r="CW30" s="45" t="s">
        <v>721</v>
      </c>
      <c r="CX30" s="45"/>
      <c r="CY30" s="53"/>
      <c r="CZ30" s="54"/>
      <c r="DA30" s="53"/>
      <c r="DB30" s="45" t="str">
        <f t="shared" si="2"/>
        <v>001</v>
      </c>
      <c r="DC30" s="108" t="s">
        <v>243</v>
      </c>
      <c r="DD30" s="131"/>
      <c r="DE30" s="90"/>
      <c r="DF30" s="90"/>
      <c r="DG30" s="90"/>
      <c r="DH30" s="543" t="s">
        <v>891</v>
      </c>
      <c r="DI30" s="547" t="s">
        <v>1908</v>
      </c>
      <c r="DJ30" s="51" t="s">
        <v>624</v>
      </c>
      <c r="DK30" s="101" t="str">
        <f t="shared" si="4"/>
        <v>106242YV</v>
      </c>
      <c r="DL30" s="105" t="s">
        <v>3644</v>
      </c>
      <c r="DM30" s="105" t="s">
        <v>1937</v>
      </c>
      <c r="DN30" s="299">
        <f>IF(AV111=TRUE,1,0)</f>
        <v>0</v>
      </c>
      <c r="DO30" s="27"/>
      <c r="DP30" s="452" t="s">
        <v>1269</v>
      </c>
      <c r="DQ30" s="452" t="s">
        <v>1150</v>
      </c>
      <c r="DR30" s="452" t="s">
        <v>1252</v>
      </c>
      <c r="DS30" s="452" t="s">
        <v>1278</v>
      </c>
      <c r="DT30" s="457" t="s">
        <v>1283</v>
      </c>
      <c r="DU30" s="459"/>
      <c r="DV30" s="34"/>
      <c r="DX30" s="115"/>
      <c r="DY30" s="115"/>
    </row>
    <row r="31" spans="1:129" ht="19.5" customHeight="1" thickBot="1">
      <c r="A31" s="447"/>
      <c r="B31" s="249"/>
      <c r="C31" s="2409" t="s">
        <v>1971</v>
      </c>
      <c r="D31" s="2410"/>
      <c r="E31" s="2410"/>
      <c r="F31" s="2410"/>
      <c r="G31" s="2410"/>
      <c r="H31" s="2410"/>
      <c r="I31" s="2411"/>
      <c r="J31" s="961"/>
      <c r="K31" s="962"/>
      <c r="L31" s="2294" t="s">
        <v>642</v>
      </c>
      <c r="M31" s="2295"/>
      <c r="N31" s="2296"/>
      <c r="O31" s="3173" t="s">
        <v>1071</v>
      </c>
      <c r="P31" s="3173"/>
      <c r="Q31" s="3069">
        <v>0</v>
      </c>
      <c r="R31" s="3069"/>
      <c r="S31" s="3069"/>
      <c r="T31" s="3069"/>
      <c r="U31" s="3069">
        <v>0</v>
      </c>
      <c r="V31" s="3069"/>
      <c r="W31" s="3069"/>
      <c r="X31" s="3069"/>
      <c r="Y31" s="1997">
        <v>2.9000000000000001E-2</v>
      </c>
      <c r="Z31" s="1997"/>
      <c r="AA31" s="1997"/>
      <c r="AB31" s="1997"/>
      <c r="AC31" s="1997">
        <v>0</v>
      </c>
      <c r="AD31" s="1997"/>
      <c r="AE31" s="1997"/>
      <c r="AF31" s="1997"/>
      <c r="AG31" s="1996">
        <v>0</v>
      </c>
      <c r="AH31" s="1996"/>
      <c r="AI31" s="1996"/>
      <c r="AJ31" s="1996"/>
      <c r="AK31" s="3138" t="s">
        <v>5522</v>
      </c>
      <c r="AL31" s="3139"/>
      <c r="AM31" s="3139"/>
      <c r="AN31" s="3046" t="s">
        <v>5694</v>
      </c>
      <c r="AO31" s="3046"/>
      <c r="AP31" s="3045" t="s">
        <v>5128</v>
      </c>
      <c r="AQ31" s="3045"/>
      <c r="AR31" s="3045"/>
      <c r="AS31" s="3046" t="s">
        <v>3652</v>
      </c>
      <c r="AT31" s="3047"/>
      <c r="AU31" s="234"/>
      <c r="AV31" s="488" t="b">
        <v>0</v>
      </c>
      <c r="AW31" s="490">
        <f>AV31*1</f>
        <v>0</v>
      </c>
      <c r="AX31" s="535" t="s">
        <v>1976</v>
      </c>
      <c r="AY31" s="540" t="str">
        <f>TEXT(BR31,"000")</f>
        <v>109</v>
      </c>
      <c r="AZ31" s="540">
        <f>AW31</f>
        <v>0</v>
      </c>
      <c r="BA31" s="493" t="str">
        <f>IF(O31="2回入金","92",IF(O31="1回入金","91",""))</f>
        <v>92</v>
      </c>
      <c r="BB31" s="496" t="str">
        <f>AZ3</f>
        <v>14</v>
      </c>
      <c r="BC31" s="496" t="s">
        <v>1977</v>
      </c>
      <c r="BD31" s="493">
        <f>ROW(C31)</f>
        <v>31</v>
      </c>
      <c r="BE31" s="493">
        <v>1</v>
      </c>
      <c r="BF31" s="20" t="str">
        <f t="shared" ref="BF31:BF36" si="12">BR31&amp;BC31&amp;BE31</f>
        <v>109109011</v>
      </c>
      <c r="BG31" s="611"/>
      <c r="BH31" s="611"/>
      <c r="BI31" s="1037" t="str">
        <f>IF(AV2=3,"10902","10901")</f>
        <v>10901</v>
      </c>
      <c r="BJ31" s="470">
        <f>IF(L31=$BC$2,1,0)</f>
        <v>1</v>
      </c>
      <c r="BK31" s="539">
        <f>AZ31</f>
        <v>0</v>
      </c>
      <c r="BL31" s="2130" t="str">
        <f ca="1">IF($AW31=0,"",INDIRECT(ADDRESS($BD31,BL$8)))</f>
        <v/>
      </c>
      <c r="BM31" s="2130" t="str">
        <f ca="1">IF($AW31=0,"",INDIRECT(ADDRESS($BD31,BM$8)))</f>
        <v/>
      </c>
      <c r="BN31" s="494" t="str">
        <f t="shared" ca="1" si="11"/>
        <v/>
      </c>
      <c r="BO31" s="494" t="str">
        <f t="shared" ca="1" si="11"/>
        <v/>
      </c>
      <c r="BP31" s="491" t="str">
        <f t="shared" ca="1" si="11"/>
        <v/>
      </c>
      <c r="BQ31" s="612"/>
      <c r="BR31" s="470">
        <v>109</v>
      </c>
      <c r="BU31" s="24"/>
      <c r="BV31" s="24"/>
      <c r="BW31" s="24"/>
      <c r="BX31" s="24"/>
      <c r="BY31" s="24"/>
      <c r="BZ31" s="722" t="s">
        <v>1320</v>
      </c>
      <c r="CA31" s="723" t="str">
        <f t="shared" si="0"/>
        <v>1206897</v>
      </c>
      <c r="CB31" s="724" t="s">
        <v>671</v>
      </c>
      <c r="CD31" s="1337"/>
      <c r="CE31" s="1337"/>
      <c r="CF31" s="1337"/>
      <c r="CG31" s="34"/>
      <c r="CH31" s="65" t="s">
        <v>248</v>
      </c>
      <c r="CI31" s="65" t="s">
        <v>21</v>
      </c>
      <c r="CJ31" s="65">
        <v>40</v>
      </c>
      <c r="CK31" s="65" t="s">
        <v>216</v>
      </c>
      <c r="CL31" s="65" t="s">
        <v>90</v>
      </c>
      <c r="CM31" s="65"/>
      <c r="CN31" s="65"/>
      <c r="CO31" s="66" t="s">
        <v>247</v>
      </c>
      <c r="CP31" s="78" t="str">
        <f>T(SUBSTITUTE(SUBSTITUTE(記入シート1!I49,"　","")," ",""))&amp;"　"&amp;T(SUBSTITUTE(SUBSTITUTE(記入シート1!O49,"　","")," ",""))</f>
        <v>　</v>
      </c>
      <c r="CQ31" s="10"/>
      <c r="CR31" s="68"/>
      <c r="CS31" s="68"/>
      <c r="CT31" s="68"/>
      <c r="CU31" s="281"/>
      <c r="CV31" s="60">
        <f t="shared" si="1"/>
        <v>0</v>
      </c>
      <c r="CW31" s="45" t="s">
        <v>5</v>
      </c>
      <c r="CX31" s="45" t="s">
        <v>712</v>
      </c>
      <c r="CY31" s="53" t="s">
        <v>739</v>
      </c>
      <c r="CZ31" s="54" t="s">
        <v>343</v>
      </c>
      <c r="DA31" s="53"/>
      <c r="DB31" s="45" t="str">
        <f t="shared" si="2"/>
        <v>001</v>
      </c>
      <c r="DC31" s="108" t="s">
        <v>241</v>
      </c>
      <c r="DD31" s="131"/>
      <c r="DE31" s="90"/>
      <c r="DF31" s="90"/>
      <c r="DG31" s="90"/>
      <c r="DH31" s="543" t="s">
        <v>891</v>
      </c>
      <c r="DI31" s="547" t="s">
        <v>1909</v>
      </c>
      <c r="DJ31" s="544"/>
      <c r="DK31" s="101" t="str">
        <f t="shared" si="4"/>
        <v>106242YW</v>
      </c>
      <c r="DL31" s="105" t="s">
        <v>3644</v>
      </c>
      <c r="DM31" s="105" t="s">
        <v>1938</v>
      </c>
      <c r="DN31" s="454" t="str">
        <f>ASC(AA136)</f>
        <v>0</v>
      </c>
      <c r="DO31" s="27"/>
      <c r="DP31" s="452" t="s">
        <v>1269</v>
      </c>
      <c r="DQ31" s="452" t="s">
        <v>1151</v>
      </c>
      <c r="DR31" s="452" t="s">
        <v>1112</v>
      </c>
      <c r="DS31" s="452" t="s">
        <v>1276</v>
      </c>
      <c r="DT31" s="457" t="s">
        <v>1284</v>
      </c>
      <c r="DU31" s="459"/>
      <c r="DV31" s="34"/>
      <c r="DX31" s="115"/>
      <c r="DY31" s="115"/>
    </row>
    <row r="32" spans="1:129" ht="19.5" customHeight="1" thickTop="1" thickBot="1">
      <c r="A32" s="447"/>
      <c r="B32" s="249"/>
      <c r="C32" s="2432"/>
      <c r="D32" s="2433"/>
      <c r="E32" s="2433"/>
      <c r="F32" s="2433"/>
      <c r="G32" s="2433"/>
      <c r="H32" s="2433"/>
      <c r="I32" s="2434"/>
      <c r="J32" s="3190" t="s">
        <v>5695</v>
      </c>
      <c r="K32" s="3191"/>
      <c r="L32" s="2368"/>
      <c r="M32" s="2368"/>
      <c r="N32" s="2369"/>
      <c r="O32" s="3192" t="s">
        <v>5696</v>
      </c>
      <c r="P32" s="3193"/>
      <c r="Q32" s="3193"/>
      <c r="R32" s="3193"/>
      <c r="S32" s="3193"/>
      <c r="T32" s="3193"/>
      <c r="U32" s="1367"/>
      <c r="V32" s="1368"/>
      <c r="W32" s="1368"/>
      <c r="X32" s="1368"/>
      <c r="Y32" s="1369"/>
      <c r="Z32" s="1369"/>
      <c r="AA32" s="1369"/>
      <c r="AB32" s="1369"/>
      <c r="AC32" s="1369"/>
      <c r="AD32" s="1369"/>
      <c r="AE32" s="1369"/>
      <c r="AF32" s="1369"/>
      <c r="AG32" s="1370"/>
      <c r="AH32" s="1370"/>
      <c r="AI32" s="1370"/>
      <c r="AJ32" s="1370"/>
      <c r="AK32" s="1371"/>
      <c r="AL32" s="1371"/>
      <c r="AM32" s="1371"/>
      <c r="AN32" s="1372"/>
      <c r="AO32" s="1372"/>
      <c r="AP32" s="1372"/>
      <c r="AQ32" s="1372"/>
      <c r="AR32" s="1372"/>
      <c r="AS32" s="1372"/>
      <c r="AT32" s="1373"/>
      <c r="AU32" s="234"/>
      <c r="AV32" s="488" t="b">
        <v>0</v>
      </c>
      <c r="AW32" s="490">
        <f>AW31</f>
        <v>0</v>
      </c>
      <c r="AX32" s="535" t="s">
        <v>3622</v>
      </c>
      <c r="AY32" s="610"/>
      <c r="AZ32" s="610"/>
      <c r="BA32" s="470"/>
      <c r="BB32" s="470"/>
      <c r="BC32" s="496" t="s">
        <v>1978</v>
      </c>
      <c r="BD32" s="493">
        <f>BD31</f>
        <v>31</v>
      </c>
      <c r="BE32" s="470">
        <v>2</v>
      </c>
      <c r="BF32" s="20" t="str">
        <f t="shared" si="12"/>
        <v>109109022</v>
      </c>
      <c r="BG32" s="611"/>
      <c r="BH32" s="611"/>
      <c r="BI32" s="1037" t="str">
        <f>IF(AV2=3,"10902","10901")</f>
        <v>10901</v>
      </c>
      <c r="BJ32" s="470">
        <f>IF(L31=$BC$2,1,0)</f>
        <v>1</v>
      </c>
      <c r="BK32" s="470">
        <f>AZ31</f>
        <v>0</v>
      </c>
      <c r="BL32" s="2131"/>
      <c r="BM32" s="2131"/>
      <c r="BN32" s="494" t="str">
        <f t="shared" ca="1" si="11"/>
        <v/>
      </c>
      <c r="BO32" s="494" t="str">
        <f t="shared" ca="1" si="11"/>
        <v/>
      </c>
      <c r="BP32" s="491" t="str">
        <f t="shared" ca="1" si="11"/>
        <v/>
      </c>
      <c r="BQ32" s="612"/>
      <c r="BR32" s="470">
        <v>109</v>
      </c>
      <c r="BU32" s="24"/>
      <c r="BV32" s="24"/>
      <c r="BW32" s="24"/>
      <c r="BX32" s="24"/>
      <c r="BY32" s="24"/>
      <c r="BZ32" s="722" t="s">
        <v>1357</v>
      </c>
      <c r="CA32" s="723" t="str">
        <f t="shared" si="0"/>
        <v>1206989</v>
      </c>
      <c r="CB32" s="724" t="s">
        <v>672</v>
      </c>
      <c r="CD32" s="1337"/>
      <c r="CE32" s="1337"/>
      <c r="CF32" s="1337"/>
      <c r="CG32" s="34"/>
      <c r="CH32" s="65" t="s">
        <v>242</v>
      </c>
      <c r="CI32" s="65" t="s">
        <v>21</v>
      </c>
      <c r="CJ32" s="65">
        <v>20</v>
      </c>
      <c r="CK32" s="65" t="s">
        <v>216</v>
      </c>
      <c r="CL32" s="65" t="s">
        <v>90</v>
      </c>
      <c r="CM32" s="65"/>
      <c r="CN32" s="65"/>
      <c r="CO32" s="66" t="s">
        <v>394</v>
      </c>
      <c r="CP32" s="78" t="str">
        <f>T(記入シート1!X48)</f>
        <v/>
      </c>
      <c r="CQ32" s="10"/>
      <c r="CR32" s="68"/>
      <c r="CS32" s="68"/>
      <c r="CT32" s="68"/>
      <c r="CU32" s="68"/>
      <c r="CV32" s="60">
        <f t="shared" si="1"/>
        <v>0</v>
      </c>
      <c r="CW32" s="45" t="s">
        <v>239</v>
      </c>
      <c r="CX32" s="45" t="s">
        <v>712</v>
      </c>
      <c r="CY32" s="290"/>
      <c r="CZ32" s="53" t="s">
        <v>359</v>
      </c>
      <c r="DA32" s="53"/>
      <c r="DB32" s="45" t="str">
        <f t="shared" si="2"/>
        <v>001</v>
      </c>
      <c r="DC32" s="108" t="s">
        <v>240</v>
      </c>
      <c r="DD32" s="131"/>
      <c r="DE32" s="90"/>
      <c r="DF32" s="90"/>
      <c r="DG32" s="90"/>
      <c r="DH32" s="543" t="s">
        <v>891</v>
      </c>
      <c r="DI32" s="547" t="s">
        <v>3808</v>
      </c>
      <c r="DJ32" s="544"/>
      <c r="DK32" s="101" t="str">
        <f t="shared" si="4"/>
        <v>106242YX</v>
      </c>
      <c r="DL32" s="105" t="s">
        <v>3644</v>
      </c>
      <c r="DM32" s="105" t="s">
        <v>1939</v>
      </c>
      <c r="DN32" s="459"/>
      <c r="DO32" s="27"/>
      <c r="DP32" s="452" t="s">
        <v>1269</v>
      </c>
      <c r="DQ32" s="452" t="s">
        <v>1152</v>
      </c>
      <c r="DR32" s="452" t="s">
        <v>1252</v>
      </c>
      <c r="DS32" s="452" t="s">
        <v>1278</v>
      </c>
      <c r="DT32" s="457" t="s">
        <v>1285</v>
      </c>
      <c r="DU32" s="459"/>
      <c r="DV32" s="34"/>
      <c r="DX32" s="115"/>
      <c r="DY32" s="115"/>
    </row>
    <row r="33" spans="1:129" ht="19.5" customHeight="1" thickTop="1">
      <c r="A33" s="447"/>
      <c r="B33" s="249"/>
      <c r="C33" s="2097" t="s">
        <v>5690</v>
      </c>
      <c r="D33" s="2098"/>
      <c r="E33" s="2098"/>
      <c r="F33" s="2098"/>
      <c r="G33" s="2098"/>
      <c r="H33" s="2098"/>
      <c r="I33" s="2099"/>
      <c r="J33" s="949"/>
      <c r="K33" s="950"/>
      <c r="L33" s="3174" t="s">
        <v>642</v>
      </c>
      <c r="M33" s="3175"/>
      <c r="N33" s="3176"/>
      <c r="O33" s="3133" t="s">
        <v>1071</v>
      </c>
      <c r="P33" s="3133"/>
      <c r="Q33" s="3132">
        <v>0</v>
      </c>
      <c r="R33" s="3132"/>
      <c r="S33" s="3132"/>
      <c r="T33" s="3132"/>
      <c r="U33" s="3132">
        <v>0</v>
      </c>
      <c r="V33" s="3132"/>
      <c r="W33" s="3132"/>
      <c r="X33" s="3132"/>
      <c r="Y33" s="3109">
        <v>2.9000000000000001E-2</v>
      </c>
      <c r="Z33" s="3109"/>
      <c r="AA33" s="3109"/>
      <c r="AB33" s="3109"/>
      <c r="AC33" s="3109">
        <v>0</v>
      </c>
      <c r="AD33" s="3109"/>
      <c r="AE33" s="3109"/>
      <c r="AF33" s="3109"/>
      <c r="AG33" s="3043">
        <v>0</v>
      </c>
      <c r="AH33" s="3043"/>
      <c r="AI33" s="3043"/>
      <c r="AJ33" s="3043"/>
      <c r="AK33" s="3110" t="s">
        <v>5522</v>
      </c>
      <c r="AL33" s="3111"/>
      <c r="AM33" s="3111"/>
      <c r="AN33" s="3135" t="s">
        <v>5524</v>
      </c>
      <c r="AO33" s="3135"/>
      <c r="AP33" s="3108" t="s">
        <v>5128</v>
      </c>
      <c r="AQ33" s="3108"/>
      <c r="AR33" s="3108"/>
      <c r="AS33" s="3135" t="s">
        <v>3652</v>
      </c>
      <c r="AT33" s="3140"/>
      <c r="AU33" s="234"/>
      <c r="AV33" s="488" t="b">
        <v>0</v>
      </c>
      <c r="AW33" s="490">
        <f>AV32*1</f>
        <v>0</v>
      </c>
      <c r="AX33" s="535" t="s">
        <v>1972</v>
      </c>
      <c r="AY33" s="540" t="str">
        <f>TEXT(BR33,"000")</f>
        <v>110</v>
      </c>
      <c r="AZ33" s="540">
        <f>AW33</f>
        <v>0</v>
      </c>
      <c r="BA33" s="493" t="str">
        <f>IF(O33="2回入金","92",IF(O33="1回入金","91",""))</f>
        <v>92</v>
      </c>
      <c r="BB33" s="496" t="str">
        <f>AZ3</f>
        <v>14</v>
      </c>
      <c r="BC33" s="496" t="s">
        <v>1979</v>
      </c>
      <c r="BD33" s="493">
        <f>ROW(C33)</f>
        <v>33</v>
      </c>
      <c r="BE33" s="493">
        <v>1</v>
      </c>
      <c r="BF33" s="20" t="str">
        <f t="shared" si="12"/>
        <v>110110011</v>
      </c>
      <c r="BG33" s="611"/>
      <c r="BH33" s="611"/>
      <c r="BI33" s="1037" t="str">
        <f>IF(AV2=3,"11002","11001")</f>
        <v>11001</v>
      </c>
      <c r="BJ33" s="470">
        <f>IF(L32=$BC$2,1,0)</f>
        <v>0</v>
      </c>
      <c r="BK33" s="539">
        <f>AZ33</f>
        <v>0</v>
      </c>
      <c r="BL33" s="2130" t="str">
        <f ca="1">IF($AW33=0,"",INDIRECT(ADDRESS($BD33,BL$8)))</f>
        <v/>
      </c>
      <c r="BM33" s="2130" t="str">
        <f ca="1">IF($AW33=0,"",INDIRECT(ADDRESS($BD33,BM$8)))</f>
        <v/>
      </c>
      <c r="BN33" s="494" t="str">
        <f t="shared" ca="1" si="11"/>
        <v/>
      </c>
      <c r="BO33" s="494" t="str">
        <f t="shared" ca="1" si="11"/>
        <v/>
      </c>
      <c r="BP33" s="491" t="str">
        <f t="shared" ca="1" si="11"/>
        <v/>
      </c>
      <c r="BQ33" s="612"/>
      <c r="BR33" s="470">
        <v>110</v>
      </c>
      <c r="BU33" s="24"/>
      <c r="BV33" s="24"/>
      <c r="BW33" s="24"/>
      <c r="BX33" s="24"/>
      <c r="BY33" s="24"/>
      <c r="BZ33" s="722" t="s">
        <v>1358</v>
      </c>
      <c r="CA33" s="723" t="str">
        <f t="shared" si="0"/>
        <v>1207224</v>
      </c>
      <c r="CB33" s="724" t="s">
        <v>673</v>
      </c>
      <c r="CD33" s="1337"/>
      <c r="CE33" s="1337"/>
      <c r="CF33" s="1337"/>
      <c r="CG33" s="34"/>
      <c r="CH33" s="65" t="s">
        <v>395</v>
      </c>
      <c r="CI33" s="65" t="s">
        <v>63</v>
      </c>
      <c r="CJ33" s="65">
        <v>1</v>
      </c>
      <c r="CK33" s="65" t="s">
        <v>216</v>
      </c>
      <c r="CL33" s="65" t="s">
        <v>396</v>
      </c>
      <c r="CM33" s="65" t="s">
        <v>593</v>
      </c>
      <c r="CN33" s="65"/>
      <c r="CO33" s="66" t="s">
        <v>397</v>
      </c>
      <c r="CP33" s="78">
        <f>記入シート1!AV48</f>
        <v>0</v>
      </c>
      <c r="CQ33" s="10"/>
      <c r="CR33" s="68"/>
      <c r="CS33" s="68"/>
      <c r="CT33" s="68"/>
      <c r="CU33" s="68"/>
      <c r="CV33" s="60">
        <f t="shared" si="1"/>
        <v>0</v>
      </c>
      <c r="CW33" s="45" t="s">
        <v>236</v>
      </c>
      <c r="CX33" s="45" t="s">
        <v>712</v>
      </c>
      <c r="CY33" s="290"/>
      <c r="CZ33" s="53" t="s">
        <v>359</v>
      </c>
      <c r="DA33" s="53"/>
      <c r="DB33" s="45" t="str">
        <f t="shared" si="2"/>
        <v>001</v>
      </c>
      <c r="DC33" s="108" t="s">
        <v>237</v>
      </c>
      <c r="DD33" s="131"/>
      <c r="DE33" s="90"/>
      <c r="DF33" s="90"/>
      <c r="DG33" s="90"/>
      <c r="DH33" s="543" t="s">
        <v>891</v>
      </c>
      <c r="DI33" s="547" t="s">
        <v>3592</v>
      </c>
      <c r="DJ33" s="544"/>
      <c r="DK33" s="101" t="str">
        <f t="shared" si="4"/>
        <v>106242YY</v>
      </c>
      <c r="DL33" s="105" t="s">
        <v>3644</v>
      </c>
      <c r="DM33" s="105" t="s">
        <v>1940</v>
      </c>
      <c r="DN33" s="459"/>
      <c r="DO33" s="27"/>
      <c r="DP33" s="452" t="s">
        <v>1269</v>
      </c>
      <c r="DQ33" s="452" t="s">
        <v>1153</v>
      </c>
      <c r="DR33" s="452" t="s">
        <v>1273</v>
      </c>
      <c r="DS33" s="452" t="s">
        <v>1286</v>
      </c>
      <c r="DT33" s="457" t="s">
        <v>1287</v>
      </c>
      <c r="DU33" s="458"/>
      <c r="DV33" s="34"/>
      <c r="DX33" s="115"/>
      <c r="DY33" s="115"/>
    </row>
    <row r="34" spans="1:129" ht="19.5" customHeight="1">
      <c r="A34" s="447"/>
      <c r="B34" s="249"/>
      <c r="C34" s="3204" t="s">
        <v>1975</v>
      </c>
      <c r="D34" s="3205"/>
      <c r="E34" s="3205"/>
      <c r="F34" s="3205"/>
      <c r="G34" s="3205"/>
      <c r="H34" s="3205"/>
      <c r="I34" s="3206"/>
      <c r="J34" s="1360"/>
      <c r="K34" s="1361"/>
      <c r="L34" s="3207" t="s">
        <v>642</v>
      </c>
      <c r="M34" s="3167"/>
      <c r="N34" s="3168"/>
      <c r="O34" s="3208" t="s">
        <v>1071</v>
      </c>
      <c r="P34" s="3208"/>
      <c r="Q34" s="3123">
        <v>0</v>
      </c>
      <c r="R34" s="3123"/>
      <c r="S34" s="3123"/>
      <c r="T34" s="3123"/>
      <c r="U34" s="3123">
        <v>0</v>
      </c>
      <c r="V34" s="3123"/>
      <c r="W34" s="3123"/>
      <c r="X34" s="3123"/>
      <c r="Y34" s="3044">
        <v>2.9000000000000001E-2</v>
      </c>
      <c r="Z34" s="3044"/>
      <c r="AA34" s="3044"/>
      <c r="AB34" s="3044"/>
      <c r="AC34" s="3044">
        <v>0</v>
      </c>
      <c r="AD34" s="3044"/>
      <c r="AE34" s="3044"/>
      <c r="AF34" s="3044"/>
      <c r="AG34" s="3042">
        <v>0</v>
      </c>
      <c r="AH34" s="3042"/>
      <c r="AI34" s="3042"/>
      <c r="AJ34" s="3042"/>
      <c r="AK34" s="3120" t="s">
        <v>5522</v>
      </c>
      <c r="AL34" s="3121"/>
      <c r="AM34" s="3121"/>
      <c r="AN34" s="3122" t="s">
        <v>4345</v>
      </c>
      <c r="AO34" s="3122"/>
      <c r="AP34" s="3115" t="s">
        <v>3651</v>
      </c>
      <c r="AQ34" s="3115"/>
      <c r="AR34" s="3115"/>
      <c r="AS34" s="3118" t="s">
        <v>3652</v>
      </c>
      <c r="AT34" s="3119"/>
      <c r="AU34" s="234"/>
      <c r="AV34" s="488" t="b">
        <v>0</v>
      </c>
      <c r="AW34" s="490">
        <f>AW33</f>
        <v>0</v>
      </c>
      <c r="AX34" s="535" t="s">
        <v>3623</v>
      </c>
      <c r="AY34" s="610"/>
      <c r="AZ34" s="610"/>
      <c r="BA34" s="470"/>
      <c r="BB34" s="470"/>
      <c r="BC34" s="496" t="s">
        <v>1980</v>
      </c>
      <c r="BD34" s="493">
        <f>BD33</f>
        <v>33</v>
      </c>
      <c r="BE34" s="470">
        <v>2</v>
      </c>
      <c r="BF34" s="20" t="str">
        <f t="shared" si="12"/>
        <v>110110022</v>
      </c>
      <c r="BG34" s="611"/>
      <c r="BH34" s="611"/>
      <c r="BI34" s="1037" t="str">
        <f>IF(AV2=3,"10902","10901")</f>
        <v>10901</v>
      </c>
      <c r="BJ34" s="470">
        <f>IF(L32=$BC$2,1,0)</f>
        <v>0</v>
      </c>
      <c r="BK34" s="470">
        <f>AZ33</f>
        <v>0</v>
      </c>
      <c r="BL34" s="2131"/>
      <c r="BM34" s="2131"/>
      <c r="BN34" s="494" t="str">
        <f t="shared" ca="1" si="11"/>
        <v/>
      </c>
      <c r="BO34" s="494" t="str">
        <f t="shared" ca="1" si="11"/>
        <v/>
      </c>
      <c r="BP34" s="491" t="str">
        <f t="shared" ca="1" si="11"/>
        <v/>
      </c>
      <c r="BQ34" s="612"/>
      <c r="BR34" s="470">
        <v>110</v>
      </c>
      <c r="BU34" s="24"/>
      <c r="BV34" s="24"/>
      <c r="BW34" s="24"/>
      <c r="BX34" s="24"/>
      <c r="BY34" s="24"/>
      <c r="BZ34" s="722" t="s">
        <v>1359</v>
      </c>
      <c r="CA34" s="723" t="str">
        <f t="shared" si="0"/>
        <v>1207256</v>
      </c>
      <c r="CB34" s="724" t="s">
        <v>674</v>
      </c>
      <c r="CD34" s="1337"/>
      <c r="CE34" s="1337"/>
      <c r="CF34" s="1337"/>
      <c r="CG34" s="34"/>
      <c r="CH34" s="65" t="s">
        <v>400</v>
      </c>
      <c r="CI34" s="65" t="s">
        <v>63</v>
      </c>
      <c r="CJ34" s="65">
        <v>8</v>
      </c>
      <c r="CK34" s="65" t="s">
        <v>216</v>
      </c>
      <c r="CL34" s="65" t="s">
        <v>90</v>
      </c>
      <c r="CM34" s="65"/>
      <c r="CN34" s="65"/>
      <c r="CO34" s="66" t="s">
        <v>238</v>
      </c>
      <c r="CP34" s="78" t="str">
        <f>RIGHT("0000"&amp;記入シート1!AI49,4)&amp;RIGHT("00"&amp;記入シート1!AM49,2)&amp;RIGHT("00"&amp;記入シート1!AQ49,2)</f>
        <v>00000000</v>
      </c>
      <c r="CQ34" s="10"/>
      <c r="CR34" s="68"/>
      <c r="CS34" s="68"/>
      <c r="CT34" s="68"/>
      <c r="CU34" s="281"/>
      <c r="CV34" s="60">
        <f t="shared" si="1"/>
        <v>0</v>
      </c>
      <c r="CW34" s="45" t="s">
        <v>722</v>
      </c>
      <c r="CX34" s="45"/>
      <c r="CY34" s="53"/>
      <c r="CZ34" s="54"/>
      <c r="DA34" s="53"/>
      <c r="DB34" s="45" t="str">
        <f t="shared" si="2"/>
        <v>001</v>
      </c>
      <c r="DC34" s="108" t="s">
        <v>234</v>
      </c>
      <c r="DD34" s="45"/>
      <c r="DE34" s="90"/>
      <c r="DF34" s="90"/>
      <c r="DG34" s="90"/>
      <c r="DH34" s="543" t="s">
        <v>891</v>
      </c>
      <c r="DI34" s="547" t="s">
        <v>1985</v>
      </c>
      <c r="DJ34" s="544"/>
      <c r="DK34" s="101" t="str">
        <f t="shared" si="4"/>
        <v>106242YZ</v>
      </c>
      <c r="DL34" s="105" t="s">
        <v>3644</v>
      </c>
      <c r="DM34" s="105" t="s">
        <v>1983</v>
      </c>
      <c r="DN34" s="454">
        <f>IF(AV92=TRUE,1,0)</f>
        <v>0</v>
      </c>
      <c r="DO34" s="27"/>
      <c r="DP34" s="452" t="s">
        <v>1269</v>
      </c>
      <c r="DQ34" s="452" t="s">
        <v>1154</v>
      </c>
      <c r="DR34" s="452" t="s">
        <v>1112</v>
      </c>
      <c r="DS34" s="452" t="s">
        <v>1276</v>
      </c>
      <c r="DT34" s="453" t="s">
        <v>1155</v>
      </c>
      <c r="DU34" s="454">
        <v>1</v>
      </c>
      <c r="DV34" s="34"/>
      <c r="DX34" s="115"/>
      <c r="DY34" s="115"/>
    </row>
    <row r="35" spans="1:129" ht="19.5" customHeight="1" thickBot="1">
      <c r="A35" s="447"/>
      <c r="B35" s="249"/>
      <c r="C35" s="1863" t="s">
        <v>5689</v>
      </c>
      <c r="D35" s="1864"/>
      <c r="E35" s="1864"/>
      <c r="F35" s="1864"/>
      <c r="G35" s="1864"/>
      <c r="H35" s="1864"/>
      <c r="I35" s="1865"/>
      <c r="J35" s="1359"/>
      <c r="K35" s="1089"/>
      <c r="L35" s="3182" t="s">
        <v>642</v>
      </c>
      <c r="M35" s="3183"/>
      <c r="N35" s="3184"/>
      <c r="O35" s="3185" t="s">
        <v>1071</v>
      </c>
      <c r="P35" s="3185"/>
      <c r="Q35" s="3069">
        <v>0</v>
      </c>
      <c r="R35" s="3069"/>
      <c r="S35" s="3069"/>
      <c r="T35" s="3069"/>
      <c r="U35" s="3069">
        <v>0</v>
      </c>
      <c r="V35" s="3069"/>
      <c r="W35" s="3069"/>
      <c r="X35" s="3069"/>
      <c r="Y35" s="1997">
        <v>3.2399999999999998E-2</v>
      </c>
      <c r="Z35" s="1997"/>
      <c r="AA35" s="1997"/>
      <c r="AB35" s="1997"/>
      <c r="AC35" s="1997">
        <v>0</v>
      </c>
      <c r="AD35" s="1997"/>
      <c r="AE35" s="1997"/>
      <c r="AF35" s="1997"/>
      <c r="AG35" s="1996">
        <v>0</v>
      </c>
      <c r="AH35" s="1996"/>
      <c r="AI35" s="1996"/>
      <c r="AJ35" s="1996"/>
      <c r="AK35" s="3186" t="s">
        <v>5691</v>
      </c>
      <c r="AL35" s="3117"/>
      <c r="AM35" s="3117"/>
      <c r="AN35" s="3116" t="s">
        <v>5692</v>
      </c>
      <c r="AO35" s="3116"/>
      <c r="AP35" s="3117" t="s">
        <v>5693</v>
      </c>
      <c r="AQ35" s="3117"/>
      <c r="AR35" s="3117"/>
      <c r="AS35" s="3188" t="s">
        <v>3652</v>
      </c>
      <c r="AT35" s="3189"/>
      <c r="AU35" s="234"/>
      <c r="AV35" s="200"/>
      <c r="AW35" s="490">
        <f>AV33*1</f>
        <v>0</v>
      </c>
      <c r="AX35" s="535" t="s">
        <v>1974</v>
      </c>
      <c r="AY35" s="540" t="str">
        <f>TEXT(BR35,"000")</f>
        <v>111</v>
      </c>
      <c r="AZ35" s="540">
        <f>AW35</f>
        <v>0</v>
      </c>
      <c r="BA35" s="493" t="str">
        <f>IF(O34="2回入金","92",IF(O34="1回入金","91",""))</f>
        <v>92</v>
      </c>
      <c r="BB35" s="496" t="str">
        <f>AZ3</f>
        <v>14</v>
      </c>
      <c r="BC35" s="496" t="s">
        <v>1981</v>
      </c>
      <c r="BD35" s="493">
        <f>ROW(C34)</f>
        <v>34</v>
      </c>
      <c r="BE35" s="493">
        <v>1</v>
      </c>
      <c r="BF35" s="20" t="str">
        <f t="shared" si="12"/>
        <v>111111011</v>
      </c>
      <c r="BG35" s="611"/>
      <c r="BH35" s="611"/>
      <c r="BI35" s="470">
        <v>11101</v>
      </c>
      <c r="BJ35" s="470">
        <f>IF(L33=$BC$2,1,0)</f>
        <v>1</v>
      </c>
      <c r="BK35" s="539">
        <f>AZ35</f>
        <v>0</v>
      </c>
      <c r="BL35" s="2130" t="str">
        <f ca="1">IF($AW35=0,"",INDIRECT(ADDRESS($BD35,BL$8)))</f>
        <v/>
      </c>
      <c r="BM35" s="2130" t="str">
        <f ca="1">IF($AW35=0,"",INDIRECT(ADDRESS($BD35,BM$8)))</f>
        <v/>
      </c>
      <c r="BN35" s="494" t="str">
        <f t="shared" ca="1" si="11"/>
        <v/>
      </c>
      <c r="BO35" s="494" t="str">
        <f t="shared" ca="1" si="11"/>
        <v/>
      </c>
      <c r="BP35" s="491" t="str">
        <f t="shared" ca="1" si="11"/>
        <v/>
      </c>
      <c r="BQ35" s="612"/>
      <c r="BR35" s="470">
        <v>111</v>
      </c>
      <c r="BU35" s="24"/>
      <c r="BV35" s="24"/>
      <c r="BW35" s="24"/>
      <c r="BX35" s="24"/>
      <c r="BY35" s="24"/>
      <c r="BZ35" s="722" t="s">
        <v>1321</v>
      </c>
      <c r="CA35" s="723" t="str">
        <f t="shared" si="0"/>
        <v>1207428</v>
      </c>
      <c r="CB35" s="724" t="s">
        <v>675</v>
      </c>
      <c r="CD35" s="1337"/>
      <c r="CE35" s="1337"/>
      <c r="CF35" s="1337"/>
      <c r="CG35" s="34"/>
      <c r="CH35" s="65" t="s">
        <v>47</v>
      </c>
      <c r="CI35" s="65" t="s">
        <v>22</v>
      </c>
      <c r="CJ35" s="65">
        <v>15</v>
      </c>
      <c r="CK35" s="65" t="s">
        <v>216</v>
      </c>
      <c r="CL35" s="65" t="s">
        <v>90</v>
      </c>
      <c r="CM35" s="65"/>
      <c r="CN35" s="65"/>
      <c r="CO35" s="66" t="s">
        <v>46</v>
      </c>
      <c r="CP35" s="67" t="str">
        <f>ASC(記入シート1!I55)&amp;"-"&amp;ASC(記入シート1!O55)&amp;"-"&amp;ASC(記入シート1!T55)</f>
        <v>--</v>
      </c>
      <c r="CQ35" s="10"/>
      <c r="CR35" s="68"/>
      <c r="CS35" s="68"/>
      <c r="CT35" s="68"/>
      <c r="CU35" s="281"/>
      <c r="CV35" s="60">
        <f t="shared" si="1"/>
        <v>0</v>
      </c>
      <c r="CW35" s="45" t="s">
        <v>231</v>
      </c>
      <c r="CX35" s="45"/>
      <c r="CY35" s="53" t="s">
        <v>736</v>
      </c>
      <c r="CZ35" s="54" t="s">
        <v>343</v>
      </c>
      <c r="DA35" s="53"/>
      <c r="DB35" s="45" t="str">
        <f t="shared" si="2"/>
        <v>001</v>
      </c>
      <c r="DC35" s="108" t="s">
        <v>232</v>
      </c>
      <c r="DD35" s="45"/>
      <c r="DE35" s="90"/>
      <c r="DF35" s="90"/>
      <c r="DG35" s="90"/>
      <c r="DH35" s="543" t="s">
        <v>3198</v>
      </c>
      <c r="DI35" s="547" t="s">
        <v>3199</v>
      </c>
      <c r="DJ35" s="544"/>
      <c r="DK35" s="101" t="str">
        <f t="shared" si="4"/>
        <v>106242ZY</v>
      </c>
      <c r="DL35" s="105" t="s">
        <v>3644</v>
      </c>
      <c r="DM35" s="105" t="s">
        <v>3209</v>
      </c>
      <c r="DN35" s="454" t="str">
        <f>ASC(AA138)</f>
        <v>0</v>
      </c>
      <c r="DO35" s="27"/>
      <c r="DP35" s="452" t="s">
        <v>1269</v>
      </c>
      <c r="DQ35" s="452" t="s">
        <v>1156</v>
      </c>
      <c r="DR35" s="452" t="s">
        <v>1252</v>
      </c>
      <c r="DS35" s="452" t="s">
        <v>1278</v>
      </c>
      <c r="DT35" s="457" t="s">
        <v>1288</v>
      </c>
      <c r="DU35" s="459"/>
      <c r="DV35" s="34"/>
      <c r="DX35" s="115"/>
      <c r="DY35" s="115"/>
    </row>
    <row r="36" spans="1:129" ht="19.5" hidden="1" customHeight="1" thickBot="1">
      <c r="A36" s="447" t="s">
        <v>1402</v>
      </c>
      <c r="B36" s="249"/>
      <c r="C36" s="902"/>
      <c r="D36" s="911"/>
      <c r="E36" s="911"/>
      <c r="F36" s="911"/>
      <c r="G36" s="911"/>
      <c r="H36" s="911"/>
      <c r="I36" s="911"/>
      <c r="J36" s="911"/>
      <c r="K36" s="911"/>
      <c r="L36" s="1362"/>
      <c r="M36" s="1363"/>
      <c r="N36" s="1364"/>
      <c r="O36" s="1364"/>
      <c r="P36" s="1364"/>
      <c r="Q36" s="2211">
        <v>0</v>
      </c>
      <c r="R36" s="2211"/>
      <c r="S36" s="2211"/>
      <c r="T36" s="2211"/>
      <c r="U36" s="2212">
        <v>0</v>
      </c>
      <c r="V36" s="2212"/>
      <c r="W36" s="2212"/>
      <c r="X36" s="2212"/>
      <c r="Y36" s="2213">
        <v>0</v>
      </c>
      <c r="Z36" s="2213"/>
      <c r="AA36" s="2213"/>
      <c r="AB36" s="2213"/>
      <c r="AC36" s="2213">
        <v>0</v>
      </c>
      <c r="AD36" s="2213"/>
      <c r="AE36" s="2213"/>
      <c r="AF36" s="2213"/>
      <c r="AG36" s="2212">
        <v>0</v>
      </c>
      <c r="AH36" s="2212"/>
      <c r="AI36" s="2212"/>
      <c r="AJ36" s="2212"/>
      <c r="AK36" s="1365"/>
      <c r="AL36" s="1365"/>
      <c r="AM36" s="1365"/>
      <c r="AN36" s="1365"/>
      <c r="AO36" s="1365"/>
      <c r="AP36" s="1365"/>
      <c r="AQ36" s="1365"/>
      <c r="AR36" s="1365"/>
      <c r="AS36" s="1365"/>
      <c r="AT36" s="1366"/>
      <c r="AU36" s="234"/>
      <c r="AV36" s="488"/>
      <c r="AW36" s="490">
        <f>AW35</f>
        <v>0</v>
      </c>
      <c r="AX36" s="490" t="s">
        <v>3624</v>
      </c>
      <c r="AY36" s="610"/>
      <c r="AZ36" s="610"/>
      <c r="BA36" s="470"/>
      <c r="BB36" s="470"/>
      <c r="BC36" s="496" t="s">
        <v>1982</v>
      </c>
      <c r="BD36" s="470">
        <f>BD35</f>
        <v>34</v>
      </c>
      <c r="BE36" s="470">
        <v>2</v>
      </c>
      <c r="BF36" s="20" t="str">
        <f t="shared" si="12"/>
        <v>111111022</v>
      </c>
      <c r="BG36" s="611"/>
      <c r="BH36" s="611"/>
      <c r="BI36" s="470">
        <v>11101</v>
      </c>
      <c r="BJ36" s="470">
        <f t="shared" ref="BJ36" si="13">IF(L33=$BC$2,1,0)</f>
        <v>1</v>
      </c>
      <c r="BK36" s="470">
        <f>AZ35</f>
        <v>0</v>
      </c>
      <c r="BL36" s="2131"/>
      <c r="BM36" s="2131"/>
      <c r="BN36" s="494" t="str">
        <f t="shared" ca="1" si="11"/>
        <v/>
      </c>
      <c r="BO36" s="494" t="str">
        <f t="shared" ca="1" si="11"/>
        <v/>
      </c>
      <c r="BP36" s="491" t="str">
        <f t="shared" ca="1" si="11"/>
        <v/>
      </c>
      <c r="BQ36" s="612"/>
      <c r="BR36" s="470">
        <v>111</v>
      </c>
      <c r="BU36" s="24"/>
      <c r="BV36" s="24"/>
      <c r="BW36" s="24"/>
      <c r="BX36" s="24"/>
      <c r="BY36" s="24"/>
      <c r="BZ36" s="722" t="s">
        <v>1360</v>
      </c>
      <c r="CA36" s="723" t="str">
        <f t="shared" si="0"/>
        <v>1208450</v>
      </c>
      <c r="CB36" s="724" t="s">
        <v>676</v>
      </c>
      <c r="CD36" s="1337"/>
      <c r="CE36" s="1337"/>
      <c r="CF36" s="1337"/>
      <c r="CG36" s="34"/>
      <c r="CH36" s="65" t="s">
        <v>883</v>
      </c>
      <c r="CI36" s="65" t="s">
        <v>21</v>
      </c>
      <c r="CJ36" s="65">
        <v>255</v>
      </c>
      <c r="CK36" s="65" t="s">
        <v>216</v>
      </c>
      <c r="CL36" s="65" t="s">
        <v>90</v>
      </c>
      <c r="CM36" s="65"/>
      <c r="CN36" s="65"/>
      <c r="CO36" s="66" t="s">
        <v>884</v>
      </c>
      <c r="CP36" s="78" t="str">
        <f>T(記入シート1!AW53)&amp;"　"&amp;SUBSTITUTE(SUBSTITUTE(SUBSTITUTE(SUBSTITUTE(T(記入シート1!N53),"　","")," ",""),"―","ー"),"－","‐")&amp;"　"&amp;SUBSTITUTE(SUBSTITUTE(SUBSTITUTE(SUBSTITUTE(T(記入シート1!V53),"　","")," ",""),"―","ー"),"－","‐")&amp;"　"&amp;SUBSTITUTE(SUBSTITUTE(SUBSTITUTE(SUBSTITUTE(T(記入シート1!AD53),"　","")," ",""),"―","ー"),"－","‐")&amp;IF(記入シート1!AL53="","","　"&amp;SUBSTITUTE(SUBSTITUTE(SUBSTITUTE(SUBSTITUTE(T(記入シート1!AL53),"　","")," ",""),"―","ー"),"－","‐"))</f>
        <v>選択して下さい　　　</v>
      </c>
      <c r="CQ36" s="129"/>
      <c r="CR36" s="68"/>
      <c r="CS36" s="68"/>
      <c r="CT36" s="68"/>
      <c r="CU36" s="281"/>
      <c r="CV36" s="60">
        <f t="shared" si="1"/>
        <v>0</v>
      </c>
      <c r="CW36" s="45" t="s">
        <v>227</v>
      </c>
      <c r="CX36" s="45"/>
      <c r="CY36" s="53" t="s">
        <v>736</v>
      </c>
      <c r="CZ36" s="54" t="s">
        <v>343</v>
      </c>
      <c r="DA36" s="53"/>
      <c r="DB36" s="45" t="str">
        <f t="shared" si="2"/>
        <v>001</v>
      </c>
      <c r="DC36" s="108" t="s">
        <v>228</v>
      </c>
      <c r="DD36" s="45"/>
      <c r="DE36" s="90"/>
      <c r="DF36" s="90"/>
      <c r="DG36" s="90"/>
      <c r="DH36" s="543" t="s">
        <v>3198</v>
      </c>
      <c r="DI36" s="547" t="s">
        <v>3200</v>
      </c>
      <c r="DJ36" s="544"/>
      <c r="DK36" s="101" t="str">
        <f t="shared" si="4"/>
        <v>106242ZX</v>
      </c>
      <c r="DL36" s="105" t="s">
        <v>3644</v>
      </c>
      <c r="DM36" s="105" t="s">
        <v>3210</v>
      </c>
      <c r="DN36" s="454" t="str">
        <f>ASC(V126)</f>
        <v>71800</v>
      </c>
      <c r="DO36" s="27"/>
      <c r="DP36" s="452" t="s">
        <v>1269</v>
      </c>
      <c r="DQ36" s="452" t="s">
        <v>1157</v>
      </c>
      <c r="DR36" s="452" t="s">
        <v>1273</v>
      </c>
      <c r="DS36" s="452" t="s">
        <v>1286</v>
      </c>
      <c r="DT36" s="457" t="s">
        <v>1289</v>
      </c>
      <c r="DU36" s="458"/>
      <c r="DV36" s="34"/>
      <c r="DX36" s="115"/>
      <c r="DY36" s="115"/>
    </row>
    <row r="37" spans="1:129" ht="19.5" hidden="1" customHeight="1" thickTop="1">
      <c r="A37" s="1048" t="s">
        <v>1234</v>
      </c>
      <c r="B37" s="249"/>
      <c r="C37" s="1179"/>
      <c r="D37" s="1179"/>
      <c r="E37" s="1179"/>
      <c r="F37" s="1179"/>
      <c r="G37" s="1179"/>
      <c r="H37" s="1179"/>
      <c r="I37" s="1179"/>
      <c r="J37" s="1179"/>
      <c r="K37" s="1179"/>
      <c r="L37" s="1180"/>
      <c r="M37" s="1180"/>
      <c r="N37" s="1046"/>
      <c r="O37" s="1046"/>
      <c r="P37" s="1046"/>
      <c r="Q37" s="1046"/>
      <c r="R37" s="1046"/>
      <c r="S37" s="1046"/>
      <c r="T37" s="1046"/>
      <c r="U37" s="1047"/>
      <c r="V37" s="1047"/>
      <c r="W37" s="1047"/>
      <c r="X37" s="1047"/>
      <c r="Y37" s="1047"/>
      <c r="Z37" s="1047"/>
      <c r="AA37" s="1047"/>
      <c r="AB37" s="1047"/>
      <c r="AC37" s="1047"/>
      <c r="AD37" s="1047"/>
      <c r="AE37" s="1047"/>
      <c r="AF37" s="1047"/>
      <c r="AG37" s="1047"/>
      <c r="AH37" s="1047"/>
      <c r="AI37" s="1047"/>
      <c r="AJ37" s="1047"/>
      <c r="AK37" s="1047"/>
      <c r="AL37" s="1047"/>
      <c r="AM37" s="1047"/>
      <c r="AN37" s="1047"/>
      <c r="AO37" s="1047"/>
      <c r="AP37" s="1047"/>
      <c r="AQ37" s="1047"/>
      <c r="AR37" s="1047"/>
      <c r="AS37" s="1047"/>
      <c r="AT37" s="1047"/>
      <c r="AU37" s="234"/>
      <c r="AV37" s="200"/>
      <c r="AW37" s="490">
        <f>AV34*1</f>
        <v>0</v>
      </c>
      <c r="AX37" s="535" t="s">
        <v>3776</v>
      </c>
      <c r="AY37" s="540" t="str">
        <f>TEXT(BR37,"000")</f>
        <v>112</v>
      </c>
      <c r="AZ37" s="540">
        <f>AW37</f>
        <v>0</v>
      </c>
      <c r="BA37" s="493" t="str">
        <f>IF(O35="2回入金","92",IF(O35="1回入金","91",""))</f>
        <v>92</v>
      </c>
      <c r="BB37" s="496" t="str">
        <f>AZ3</f>
        <v>14</v>
      </c>
      <c r="BC37" s="496" t="s">
        <v>3654</v>
      </c>
      <c r="BD37" s="493">
        <f>ROW(C35)</f>
        <v>35</v>
      </c>
      <c r="BE37" s="493">
        <v>1</v>
      </c>
      <c r="BF37" s="20" t="str">
        <f>BR37&amp;BC37&amp;BE37</f>
        <v>112112011</v>
      </c>
      <c r="BG37" s="611"/>
      <c r="BH37" s="611"/>
      <c r="BI37" s="470">
        <v>11201</v>
      </c>
      <c r="BJ37" s="470">
        <f>IF(L34=$BC$2,1,0)</f>
        <v>1</v>
      </c>
      <c r="BK37" s="539">
        <f>AZ37</f>
        <v>0</v>
      </c>
      <c r="BL37" s="2130" t="str">
        <f ca="1">IF($AW37=0,"",INDIRECT(ADDRESS($BD37,BL$8)))</f>
        <v/>
      </c>
      <c r="BM37" s="2130" t="str">
        <f ca="1">IF($AW37=0,"",INDIRECT(ADDRESS($BD37,BM$8)))</f>
        <v/>
      </c>
      <c r="BN37" s="494" t="str">
        <f t="shared" ca="1" si="11"/>
        <v/>
      </c>
      <c r="BO37" s="494" t="str">
        <f t="shared" ca="1" si="11"/>
        <v/>
      </c>
      <c r="BP37" s="491" t="str">
        <f t="shared" ca="1" si="11"/>
        <v/>
      </c>
      <c r="BQ37" s="612"/>
      <c r="BR37" s="470">
        <v>112</v>
      </c>
      <c r="BU37" s="24"/>
      <c r="BV37" s="24"/>
      <c r="BW37" s="24"/>
      <c r="BX37" s="24"/>
      <c r="BY37" s="24"/>
      <c r="BZ37" s="722" t="s">
        <v>1322</v>
      </c>
      <c r="CA37" s="723" t="str">
        <f t="shared" si="0"/>
        <v>1208622</v>
      </c>
      <c r="CB37" s="724" t="s">
        <v>1373</v>
      </c>
      <c r="CD37" s="1337"/>
      <c r="CE37" s="1337"/>
      <c r="CF37" s="1337"/>
      <c r="CG37" s="34"/>
      <c r="CH37" s="448" t="s">
        <v>1235</v>
      </c>
      <c r="CI37" s="448" t="s">
        <v>22</v>
      </c>
      <c r="CJ37" s="448">
        <v>8</v>
      </c>
      <c r="CK37" s="448"/>
      <c r="CL37" s="448"/>
      <c r="CM37" s="448"/>
      <c r="CN37" s="448"/>
      <c r="CO37" s="66" t="s">
        <v>1236</v>
      </c>
      <c r="CP37" s="78" t="str">
        <f>ASC(記入シート1!J52&amp;"-"&amp;記入シート1!M52)</f>
        <v>-</v>
      </c>
      <c r="CQ37" s="10"/>
      <c r="CR37" s="68"/>
      <c r="CS37" s="68"/>
      <c r="CT37" s="68"/>
      <c r="CU37" s="281"/>
      <c r="CV37" s="60">
        <f t="shared" si="1"/>
        <v>0</v>
      </c>
      <c r="CW37" s="45" t="s">
        <v>224</v>
      </c>
      <c r="CX37" s="45"/>
      <c r="CY37" s="53" t="s">
        <v>736</v>
      </c>
      <c r="CZ37" s="54" t="s">
        <v>343</v>
      </c>
      <c r="DA37" s="53"/>
      <c r="DB37" s="45" t="str">
        <f t="shared" si="2"/>
        <v>001</v>
      </c>
      <c r="DC37" s="108" t="s">
        <v>225</v>
      </c>
      <c r="DD37" s="45"/>
      <c r="DE37" s="90"/>
      <c r="DF37" s="90"/>
      <c r="DG37" s="90"/>
      <c r="DH37" s="543" t="s">
        <v>3198</v>
      </c>
      <c r="DI37" s="547" t="s">
        <v>3201</v>
      </c>
      <c r="DJ37" s="544"/>
      <c r="DK37" s="101" t="str">
        <f t="shared" si="4"/>
        <v>106242ZW</v>
      </c>
      <c r="DL37" s="105" t="s">
        <v>3644</v>
      </c>
      <c r="DM37" s="105" t="s">
        <v>3211</v>
      </c>
      <c r="DN37" s="454" t="str">
        <f>ASC(V127)</f>
        <v>9000</v>
      </c>
      <c r="DO37" s="27"/>
      <c r="DP37" s="457" t="s">
        <v>1269</v>
      </c>
      <c r="DQ37" s="457" t="s">
        <v>1158</v>
      </c>
      <c r="DR37" s="457" t="s">
        <v>1258</v>
      </c>
      <c r="DS37" s="457"/>
      <c r="DT37" s="457" t="s">
        <v>1290</v>
      </c>
      <c r="DU37" s="458"/>
      <c r="DV37" s="34"/>
      <c r="DX37" s="115"/>
      <c r="DY37" s="115"/>
    </row>
    <row r="38" spans="1:129" ht="19.5" hidden="1" customHeight="1">
      <c r="A38" s="1048" t="s">
        <v>1234</v>
      </c>
      <c r="B38" s="249"/>
      <c r="C38" s="1147"/>
      <c r="D38" s="1147"/>
      <c r="E38" s="1147"/>
      <c r="F38" s="1147"/>
      <c r="G38" s="1147"/>
      <c r="H38" s="1147"/>
      <c r="I38" s="1147"/>
      <c r="J38" s="1147"/>
      <c r="K38" s="1147"/>
      <c r="L38" s="1146"/>
      <c r="M38" s="1146"/>
      <c r="N38" s="1046"/>
      <c r="O38" s="1046"/>
      <c r="P38" s="1046"/>
      <c r="Q38" s="1046"/>
      <c r="R38" s="1046"/>
      <c r="S38" s="1046"/>
      <c r="T38" s="1046"/>
      <c r="U38" s="1047"/>
      <c r="V38" s="1047"/>
      <c r="W38" s="1047"/>
      <c r="X38" s="1047"/>
      <c r="Y38" s="1047"/>
      <c r="Z38" s="1047"/>
      <c r="AA38" s="1047"/>
      <c r="AB38" s="1047"/>
      <c r="AC38" s="1047"/>
      <c r="AD38" s="1047"/>
      <c r="AE38" s="1047"/>
      <c r="AF38" s="1047"/>
      <c r="AG38" s="1047"/>
      <c r="AH38" s="1047"/>
      <c r="AI38" s="1047"/>
      <c r="AJ38" s="1047"/>
      <c r="AK38" s="1047"/>
      <c r="AL38" s="1047"/>
      <c r="AM38" s="1047"/>
      <c r="AN38" s="1047"/>
      <c r="AO38" s="1047"/>
      <c r="AP38" s="1047"/>
      <c r="AQ38" s="1047"/>
      <c r="AR38" s="1047"/>
      <c r="AS38" s="1047"/>
      <c r="AT38" s="1047"/>
      <c r="AU38" s="234"/>
      <c r="AV38" s="488"/>
      <c r="AW38" s="490">
        <f>AW37</f>
        <v>0</v>
      </c>
      <c r="AX38" s="490" t="s">
        <v>3817</v>
      </c>
      <c r="AY38" s="610"/>
      <c r="AZ38" s="610"/>
      <c r="BA38" s="470"/>
      <c r="BB38" s="470"/>
      <c r="BC38" s="496" t="s">
        <v>3655</v>
      </c>
      <c r="BD38" s="470">
        <f>BD37</f>
        <v>35</v>
      </c>
      <c r="BE38" s="470">
        <v>2</v>
      </c>
      <c r="BF38" s="20" t="str">
        <f>BR38&amp;BC38&amp;BE38</f>
        <v>112112022</v>
      </c>
      <c r="BG38" s="611"/>
      <c r="BH38" s="611"/>
      <c r="BI38" s="470">
        <v>11201</v>
      </c>
      <c r="BJ38" s="470">
        <f>IF(L34=$BC$2,1,0)</f>
        <v>1</v>
      </c>
      <c r="BK38" s="470">
        <f>AZ37</f>
        <v>0</v>
      </c>
      <c r="BL38" s="2131"/>
      <c r="BM38" s="2131"/>
      <c r="BN38" s="494" t="str">
        <f t="shared" ca="1" si="11"/>
        <v/>
      </c>
      <c r="BO38" s="494" t="str">
        <f t="shared" ca="1" si="11"/>
        <v/>
      </c>
      <c r="BP38" s="491" t="str">
        <f t="shared" ca="1" si="11"/>
        <v/>
      </c>
      <c r="BQ38" s="612"/>
      <c r="BR38" s="470">
        <v>112</v>
      </c>
      <c r="BU38" s="24"/>
      <c r="BV38" s="24"/>
      <c r="BW38" s="24"/>
      <c r="BZ38" s="722" t="s">
        <v>1361</v>
      </c>
      <c r="CA38" s="723" t="str">
        <f t="shared" si="0"/>
        <v>1208623</v>
      </c>
      <c r="CB38" s="724" t="s">
        <v>677</v>
      </c>
      <c r="CD38" s="1337"/>
      <c r="CE38" s="1337"/>
      <c r="CF38" s="1337"/>
      <c r="CG38" s="34"/>
      <c r="CH38" s="448" t="s">
        <v>1237</v>
      </c>
      <c r="CI38" s="448" t="s">
        <v>22</v>
      </c>
      <c r="CJ38" s="448">
        <v>60</v>
      </c>
      <c r="CK38" s="448"/>
      <c r="CL38" s="448"/>
      <c r="CM38" s="448"/>
      <c r="CN38" s="448"/>
      <c r="CO38" s="66" t="s">
        <v>1238</v>
      </c>
      <c r="CP38" s="78" t="str">
        <f>ASC(記入シート1!J51)&amp;" "&amp;ASC(SUBSTITUTE(SUBSTITUTE(SUBSTITUTE(SUBSTITUTE(SUBSTITUTE(記入シート1!O51,"　","")," ",""),"ヴ","ウﾞ"),"・",""),"－","‐"))&amp;" "&amp;ASC(SUBSTITUTE(SUBSTITUTE(SUBSTITUTE(SUBSTITUTE(SUBSTITUTE(記入シート1!W51,"　","")," ",""),"ヴ","ウﾞ"),"・",""),"－","‐"))&amp;" "&amp;ASC(SUBSTITUTE(SUBSTITUTE(SUBSTITUTE(SUBSTITUTE(SUBSTITUTE(記入シート1!AE51,"　","")," ",""),"ヴ","ウﾞ"),"・",""),"－","‐"))&amp;IF(記入シート1!AM51="",""," "&amp;ASC(SUBSTITUTE(SUBSTITUTE(SUBSTITUTE(SUBSTITUTE(SUBSTITUTE(記入シート1!AM51,"　","")," ",""),"ヴ","ウﾞ"),"・",""),"－","‐")))</f>
        <v xml:space="preserve">(自動表示)   </v>
      </c>
      <c r="CQ38" s="10"/>
      <c r="CR38" s="68"/>
      <c r="CS38" s="68"/>
      <c r="CT38" s="68"/>
      <c r="CU38" s="281"/>
      <c r="CV38" s="60">
        <f t="shared" si="1"/>
        <v>0</v>
      </c>
      <c r="CW38" s="45" t="s">
        <v>723</v>
      </c>
      <c r="CX38" s="45"/>
      <c r="CY38" s="53"/>
      <c r="CZ38" s="54"/>
      <c r="DA38" s="53"/>
      <c r="DB38" s="45" t="str">
        <f t="shared" si="2"/>
        <v>001</v>
      </c>
      <c r="DC38" s="108" t="s">
        <v>221</v>
      </c>
      <c r="DD38" s="45"/>
      <c r="DE38" s="90"/>
      <c r="DF38" s="90"/>
      <c r="DG38" s="90"/>
      <c r="DH38" s="543" t="s">
        <v>3198</v>
      </c>
      <c r="DI38" s="547" t="s">
        <v>3202</v>
      </c>
      <c r="DJ38" s="544"/>
      <c r="DK38" s="101" t="str">
        <f t="shared" si="4"/>
        <v>106242ZV</v>
      </c>
      <c r="DL38" s="105" t="s">
        <v>3644</v>
      </c>
      <c r="DM38" s="105" t="s">
        <v>3212</v>
      </c>
      <c r="DN38" s="454" t="str">
        <f>ASC(V128)</f>
        <v>7000</v>
      </c>
      <c r="DO38" s="27"/>
      <c r="DP38" s="457" t="s">
        <v>1269</v>
      </c>
      <c r="DQ38" s="457" t="s">
        <v>1159</v>
      </c>
      <c r="DR38" s="457" t="s">
        <v>1258</v>
      </c>
      <c r="DS38" s="457"/>
      <c r="DT38" s="457" t="s">
        <v>1291</v>
      </c>
      <c r="DU38" s="458"/>
      <c r="DV38" s="34"/>
      <c r="DX38" s="115"/>
      <c r="DY38" s="115"/>
    </row>
    <row r="39" spans="1:129" ht="19.5" hidden="1" customHeight="1">
      <c r="A39" s="447" t="s">
        <v>1234</v>
      </c>
      <c r="B39" s="249"/>
      <c r="C39" s="1118"/>
      <c r="D39" s="1118"/>
      <c r="E39" s="1118"/>
      <c r="F39" s="1118"/>
      <c r="G39" s="1118"/>
      <c r="H39" s="1118"/>
      <c r="I39" s="1118"/>
      <c r="J39" s="1118"/>
      <c r="K39" s="1118"/>
      <c r="L39" s="1119"/>
      <c r="M39" s="1119"/>
      <c r="N39" s="1046"/>
      <c r="O39" s="1046"/>
      <c r="P39" s="1046"/>
      <c r="Q39" s="1046"/>
      <c r="R39" s="1046"/>
      <c r="S39" s="1046"/>
      <c r="T39" s="1046"/>
      <c r="U39" s="1047"/>
      <c r="V39" s="1047"/>
      <c r="W39" s="1047"/>
      <c r="X39" s="1047"/>
      <c r="Y39" s="1047"/>
      <c r="Z39" s="1047"/>
      <c r="AA39" s="1047"/>
      <c r="AB39" s="1047"/>
      <c r="AC39" s="1047"/>
      <c r="AD39" s="1047"/>
      <c r="AE39" s="1047"/>
      <c r="AF39" s="1047"/>
      <c r="AG39" s="1047"/>
      <c r="AH39" s="1047"/>
      <c r="AI39" s="1047"/>
      <c r="AJ39" s="1047"/>
      <c r="AK39" s="1047"/>
      <c r="AL39" s="1047"/>
      <c r="AM39" s="1047"/>
      <c r="AN39" s="1047"/>
      <c r="AO39" s="1047"/>
      <c r="AP39" s="1047"/>
      <c r="AQ39" s="1047"/>
      <c r="AR39" s="1047"/>
      <c r="AS39" s="1047"/>
      <c r="AT39" s="1047"/>
      <c r="AU39" s="234"/>
      <c r="AV39" s="488"/>
      <c r="BQ39" s="21"/>
      <c r="BW39" s="24"/>
      <c r="BZ39" s="722">
        <v>1208682</v>
      </c>
      <c r="CA39" s="723" t="str">
        <f t="shared" si="0"/>
        <v>1208682</v>
      </c>
      <c r="CB39" s="724" t="s">
        <v>678</v>
      </c>
      <c r="CD39" s="1337"/>
      <c r="CE39" s="1337"/>
      <c r="CF39" s="1337"/>
      <c r="CG39" s="35"/>
      <c r="CH39" s="448" t="s">
        <v>1174</v>
      </c>
      <c r="CI39" s="448" t="s">
        <v>22</v>
      </c>
      <c r="CJ39" s="448">
        <v>13</v>
      </c>
      <c r="CK39" s="448"/>
      <c r="CL39" s="448"/>
      <c r="CM39" s="448"/>
      <c r="CN39" s="448"/>
      <c r="CO39" s="66" t="s">
        <v>1239</v>
      </c>
      <c r="CP39" s="78" t="str">
        <f>ASC(記入シート1!I55)&amp;"-"&amp;ASC(記入シート1!O55)&amp;"-"&amp;ASC(記入シート1!T55)</f>
        <v>--</v>
      </c>
      <c r="CQ39" s="10"/>
      <c r="CR39" s="68"/>
      <c r="CS39" s="68"/>
      <c r="CT39" s="68"/>
      <c r="CU39" s="68"/>
      <c r="CV39" s="60">
        <f t="shared" si="1"/>
        <v>0</v>
      </c>
      <c r="CW39" s="45" t="s">
        <v>217</v>
      </c>
      <c r="CX39" s="45"/>
      <c r="CY39" s="53" t="s">
        <v>736</v>
      </c>
      <c r="CZ39" s="54" t="s">
        <v>343</v>
      </c>
      <c r="DA39" s="53"/>
      <c r="DB39" s="45" t="str">
        <f t="shared" si="2"/>
        <v>001</v>
      </c>
      <c r="DC39" s="108" t="s">
        <v>218</v>
      </c>
      <c r="DD39" s="45"/>
      <c r="DE39" s="90"/>
      <c r="DF39" s="90"/>
      <c r="DG39" s="90"/>
      <c r="DH39" s="543" t="s">
        <v>3198</v>
      </c>
      <c r="DI39" s="547" t="s">
        <v>3203</v>
      </c>
      <c r="DJ39" s="544"/>
      <c r="DK39" s="101" t="str">
        <f t="shared" si="4"/>
        <v>106242ZU</v>
      </c>
      <c r="DL39" s="105" t="s">
        <v>3644</v>
      </c>
      <c r="DM39" s="105" t="s">
        <v>3213</v>
      </c>
      <c r="DN39" s="454" t="str">
        <f>ASC(V129)</f>
        <v>12000</v>
      </c>
      <c r="DO39" s="27"/>
      <c r="DP39" s="463" t="s">
        <v>1269</v>
      </c>
      <c r="DQ39" s="463" t="s">
        <v>1160</v>
      </c>
      <c r="DR39" s="463" t="s">
        <v>1258</v>
      </c>
      <c r="DS39" s="457"/>
      <c r="DT39" s="463" t="s">
        <v>1292</v>
      </c>
      <c r="DU39" s="464"/>
      <c r="DV39" s="34"/>
      <c r="DX39" s="115"/>
      <c r="DY39" s="115"/>
    </row>
    <row r="40" spans="1:129" ht="19.5" customHeight="1" thickBot="1">
      <c r="A40" s="447"/>
      <c r="B40" s="249"/>
      <c r="C40" s="350"/>
      <c r="D40" s="350"/>
      <c r="E40" s="350"/>
      <c r="F40" s="350"/>
      <c r="G40" s="350"/>
      <c r="H40" s="350"/>
      <c r="I40" s="350"/>
      <c r="J40" s="350"/>
      <c r="K40" s="350"/>
      <c r="L40" s="1119"/>
      <c r="M40" s="1119"/>
      <c r="N40" s="1046"/>
      <c r="O40" s="1046"/>
      <c r="P40" s="1046"/>
      <c r="Q40" s="1046"/>
      <c r="R40" s="1046"/>
      <c r="S40" s="1046"/>
      <c r="T40" s="1046"/>
      <c r="U40" s="1047"/>
      <c r="V40" s="1047"/>
      <c r="W40" s="1047"/>
      <c r="X40" s="1047"/>
      <c r="Y40" s="1047"/>
      <c r="Z40" s="1047"/>
      <c r="AA40" s="1047"/>
      <c r="AB40" s="1047"/>
      <c r="AC40" s="1047"/>
      <c r="AD40" s="1047"/>
      <c r="AE40" s="1047"/>
      <c r="AF40" s="1047"/>
      <c r="AG40" s="1047"/>
      <c r="AH40" s="1047"/>
      <c r="AI40" s="1047"/>
      <c r="AJ40" s="1047"/>
      <c r="AK40" s="1047"/>
      <c r="AL40" s="1047"/>
      <c r="AM40" s="1047"/>
      <c r="AN40" s="1047"/>
      <c r="AO40" s="1047"/>
      <c r="AP40" s="1047"/>
      <c r="AQ40" s="1047"/>
      <c r="AR40" s="1047"/>
      <c r="AS40" s="1047"/>
      <c r="AT40" s="1047"/>
      <c r="AU40" s="234"/>
      <c r="AV40" s="200"/>
      <c r="BQ40" s="21"/>
      <c r="BW40" s="24"/>
      <c r="BZ40" s="722">
        <v>1208945</v>
      </c>
      <c r="CA40" s="723" t="str">
        <f t="shared" si="0"/>
        <v>1208945</v>
      </c>
      <c r="CB40" s="724" t="s">
        <v>679</v>
      </c>
      <c r="CD40" s="1337"/>
      <c r="CE40" s="1337"/>
      <c r="CF40" s="1337"/>
      <c r="CG40" s="34"/>
      <c r="CH40" s="448" t="s">
        <v>1170</v>
      </c>
      <c r="CI40" s="448" t="s">
        <v>63</v>
      </c>
      <c r="CJ40" s="448">
        <v>1</v>
      </c>
      <c r="CK40" s="448"/>
      <c r="CL40" s="448"/>
      <c r="CM40" s="448" t="s">
        <v>1969</v>
      </c>
      <c r="CN40" s="448"/>
      <c r="CO40" s="66" t="s">
        <v>1240</v>
      </c>
      <c r="CP40" s="78" t="str">
        <f>IF(記入シート1!AV21=1,"0","1")</f>
        <v>1</v>
      </c>
      <c r="CQ40" s="10"/>
      <c r="CR40" s="68"/>
      <c r="CS40" s="68"/>
      <c r="CT40" s="68"/>
      <c r="CU40" s="68"/>
      <c r="CV40" s="60">
        <f t="shared" si="1"/>
        <v>0</v>
      </c>
      <c r="CW40" s="45" t="s">
        <v>724</v>
      </c>
      <c r="CX40" s="45"/>
      <c r="CY40" s="53"/>
      <c r="CZ40" s="54"/>
      <c r="DA40" s="53"/>
      <c r="DB40" s="45" t="str">
        <f t="shared" si="2"/>
        <v>001</v>
      </c>
      <c r="DC40" s="108" t="s">
        <v>214</v>
      </c>
      <c r="DD40" s="45"/>
      <c r="DE40" s="90"/>
      <c r="DF40" s="90"/>
      <c r="DG40" s="90"/>
      <c r="DH40" s="543" t="s">
        <v>3198</v>
      </c>
      <c r="DI40" s="547" t="s">
        <v>3204</v>
      </c>
      <c r="DJ40" s="544"/>
      <c r="DK40" s="101" t="str">
        <f t="shared" si="4"/>
        <v>106242ZT</v>
      </c>
      <c r="DL40" s="105" t="s">
        <v>3644</v>
      </c>
      <c r="DM40" s="105" t="s">
        <v>3214</v>
      </c>
      <c r="DN40" s="454" t="str">
        <f>ASC(V133)</f>
        <v>0</v>
      </c>
      <c r="DO40" s="27"/>
      <c r="DP40" s="463" t="s">
        <v>1269</v>
      </c>
      <c r="DQ40" s="463" t="s">
        <v>1161</v>
      </c>
      <c r="DR40" s="463" t="s">
        <v>1258</v>
      </c>
      <c r="DS40" s="457"/>
      <c r="DT40" s="463" t="s">
        <v>1293</v>
      </c>
      <c r="DU40" s="464"/>
      <c r="DV40" s="34"/>
      <c r="DX40" s="115"/>
      <c r="DY40" s="115"/>
    </row>
    <row r="41" spans="1:129" ht="19.5" customHeight="1" thickTop="1">
      <c r="A41" s="447"/>
      <c r="B41" s="249"/>
      <c r="C41" s="1998" t="s">
        <v>449</v>
      </c>
      <c r="D41" s="1999"/>
      <c r="E41" s="1999"/>
      <c r="F41" s="1999"/>
      <c r="G41" s="1999"/>
      <c r="H41" s="1999"/>
      <c r="I41" s="2000"/>
      <c r="J41" s="2004" t="s">
        <v>2059</v>
      </c>
      <c r="K41" s="2005"/>
      <c r="L41" s="2008" t="s">
        <v>2060</v>
      </c>
      <c r="M41" s="2009"/>
      <c r="N41" s="2010"/>
      <c r="O41" s="2014" t="s">
        <v>1059</v>
      </c>
      <c r="P41" s="2015"/>
      <c r="Q41" s="2014" t="s">
        <v>2047</v>
      </c>
      <c r="R41" s="2018"/>
      <c r="S41" s="2018"/>
      <c r="T41" s="2015"/>
      <c r="U41" s="2014" t="s">
        <v>2048</v>
      </c>
      <c r="V41" s="2018"/>
      <c r="W41" s="2018"/>
      <c r="X41" s="2015"/>
      <c r="Y41" s="2014" t="s">
        <v>2049</v>
      </c>
      <c r="Z41" s="2018"/>
      <c r="AA41" s="2018"/>
      <c r="AB41" s="2015"/>
      <c r="AC41" s="2014" t="s">
        <v>2050</v>
      </c>
      <c r="AD41" s="2018"/>
      <c r="AE41" s="2018"/>
      <c r="AF41" s="2015"/>
      <c r="AG41" s="2014" t="s">
        <v>2051</v>
      </c>
      <c r="AH41" s="2018"/>
      <c r="AI41" s="2018"/>
      <c r="AJ41" s="2015"/>
      <c r="AK41" s="2189" t="s">
        <v>2061</v>
      </c>
      <c r="AL41" s="2190"/>
      <c r="AM41" s="2190"/>
      <c r="AN41" s="2190"/>
      <c r="AO41" s="2190"/>
      <c r="AP41" s="2190"/>
      <c r="AQ41" s="2190"/>
      <c r="AR41" s="2190"/>
      <c r="AS41" s="2190"/>
      <c r="AT41" s="2191"/>
      <c r="AU41" s="234"/>
      <c r="AV41" s="200"/>
      <c r="BQ41" s="21"/>
      <c r="BZ41" s="722" t="s">
        <v>1323</v>
      </c>
      <c r="CA41" s="723" t="str">
        <f t="shared" si="0"/>
        <v>1209993</v>
      </c>
      <c r="CB41" s="724" t="s">
        <v>680</v>
      </c>
      <c r="CD41" s="1337"/>
      <c r="CE41" s="1337"/>
      <c r="CF41" s="1337"/>
      <c r="CG41" s="34"/>
      <c r="CH41" s="448" t="s">
        <v>1171</v>
      </c>
      <c r="CI41" s="448" t="s">
        <v>63</v>
      </c>
      <c r="CJ41" s="448">
        <v>2</v>
      </c>
      <c r="CK41" s="448"/>
      <c r="CL41" s="448"/>
      <c r="CM41" s="448" t="s">
        <v>1241</v>
      </c>
      <c r="CN41" s="448"/>
      <c r="CO41" s="66" t="s">
        <v>1242</v>
      </c>
      <c r="CP41" s="78" t="str">
        <f>TEXT(記入シート1!AV13,"00")</f>
        <v>00</v>
      </c>
      <c r="CQ41" s="10"/>
      <c r="CR41" s="68"/>
      <c r="CS41" s="68"/>
      <c r="CT41" s="68"/>
      <c r="CU41" s="281"/>
      <c r="CV41" s="60">
        <f t="shared" si="1"/>
        <v>0</v>
      </c>
      <c r="CW41" s="45" t="s">
        <v>211</v>
      </c>
      <c r="CX41" s="45"/>
      <c r="CY41" s="53" t="s">
        <v>736</v>
      </c>
      <c r="CZ41" s="54" t="s">
        <v>343</v>
      </c>
      <c r="DA41" s="53"/>
      <c r="DB41" s="45" t="str">
        <f t="shared" si="2"/>
        <v>001</v>
      </c>
      <c r="DC41" s="108" t="s">
        <v>212</v>
      </c>
      <c r="DD41" s="45"/>
      <c r="DE41" s="90"/>
      <c r="DF41" s="90"/>
      <c r="DG41" s="90"/>
      <c r="DH41" s="543" t="s">
        <v>3198</v>
      </c>
      <c r="DI41" s="547" t="s">
        <v>3205</v>
      </c>
      <c r="DJ41" s="544"/>
      <c r="DK41" s="101" t="str">
        <f t="shared" si="4"/>
        <v>106242ZS</v>
      </c>
      <c r="DL41" s="105" t="s">
        <v>3644</v>
      </c>
      <c r="DM41" s="105" t="s">
        <v>3215</v>
      </c>
      <c r="DN41" s="454" t="str">
        <f>ASC(V136)</f>
        <v>0</v>
      </c>
      <c r="DO41" s="27"/>
      <c r="DP41" s="452" t="s">
        <v>1294</v>
      </c>
      <c r="DQ41" s="452" t="s">
        <v>1162</v>
      </c>
      <c r="DR41" s="452" t="s">
        <v>1112</v>
      </c>
      <c r="DS41" s="452" t="s">
        <v>1295</v>
      </c>
      <c r="DT41" s="457" t="s">
        <v>1296</v>
      </c>
      <c r="DU41" s="459"/>
      <c r="DV41" s="34"/>
      <c r="DX41" s="115"/>
      <c r="DY41" s="115"/>
    </row>
    <row r="42" spans="1:129" ht="19.5" customHeight="1">
      <c r="A42" s="447"/>
      <c r="B42" s="249"/>
      <c r="C42" s="2001"/>
      <c r="D42" s="2002"/>
      <c r="E42" s="2002"/>
      <c r="F42" s="2002"/>
      <c r="G42" s="2002"/>
      <c r="H42" s="2002"/>
      <c r="I42" s="2003"/>
      <c r="J42" s="2006"/>
      <c r="K42" s="2007"/>
      <c r="L42" s="2011"/>
      <c r="M42" s="2012"/>
      <c r="N42" s="2013"/>
      <c r="O42" s="2016"/>
      <c r="P42" s="2017"/>
      <c r="Q42" s="2016"/>
      <c r="R42" s="2019"/>
      <c r="S42" s="2019"/>
      <c r="T42" s="2017"/>
      <c r="U42" s="2016"/>
      <c r="V42" s="2019"/>
      <c r="W42" s="2019"/>
      <c r="X42" s="2017"/>
      <c r="Y42" s="2016"/>
      <c r="Z42" s="2019"/>
      <c r="AA42" s="2019"/>
      <c r="AB42" s="2017"/>
      <c r="AC42" s="2016"/>
      <c r="AD42" s="2019"/>
      <c r="AE42" s="2019"/>
      <c r="AF42" s="2017"/>
      <c r="AG42" s="2016"/>
      <c r="AH42" s="2019"/>
      <c r="AI42" s="2019"/>
      <c r="AJ42" s="2017"/>
      <c r="AK42" s="2192"/>
      <c r="AL42" s="2193"/>
      <c r="AM42" s="2193"/>
      <c r="AN42" s="2193"/>
      <c r="AO42" s="2193"/>
      <c r="AP42" s="2193"/>
      <c r="AQ42" s="2193"/>
      <c r="AR42" s="2193"/>
      <c r="AS42" s="2193"/>
      <c r="AT42" s="2194"/>
      <c r="AU42" s="234"/>
      <c r="AV42" s="651" t="b">
        <f>IF(OR(AV43=TRUE,AV59=TRUE),TRUE,FALSE)</f>
        <v>0</v>
      </c>
      <c r="AW42" s="618" t="s">
        <v>3638</v>
      </c>
      <c r="BQ42" s="21"/>
      <c r="BU42" s="24"/>
      <c r="BV42" s="24"/>
      <c r="BW42" s="24"/>
      <c r="BX42" s="24"/>
      <c r="BY42" s="24"/>
      <c r="BZ42" s="722" t="s">
        <v>1362</v>
      </c>
      <c r="CA42" s="723" t="str">
        <f t="shared" si="0"/>
        <v>1209994</v>
      </c>
      <c r="CB42" s="724" t="s">
        <v>681</v>
      </c>
      <c r="CD42" s="1337"/>
      <c r="CE42" s="1337"/>
      <c r="CF42" s="1337"/>
      <c r="CG42" s="34"/>
      <c r="CH42" s="448" t="s">
        <v>1172</v>
      </c>
      <c r="CI42" s="448" t="s">
        <v>1173</v>
      </c>
      <c r="CJ42" s="448">
        <v>13</v>
      </c>
      <c r="CK42" s="448"/>
      <c r="CL42" s="448"/>
      <c r="CM42" s="448"/>
      <c r="CN42" s="448"/>
      <c r="CO42" s="66" t="s">
        <v>1243</v>
      </c>
      <c r="CP42" s="78" t="str">
        <f>ASC(記入シート1!AL43)</f>
        <v/>
      </c>
      <c r="CQ42" s="10"/>
      <c r="CR42" s="68"/>
      <c r="CS42" s="68"/>
      <c r="CT42" s="68"/>
      <c r="CU42" s="281"/>
      <c r="CV42" s="60">
        <f t="shared" si="1"/>
        <v>0</v>
      </c>
      <c r="CW42" s="45" t="s">
        <v>208</v>
      </c>
      <c r="CX42" s="45"/>
      <c r="CY42" s="53" t="s">
        <v>736</v>
      </c>
      <c r="CZ42" s="54" t="s">
        <v>343</v>
      </c>
      <c r="DA42" s="53"/>
      <c r="DB42" s="45" t="str">
        <f t="shared" si="2"/>
        <v>001</v>
      </c>
      <c r="DC42" s="108" t="s">
        <v>209</v>
      </c>
      <c r="DD42" s="45"/>
      <c r="DE42" s="90"/>
      <c r="DF42" s="90"/>
      <c r="DG42" s="90"/>
      <c r="DH42" s="543" t="s">
        <v>3198</v>
      </c>
      <c r="DI42" s="547" t="s">
        <v>3206</v>
      </c>
      <c r="DJ42" s="544"/>
      <c r="DK42" s="101" t="str">
        <f t="shared" si="4"/>
        <v>106242ZR</v>
      </c>
      <c r="DL42" s="105" t="s">
        <v>3644</v>
      </c>
      <c r="DM42" s="105" t="s">
        <v>3216</v>
      </c>
      <c r="DN42" s="454" t="str">
        <f>ASC(V137)</f>
        <v>0</v>
      </c>
      <c r="DO42" s="28"/>
      <c r="DP42" s="452" t="s">
        <v>1294</v>
      </c>
      <c r="DQ42" s="452" t="s">
        <v>1163</v>
      </c>
      <c r="DR42" s="452" t="s">
        <v>1297</v>
      </c>
      <c r="DS42" s="452" t="s">
        <v>1298</v>
      </c>
      <c r="DT42" s="457" t="s">
        <v>1299</v>
      </c>
      <c r="DU42" s="459"/>
      <c r="DV42" s="35"/>
      <c r="DX42" s="115"/>
      <c r="DY42" s="115"/>
    </row>
    <row r="43" spans="1:129" ht="19.5" customHeight="1">
      <c r="A43" s="447"/>
      <c r="B43" s="249"/>
      <c r="C43" s="2166" t="s">
        <v>2245</v>
      </c>
      <c r="D43" s="2167"/>
      <c r="E43" s="2167"/>
      <c r="F43" s="2167"/>
      <c r="G43" s="2167"/>
      <c r="H43" s="2167"/>
      <c r="I43" s="2167"/>
      <c r="J43" s="634"/>
      <c r="K43" s="634"/>
      <c r="L43" s="955"/>
      <c r="M43" s="918"/>
      <c r="N43" s="915"/>
      <c r="O43" s="915"/>
      <c r="P43" s="915"/>
      <c r="Q43" s="915"/>
      <c r="R43" s="915"/>
      <c r="S43" s="915"/>
      <c r="T43" s="915"/>
      <c r="U43" s="919"/>
      <c r="V43" s="956"/>
      <c r="W43" s="956"/>
      <c r="X43" s="956"/>
      <c r="Y43" s="956"/>
      <c r="Z43" s="956"/>
      <c r="AA43" s="956"/>
      <c r="AB43" s="956"/>
      <c r="AC43" s="956"/>
      <c r="AD43" s="956"/>
      <c r="AE43" s="956"/>
      <c r="AF43" s="956"/>
      <c r="AG43" s="956"/>
      <c r="AH43" s="956"/>
      <c r="AI43" s="956"/>
      <c r="AJ43" s="956"/>
      <c r="AK43" s="956"/>
      <c r="AL43" s="956"/>
      <c r="AM43" s="956"/>
      <c r="AN43" s="956"/>
      <c r="AO43" s="956"/>
      <c r="AP43" s="956"/>
      <c r="AQ43" s="956"/>
      <c r="AR43" s="956"/>
      <c r="AS43" s="956"/>
      <c r="AT43" s="964"/>
      <c r="AU43" s="234"/>
      <c r="AV43" s="651" t="b">
        <f>IF(OR(AV44=TRUE,AV45=TRUE,AV47=TRUE,AV50=TRUE),TRUE,FALSE)</f>
        <v>0</v>
      </c>
      <c r="AW43" s="618" t="s">
        <v>2062</v>
      </c>
      <c r="AY43" s="489" t="s">
        <v>7</v>
      </c>
      <c r="AZ43" s="489" t="s">
        <v>454</v>
      </c>
      <c r="BA43" s="202" t="s">
        <v>908</v>
      </c>
      <c r="BB43" s="202" t="s">
        <v>0</v>
      </c>
      <c r="BC43" s="202" t="s">
        <v>455</v>
      </c>
      <c r="BD43" s="202" t="s">
        <v>975</v>
      </c>
      <c r="BE43" s="202"/>
      <c r="BF43" s="202"/>
      <c r="BG43" s="202"/>
      <c r="BH43" s="202"/>
      <c r="BI43" s="202" t="s">
        <v>456</v>
      </c>
      <c r="BJ43" s="202" t="s">
        <v>457</v>
      </c>
      <c r="BK43" s="202" t="s">
        <v>458</v>
      </c>
      <c r="BL43" s="202" t="s">
        <v>973</v>
      </c>
      <c r="BM43" s="202" t="s">
        <v>974</v>
      </c>
      <c r="BN43" s="202" t="s">
        <v>459</v>
      </c>
      <c r="BO43" s="202" t="s">
        <v>460</v>
      </c>
      <c r="BP43" s="202" t="s">
        <v>461</v>
      </c>
      <c r="BQ43" s="468"/>
      <c r="BR43" s="202" t="s">
        <v>7</v>
      </c>
      <c r="BU43" s="24"/>
      <c r="BV43" s="24"/>
      <c r="BW43" s="24"/>
      <c r="BX43" s="24"/>
      <c r="BY43" s="24"/>
      <c r="BZ43" s="722" t="s">
        <v>1324</v>
      </c>
      <c r="CA43" s="723" t="str">
        <f t="shared" si="0"/>
        <v>1210249</v>
      </c>
      <c r="CB43" s="724" t="s">
        <v>1374</v>
      </c>
      <c r="CD43" s="145">
        <v>6107</v>
      </c>
      <c r="CE43" s="145" t="s">
        <v>5105</v>
      </c>
      <c r="CF43" s="145">
        <v>6107</v>
      </c>
      <c r="CG43" s="34"/>
      <c r="CH43" s="77" t="s">
        <v>598</v>
      </c>
      <c r="CI43" s="77"/>
      <c r="CJ43" s="77"/>
      <c r="CK43" s="77"/>
      <c r="CL43" s="77"/>
      <c r="CM43" s="77"/>
      <c r="CN43" s="77"/>
      <c r="CO43" s="13"/>
      <c r="CP43" s="80"/>
      <c r="CQ43" s="10"/>
      <c r="CR43" s="68"/>
      <c r="CS43" s="68"/>
      <c r="CT43" s="68"/>
      <c r="CU43" s="68"/>
      <c r="CV43" s="60">
        <f t="shared" si="1"/>
        <v>0</v>
      </c>
      <c r="CW43" s="45" t="s">
        <v>725</v>
      </c>
      <c r="CX43" s="45"/>
      <c r="CY43" s="53"/>
      <c r="CZ43" s="54"/>
      <c r="DA43" s="53"/>
      <c r="DB43" s="45" t="str">
        <f t="shared" si="2"/>
        <v>001</v>
      </c>
      <c r="DC43" s="108" t="s">
        <v>206</v>
      </c>
      <c r="DD43" s="45"/>
      <c r="DE43" s="90"/>
      <c r="DF43" s="90"/>
      <c r="DG43" s="90"/>
      <c r="DH43" s="543" t="s">
        <v>3198</v>
      </c>
      <c r="DI43" s="547" t="s">
        <v>3207</v>
      </c>
      <c r="DJ43" s="544"/>
      <c r="DK43" s="101" t="str">
        <f t="shared" si="4"/>
        <v>106242ZQ</v>
      </c>
      <c r="DL43" s="105" t="s">
        <v>3644</v>
      </c>
      <c r="DM43" s="105" t="s">
        <v>3217</v>
      </c>
      <c r="DN43" s="454" t="str">
        <f>ASC(V135)</f>
        <v>0</v>
      </c>
      <c r="DO43" s="28"/>
      <c r="DP43" s="452" t="s">
        <v>1294</v>
      </c>
      <c r="DQ43" s="452" t="s">
        <v>1164</v>
      </c>
      <c r="DR43" s="452" t="s">
        <v>1112</v>
      </c>
      <c r="DS43" s="452" t="s">
        <v>1295</v>
      </c>
      <c r="DT43" s="453" t="s">
        <v>1165</v>
      </c>
      <c r="DU43" s="454">
        <v>1</v>
      </c>
      <c r="DV43" s="34"/>
      <c r="DX43" s="115"/>
      <c r="DY43" s="115"/>
    </row>
    <row r="44" spans="1:129" ht="19.5" customHeight="1">
      <c r="A44" s="447"/>
      <c r="B44" s="249"/>
      <c r="C44" s="2223" t="s">
        <v>5685</v>
      </c>
      <c r="D44" s="2224"/>
      <c r="E44" s="2224"/>
      <c r="F44" s="2224"/>
      <c r="G44" s="2224"/>
      <c r="H44" s="2224"/>
      <c r="I44" s="2225"/>
      <c r="J44" s="634"/>
      <c r="K44" s="634"/>
      <c r="L44" s="3125" t="s">
        <v>642</v>
      </c>
      <c r="M44" s="2074"/>
      <c r="N44" s="2075"/>
      <c r="O44" s="3124" t="s">
        <v>1071</v>
      </c>
      <c r="P44" s="3124"/>
      <c r="Q44" s="3165">
        <v>0</v>
      </c>
      <c r="R44" s="3165"/>
      <c r="S44" s="3165"/>
      <c r="T44" s="3165"/>
      <c r="U44" s="3165">
        <v>0</v>
      </c>
      <c r="V44" s="3165"/>
      <c r="W44" s="3165"/>
      <c r="X44" s="3165"/>
      <c r="Y44" s="2118">
        <v>0.02</v>
      </c>
      <c r="Z44" s="2118"/>
      <c r="AA44" s="2118"/>
      <c r="AB44" s="2118"/>
      <c r="AC44" s="2118">
        <v>0</v>
      </c>
      <c r="AD44" s="2118"/>
      <c r="AE44" s="2118"/>
      <c r="AF44" s="2118"/>
      <c r="AG44" s="2168">
        <v>0</v>
      </c>
      <c r="AH44" s="2168"/>
      <c r="AI44" s="2168"/>
      <c r="AJ44" s="2168"/>
      <c r="AK44" s="2234" t="str">
        <f>IF(C44="Alipay+","新Alipay+(APS)","")</f>
        <v>新Alipay+(APS)</v>
      </c>
      <c r="AL44" s="2235"/>
      <c r="AM44" s="2235"/>
      <c r="AN44" s="2235"/>
      <c r="AO44" s="2201" t="s">
        <v>5717</v>
      </c>
      <c r="AP44" s="2201"/>
      <c r="AQ44" s="2201"/>
      <c r="AR44" s="2199" t="s">
        <v>5718</v>
      </c>
      <c r="AS44" s="2199"/>
      <c r="AT44" s="2236"/>
      <c r="AU44" s="234"/>
      <c r="AV44" s="488" t="b">
        <v>0</v>
      </c>
      <c r="AW44" s="1376">
        <f>IF(AND(C44="Alipay",AV44=TRUE),1,0)</f>
        <v>0</v>
      </c>
      <c r="AX44" s="490" t="s">
        <v>3809</v>
      </c>
      <c r="AY44" s="490" t="str">
        <f>TEXT(BR44,"000")</f>
        <v>932</v>
      </c>
      <c r="AZ44" s="490">
        <f>AW44</f>
        <v>0</v>
      </c>
      <c r="BA44" s="940" t="str">
        <f>IF(O44="2回入金","92",IF(O44="1回入金","91",""))</f>
        <v>92</v>
      </c>
      <c r="BB44" s="496" t="str">
        <f>$AZ$3</f>
        <v>14</v>
      </c>
      <c r="BC44" s="470" t="s">
        <v>2063</v>
      </c>
      <c r="BD44" s="470">
        <f>ROW(C44)</f>
        <v>44</v>
      </c>
      <c r="BE44" s="470">
        <f>IF(AY44&amp;BC44=AY43&amp;BC43,BE43+1,1)</f>
        <v>1</v>
      </c>
      <c r="BF44" s="470" t="str">
        <f>AY44&amp;BC44&amp;BE44</f>
        <v>932932011</v>
      </c>
      <c r="BG44" s="470"/>
      <c r="BH44" s="470"/>
      <c r="BI44" s="470" t="str">
        <f>BR44&amp;"01"</f>
        <v>93201</v>
      </c>
      <c r="BJ44" s="470">
        <f>IF(L44=$BC$2,1,0)</f>
        <v>1</v>
      </c>
      <c r="BK44" s="470">
        <f>AZ44</f>
        <v>0</v>
      </c>
      <c r="BL44" s="774" t="str">
        <f t="shared" ref="BL44:BP45" ca="1" si="14">IF($AW44=0,"",INDIRECT(ADDRESS($BD44,BL$8)))</f>
        <v/>
      </c>
      <c r="BM44" s="774" t="str">
        <f t="shared" ca="1" si="14"/>
        <v/>
      </c>
      <c r="BN44" s="538" t="str">
        <f t="shared" ca="1" si="14"/>
        <v/>
      </c>
      <c r="BO44" s="538" t="str">
        <f t="shared" ca="1" si="14"/>
        <v/>
      </c>
      <c r="BP44" s="491" t="str">
        <f t="shared" ca="1" si="14"/>
        <v/>
      </c>
      <c r="BQ44" s="539"/>
      <c r="BR44" s="1384">
        <v>932</v>
      </c>
      <c r="BU44" s="24"/>
      <c r="BV44" s="24"/>
      <c r="BW44" s="24"/>
      <c r="BX44" s="24"/>
      <c r="BY44" s="24"/>
      <c r="BZ44" s="722" t="s">
        <v>1363</v>
      </c>
      <c r="CA44" s="723" t="str">
        <f t="shared" si="0"/>
        <v>1210473</v>
      </c>
      <c r="CB44" s="724" t="s">
        <v>682</v>
      </c>
      <c r="CD44" s="145">
        <v>6108</v>
      </c>
      <c r="CE44" s="145" t="s">
        <v>5106</v>
      </c>
      <c r="CF44" s="145">
        <v>6108</v>
      </c>
      <c r="CG44" s="34"/>
      <c r="CH44" s="62" t="s">
        <v>323</v>
      </c>
      <c r="CI44" s="63" t="s">
        <v>586</v>
      </c>
      <c r="CJ44" s="63" t="s">
        <v>321</v>
      </c>
      <c r="CK44" s="62" t="s">
        <v>320</v>
      </c>
      <c r="CL44" s="62" t="s">
        <v>587</v>
      </c>
      <c r="CM44" s="62" t="s">
        <v>326</v>
      </c>
      <c r="CN44" s="62" t="s">
        <v>327</v>
      </c>
      <c r="CO44" s="62" t="s">
        <v>376</v>
      </c>
      <c r="CP44" s="62" t="s">
        <v>377</v>
      </c>
      <c r="CQ44" s="10"/>
      <c r="CR44" s="68"/>
      <c r="CS44" s="68"/>
      <c r="CT44" s="68"/>
      <c r="CU44" s="68"/>
      <c r="CV44" s="60">
        <f t="shared" si="1"/>
        <v>0</v>
      </c>
      <c r="CW44" s="45" t="s">
        <v>204</v>
      </c>
      <c r="CX44" s="45"/>
      <c r="CY44" s="53" t="s">
        <v>736</v>
      </c>
      <c r="CZ44" s="54" t="s">
        <v>343</v>
      </c>
      <c r="DA44" s="53"/>
      <c r="DB44" s="45" t="str">
        <f t="shared" si="2"/>
        <v>001</v>
      </c>
      <c r="DC44" s="108" t="s">
        <v>205</v>
      </c>
      <c r="DD44" s="45"/>
      <c r="DE44" s="90"/>
      <c r="DF44" s="90"/>
      <c r="DG44" s="90"/>
      <c r="DH44" s="543" t="s">
        <v>3198</v>
      </c>
      <c r="DI44" s="547" t="s">
        <v>3208</v>
      </c>
      <c r="DJ44" s="544"/>
      <c r="DK44" s="101" t="str">
        <f t="shared" si="4"/>
        <v>106242ZP</v>
      </c>
      <c r="DL44" s="105" t="s">
        <v>3644</v>
      </c>
      <c r="DM44" s="105" t="s">
        <v>3218</v>
      </c>
      <c r="DN44" s="454" t="str">
        <f>ASC(V138)</f>
        <v>0</v>
      </c>
      <c r="DO44" s="41"/>
      <c r="DP44" s="452" t="s">
        <v>1294</v>
      </c>
      <c r="DQ44" s="452" t="s">
        <v>1166</v>
      </c>
      <c r="DR44" s="452" t="s">
        <v>1297</v>
      </c>
      <c r="DS44" s="452" t="s">
        <v>1298</v>
      </c>
      <c r="DT44" s="453" t="s">
        <v>1167</v>
      </c>
      <c r="DU44" s="454" t="str">
        <f ca="1">TEXT(TODAY(),"yyyymmdd")</f>
        <v>20240906</v>
      </c>
      <c r="DV44" s="34"/>
      <c r="DX44" s="115"/>
      <c r="DY44" s="115"/>
    </row>
    <row r="45" spans="1:129" ht="19.5" customHeight="1">
      <c r="A45" s="447"/>
      <c r="B45" s="249"/>
      <c r="C45" s="2175" t="s">
        <v>2064</v>
      </c>
      <c r="D45" s="2176"/>
      <c r="E45" s="2176"/>
      <c r="F45" s="2176"/>
      <c r="G45" s="2176"/>
      <c r="H45" s="2176"/>
      <c r="I45" s="2177"/>
      <c r="J45" s="634"/>
      <c r="K45" s="634"/>
      <c r="L45" s="2243" t="s">
        <v>642</v>
      </c>
      <c r="M45" s="2244"/>
      <c r="N45" s="2245"/>
      <c r="O45" s="3124" t="s">
        <v>1071</v>
      </c>
      <c r="P45" s="3124"/>
      <c r="Q45" s="3165">
        <v>0</v>
      </c>
      <c r="R45" s="3165"/>
      <c r="S45" s="3165"/>
      <c r="T45" s="3165"/>
      <c r="U45" s="3165">
        <v>0</v>
      </c>
      <c r="V45" s="3165"/>
      <c r="W45" s="3165"/>
      <c r="X45" s="3165"/>
      <c r="Y45" s="2118">
        <v>0.02</v>
      </c>
      <c r="Z45" s="2118"/>
      <c r="AA45" s="2118"/>
      <c r="AB45" s="2118"/>
      <c r="AC45" s="2118">
        <v>0</v>
      </c>
      <c r="AD45" s="2118"/>
      <c r="AE45" s="2118"/>
      <c r="AF45" s="2118"/>
      <c r="AG45" s="2168">
        <v>0</v>
      </c>
      <c r="AH45" s="2168"/>
      <c r="AI45" s="2168"/>
      <c r="AJ45" s="2168"/>
      <c r="AK45" s="965"/>
      <c r="AL45" s="966"/>
      <c r="AM45" s="2220" t="s">
        <v>3263</v>
      </c>
      <c r="AN45" s="2220"/>
      <c r="AO45" s="2220"/>
      <c r="AP45" s="2221" t="s">
        <v>2389</v>
      </c>
      <c r="AQ45" s="2221"/>
      <c r="AR45" s="2221"/>
      <c r="AS45" s="2221"/>
      <c r="AT45" s="3077"/>
      <c r="AU45" s="234"/>
      <c r="AV45" s="488" t="b">
        <v>0</v>
      </c>
      <c r="AW45" s="490">
        <f>IF(AV45=TRUE,AV45*1,0)</f>
        <v>0</v>
      </c>
      <c r="AX45" s="490" t="s">
        <v>3810</v>
      </c>
      <c r="AY45" s="490" t="str">
        <f>TEXT(BR45,"000")</f>
        <v>931</v>
      </c>
      <c r="AZ45" s="490">
        <f>AW45</f>
        <v>0</v>
      </c>
      <c r="BA45" s="470" t="str">
        <f>IF(O45="2回入金","92",IF(O45="1回入金","91",""))</f>
        <v>92</v>
      </c>
      <c r="BB45" s="470" t="str">
        <f>$AZ$3</f>
        <v>14</v>
      </c>
      <c r="BC45" s="470" t="s">
        <v>2065</v>
      </c>
      <c r="BD45" s="470">
        <f>ROW(C45)</f>
        <v>45</v>
      </c>
      <c r="BE45" s="470">
        <f>IF(AY45&amp;BC45=AY44&amp;BC44,BE44+1,1)</f>
        <v>1</v>
      </c>
      <c r="BF45" s="470" t="str">
        <f>AY45&amp;BC45&amp;BE45</f>
        <v>931931011</v>
      </c>
      <c r="BG45" s="470"/>
      <c r="BH45" s="470"/>
      <c r="BI45" s="470" t="str">
        <f>BR45&amp;"01"</f>
        <v>93101</v>
      </c>
      <c r="BJ45" s="470">
        <f>IF(L45=$BC$2,1,0)</f>
        <v>1</v>
      </c>
      <c r="BK45" s="470">
        <f>AZ45</f>
        <v>0</v>
      </c>
      <c r="BL45" s="774" t="str">
        <f t="shared" ca="1" si="14"/>
        <v/>
      </c>
      <c r="BM45" s="774" t="str">
        <f t="shared" ca="1" si="14"/>
        <v/>
      </c>
      <c r="BN45" s="494" t="str">
        <f t="shared" ca="1" si="14"/>
        <v/>
      </c>
      <c r="BO45" s="494" t="str">
        <f t="shared" ca="1" si="14"/>
        <v/>
      </c>
      <c r="BP45" s="491" t="str">
        <f t="shared" ca="1" si="14"/>
        <v/>
      </c>
      <c r="BQ45" s="539"/>
      <c r="BR45" s="470">
        <v>931</v>
      </c>
      <c r="BU45" s="24"/>
      <c r="BV45" s="24"/>
      <c r="BW45" s="24"/>
      <c r="BX45" s="24"/>
      <c r="BY45" s="24"/>
      <c r="BZ45" s="722" t="s">
        <v>1364</v>
      </c>
      <c r="CA45" s="723" t="str">
        <f t="shared" si="0"/>
        <v>1600945</v>
      </c>
      <c r="CB45" s="724" t="s">
        <v>683</v>
      </c>
      <c r="CD45" s="1337"/>
      <c r="CE45" s="1337"/>
      <c r="CF45" s="1337"/>
      <c r="CG45" s="34"/>
      <c r="CH45" s="65" t="s">
        <v>405</v>
      </c>
      <c r="CI45" s="65" t="s">
        <v>21</v>
      </c>
      <c r="CJ45" s="65" t="s">
        <v>607</v>
      </c>
      <c r="CK45" s="65" t="s">
        <v>216</v>
      </c>
      <c r="CL45" s="65" t="s">
        <v>220</v>
      </c>
      <c r="CM45" s="65"/>
      <c r="CN45" s="65" t="s">
        <v>843</v>
      </c>
      <c r="CO45" s="66" t="s">
        <v>235</v>
      </c>
      <c r="CP45" s="78" t="str">
        <f>DBCS(SUBSTITUTE(SUBSTITUTE(SUBSTITUTE(T(記入シート1!I61),"―","ー"),"－","‐"),"～","ー"))</f>
        <v/>
      </c>
      <c r="CQ45" s="10"/>
      <c r="CR45" s="61"/>
      <c r="CS45" s="61"/>
      <c r="CT45" s="10" t="s">
        <v>583</v>
      </c>
      <c r="CU45" s="61"/>
      <c r="CV45" s="60"/>
      <c r="CW45" s="45" t="s">
        <v>201</v>
      </c>
      <c r="CX45" s="45"/>
      <c r="CY45" s="53" t="s">
        <v>736</v>
      </c>
      <c r="CZ45" s="54" t="s">
        <v>343</v>
      </c>
      <c r="DA45" s="53"/>
      <c r="DB45" s="45" t="str">
        <f t="shared" si="2"/>
        <v>001</v>
      </c>
      <c r="DC45" s="108" t="s">
        <v>202</v>
      </c>
      <c r="DD45" s="45"/>
      <c r="DE45" s="90"/>
      <c r="DF45" s="90"/>
      <c r="DG45" s="90"/>
      <c r="DH45" s="1331" t="s">
        <v>5555</v>
      </c>
      <c r="DI45" s="547" t="s">
        <v>1914</v>
      </c>
      <c r="DJ45" s="544" t="s">
        <v>1924</v>
      </c>
      <c r="DK45" s="101" t="str">
        <f t="shared" si="4"/>
        <v>107012Z1</v>
      </c>
      <c r="DL45" s="1332" t="s">
        <v>5556</v>
      </c>
      <c r="DM45" s="105" t="s">
        <v>1941</v>
      </c>
      <c r="DN45" s="546" t="s">
        <v>2169</v>
      </c>
      <c r="DO45" s="41"/>
      <c r="DP45" s="452" t="s">
        <v>1294</v>
      </c>
      <c r="DQ45" s="452" t="s">
        <v>1168</v>
      </c>
      <c r="DR45" s="452" t="s">
        <v>1273</v>
      </c>
      <c r="DS45" s="452" t="s">
        <v>1300</v>
      </c>
      <c r="DT45" s="457" t="s">
        <v>1301</v>
      </c>
      <c r="DU45" s="459"/>
      <c r="DV45" s="34"/>
      <c r="DX45" s="115"/>
      <c r="DY45" s="115"/>
    </row>
    <row r="46" spans="1:129" ht="19.5" customHeight="1">
      <c r="A46" s="447"/>
      <c r="B46" s="249"/>
      <c r="C46" s="2175" t="s">
        <v>2058</v>
      </c>
      <c r="D46" s="2176"/>
      <c r="E46" s="2176"/>
      <c r="F46" s="2176"/>
      <c r="G46" s="2176"/>
      <c r="H46" s="2176"/>
      <c r="I46" s="2176"/>
      <c r="J46" s="634"/>
      <c r="K46" s="634"/>
      <c r="L46" s="2237"/>
      <c r="M46" s="2238"/>
      <c r="N46" s="2238"/>
      <c r="O46" s="2239"/>
      <c r="P46" s="2239"/>
      <c r="Q46" s="915"/>
      <c r="R46" s="915"/>
      <c r="S46" s="915"/>
      <c r="T46" s="915"/>
      <c r="U46" s="919"/>
      <c r="V46" s="956"/>
      <c r="W46" s="956"/>
      <c r="X46" s="956"/>
      <c r="Y46" s="956"/>
      <c r="Z46" s="956"/>
      <c r="AA46" s="956"/>
      <c r="AB46" s="956"/>
      <c r="AC46" s="956"/>
      <c r="AD46" s="956"/>
      <c r="AE46" s="956"/>
      <c r="AF46" s="956"/>
      <c r="AG46" s="956"/>
      <c r="AH46" s="956"/>
      <c r="AI46" s="956"/>
      <c r="AJ46" s="956"/>
      <c r="AK46" s="956"/>
      <c r="AL46" s="956"/>
      <c r="AM46" s="956"/>
      <c r="AN46" s="956"/>
      <c r="AO46" s="956"/>
      <c r="AP46" s="956"/>
      <c r="AQ46" s="956"/>
      <c r="AR46" s="956"/>
      <c r="AS46" s="956"/>
      <c r="AT46" s="964"/>
      <c r="AU46" s="234"/>
      <c r="AV46" s="850" t="str">
        <f>IF(OR(AP45="",LEFT(AP45,2)="00"),"",LEFT(AP45,2))</f>
        <v/>
      </c>
      <c r="AW46" s="489"/>
      <c r="AX46" s="489"/>
      <c r="AY46" s="489"/>
      <c r="AZ46" s="489"/>
      <c r="BA46" s="202"/>
      <c r="BB46" s="202"/>
      <c r="BC46" s="202"/>
      <c r="BD46" s="202"/>
      <c r="BE46" s="202"/>
      <c r="BF46" s="202"/>
      <c r="BG46" s="202"/>
      <c r="BH46" s="202"/>
      <c r="BI46" s="202"/>
      <c r="BJ46" s="202"/>
      <c r="BK46" s="202"/>
      <c r="BL46" s="202"/>
      <c r="BM46" s="202"/>
      <c r="BN46" s="202"/>
      <c r="BO46" s="202"/>
      <c r="BP46" s="202"/>
      <c r="BQ46" s="468"/>
      <c r="BR46" s="202"/>
      <c r="BU46" s="24"/>
      <c r="BV46" s="24"/>
      <c r="BW46" s="24"/>
      <c r="BX46" s="24"/>
      <c r="BY46" s="24"/>
      <c r="BZ46" s="722" t="s">
        <v>1365</v>
      </c>
      <c r="CA46" s="723" t="str">
        <f>TEXT(BZ46,"0000000")</f>
        <v>1601605</v>
      </c>
      <c r="CB46" s="724" t="s">
        <v>684</v>
      </c>
      <c r="CD46" s="1337"/>
      <c r="CE46" s="1337"/>
      <c r="CF46" s="1337"/>
      <c r="CG46" s="34"/>
      <c r="CH46" s="65" t="s">
        <v>230</v>
      </c>
      <c r="CI46" s="65" t="s">
        <v>22</v>
      </c>
      <c r="CJ46" s="65">
        <v>100</v>
      </c>
      <c r="CK46" s="65" t="s">
        <v>216</v>
      </c>
      <c r="CL46" s="65" t="s">
        <v>410</v>
      </c>
      <c r="CM46" s="65"/>
      <c r="CN46" s="65"/>
      <c r="CO46" s="66" t="s">
        <v>229</v>
      </c>
      <c r="CP46" s="78" t="str">
        <f>ASC(SUBSTITUTE(SUBSTITUTE(SUBSTITUTE(SUBSTITUTE(T(記入シート1!I60),"ヴ","ウﾞ"),"―","ー"),"－","‐"),"～","ー"))</f>
        <v/>
      </c>
      <c r="CQ46" s="10"/>
      <c r="CR46" s="61"/>
      <c r="CS46" s="61"/>
      <c r="CT46" s="61"/>
      <c r="CU46" s="61"/>
      <c r="CV46" s="60"/>
      <c r="CW46" s="45" t="s">
        <v>726</v>
      </c>
      <c r="CX46" s="45"/>
      <c r="CY46" s="53"/>
      <c r="CZ46" s="54"/>
      <c r="DA46" s="53"/>
      <c r="DB46" s="45" t="str">
        <f t="shared" si="2"/>
        <v>001</v>
      </c>
      <c r="DC46" s="108" t="s">
        <v>199</v>
      </c>
      <c r="DD46" s="45"/>
      <c r="DE46" s="90"/>
      <c r="DF46" s="90"/>
      <c r="DG46" s="90"/>
      <c r="DH46" s="1331" t="s">
        <v>5555</v>
      </c>
      <c r="DI46" s="547" t="s">
        <v>1915</v>
      </c>
      <c r="DJ46" s="544" t="s">
        <v>1913</v>
      </c>
      <c r="DK46" s="101" t="str">
        <f t="shared" ref="DK46:DK109" si="15">DL46&amp;DM46</f>
        <v>107012Z3</v>
      </c>
      <c r="DL46" s="1332" t="s">
        <v>5556</v>
      </c>
      <c r="DM46" s="105" t="s">
        <v>1942</v>
      </c>
      <c r="DN46" s="546" t="s">
        <v>5520</v>
      </c>
      <c r="DO46" s="41"/>
      <c r="DP46" s="41"/>
      <c r="DQ46" s="465"/>
      <c r="DR46" s="465"/>
      <c r="DS46" s="465"/>
      <c r="DT46" s="465"/>
      <c r="DU46" s="465"/>
      <c r="DV46" s="34"/>
      <c r="DX46" s="115"/>
      <c r="DY46" s="115"/>
    </row>
    <row r="47" spans="1:129" ht="19.5" customHeight="1">
      <c r="A47" s="447"/>
      <c r="B47" s="249"/>
      <c r="C47" s="2251">
        <v>1</v>
      </c>
      <c r="D47" s="2252"/>
      <c r="E47" s="2252"/>
      <c r="F47" s="648" t="s">
        <v>2066</v>
      </c>
      <c r="G47" s="2252">
        <v>14999</v>
      </c>
      <c r="H47" s="2252"/>
      <c r="I47" s="2253"/>
      <c r="J47" s="652"/>
      <c r="K47" s="633"/>
      <c r="L47" s="3194" t="s">
        <v>642</v>
      </c>
      <c r="M47" s="3195"/>
      <c r="N47" s="3196"/>
      <c r="O47" s="3198" t="s">
        <v>1071</v>
      </c>
      <c r="P47" s="3199"/>
      <c r="Q47" s="3090">
        <v>0</v>
      </c>
      <c r="R47" s="3091"/>
      <c r="S47" s="3091"/>
      <c r="T47" s="3092"/>
      <c r="U47" s="3090">
        <v>0</v>
      </c>
      <c r="V47" s="3091"/>
      <c r="W47" s="3091"/>
      <c r="X47" s="3092"/>
      <c r="Y47" s="2118">
        <v>0.02</v>
      </c>
      <c r="Z47" s="2118"/>
      <c r="AA47" s="2118"/>
      <c r="AB47" s="2118"/>
      <c r="AC47" s="2118">
        <v>0</v>
      </c>
      <c r="AD47" s="2118"/>
      <c r="AE47" s="2118"/>
      <c r="AF47" s="2118"/>
      <c r="AG47" s="2168">
        <v>0</v>
      </c>
      <c r="AH47" s="2168"/>
      <c r="AI47" s="2168"/>
      <c r="AJ47" s="2168"/>
      <c r="AK47" s="956"/>
      <c r="AL47" s="956"/>
      <c r="AM47" s="956"/>
      <c r="AN47" s="956"/>
      <c r="AO47" s="956"/>
      <c r="AP47" s="956"/>
      <c r="AQ47" s="956"/>
      <c r="AR47" s="956"/>
      <c r="AS47" s="956"/>
      <c r="AT47" s="964"/>
      <c r="AU47" s="234"/>
      <c r="AV47" s="488" t="b">
        <v>0</v>
      </c>
      <c r="AW47" s="490">
        <f>IF(AV47=TRUE,AV47*1,0)</f>
        <v>0</v>
      </c>
      <c r="AX47" s="490" t="s">
        <v>3811</v>
      </c>
      <c r="AY47" s="490" t="str">
        <f>TEXT(BR47,"000")</f>
        <v>935</v>
      </c>
      <c r="AZ47" s="490">
        <f>AW47</f>
        <v>0</v>
      </c>
      <c r="BA47" s="470" t="str">
        <f>IF(O47="2回入金","92",IF(O47="1回入金","91",""))</f>
        <v>92</v>
      </c>
      <c r="BB47" s="470" t="str">
        <f>$AZ$3</f>
        <v>14</v>
      </c>
      <c r="BC47" s="470" t="s">
        <v>2067</v>
      </c>
      <c r="BD47" s="470">
        <f>ROW(C47)</f>
        <v>47</v>
      </c>
      <c r="BE47" s="470">
        <f>IF(AY47&amp;BC47=AY46&amp;BC46,BE46+1,1)</f>
        <v>1</v>
      </c>
      <c r="BF47" s="470" t="str">
        <f>AY47&amp;BC47&amp;BE47</f>
        <v>935000001</v>
      </c>
      <c r="BG47" s="470">
        <f>C47</f>
        <v>1</v>
      </c>
      <c r="BH47" s="470">
        <f>IF(BG47&gt;0,IF(LEN(G47)=0,999999999,VALUE(G47)*1),IF(LEN(G47)=0,0,VALUE(G47)*1))</f>
        <v>14999</v>
      </c>
      <c r="BI47" s="470" t="str">
        <f>BR47&amp;"01"</f>
        <v>93501</v>
      </c>
      <c r="BJ47" s="470">
        <f>IF(L47=$BC$2,1,0)</f>
        <v>1</v>
      </c>
      <c r="BK47" s="470">
        <f>AZ47</f>
        <v>0</v>
      </c>
      <c r="BL47" s="2246" t="str">
        <f ca="1">IF($AW47=0,"",INDIRECT(ADDRESS($BD47,BL$8)))</f>
        <v/>
      </c>
      <c r="BM47" s="2246" t="str">
        <f ca="1">IF($AW47=0,"",INDIRECT(ADDRESS($BD47,BM$8)))</f>
        <v/>
      </c>
      <c r="BN47" s="538" t="str">
        <f ca="1">IF($AW47=0,"",INDIRECT(ADDRESS($BD47,BN$8)))</f>
        <v/>
      </c>
      <c r="BO47" s="538" t="str">
        <f ca="1">IF($AW47=0,"",INDIRECT(ADDRESS($BD47,BO$8)))</f>
        <v/>
      </c>
      <c r="BP47" s="491" t="str">
        <f ca="1">IF($AW47=0,"",INDIRECT(ADDRESS($BD47,BP$8)))</f>
        <v/>
      </c>
      <c r="BQ47" s="539"/>
      <c r="BR47" s="470">
        <v>935</v>
      </c>
      <c r="BZ47" s="722" t="s">
        <v>1366</v>
      </c>
      <c r="CA47" s="723" t="str">
        <f t="shared" si="0"/>
        <v>1601607</v>
      </c>
      <c r="CB47" s="724" t="s">
        <v>685</v>
      </c>
      <c r="CD47" s="145">
        <v>6171</v>
      </c>
      <c r="CE47" s="145" t="s">
        <v>5562</v>
      </c>
      <c r="CF47" s="145">
        <v>6171</v>
      </c>
      <c r="CG47" s="34"/>
      <c r="CH47" s="65" t="s">
        <v>415</v>
      </c>
      <c r="CI47" s="65" t="s">
        <v>21</v>
      </c>
      <c r="CJ47" s="65">
        <v>100</v>
      </c>
      <c r="CK47" s="65" t="s">
        <v>216</v>
      </c>
      <c r="CL47" s="65" t="s">
        <v>90</v>
      </c>
      <c r="CM47" s="65"/>
      <c r="CN47" s="65" t="s">
        <v>606</v>
      </c>
      <c r="CO47" s="66" t="s">
        <v>233</v>
      </c>
      <c r="CP47" s="78" t="str">
        <f>DBCS(SUBSTITUTE(SUBSTITUTE(SUBSTITUTE(T(記入シート1!I61),"―","ー"),"－","‐"),"～","ー"))</f>
        <v/>
      </c>
      <c r="CQ47" s="10"/>
      <c r="CR47" s="61"/>
      <c r="CS47" s="61"/>
      <c r="CT47" s="61"/>
      <c r="CU47" s="61"/>
      <c r="CV47" s="60"/>
      <c r="CW47" s="45" t="s">
        <v>197</v>
      </c>
      <c r="CX47" s="45"/>
      <c r="CY47" s="53" t="s">
        <v>736</v>
      </c>
      <c r="CZ47" s="54" t="s">
        <v>343</v>
      </c>
      <c r="DA47" s="53"/>
      <c r="DB47" s="45" t="str">
        <f t="shared" si="2"/>
        <v>001</v>
      </c>
      <c r="DC47" s="108" t="s">
        <v>198</v>
      </c>
      <c r="DD47" s="45"/>
      <c r="DE47" s="90"/>
      <c r="DF47" s="90"/>
      <c r="DG47" s="90"/>
      <c r="DH47" s="543" t="s">
        <v>1916</v>
      </c>
      <c r="DI47" s="547" t="s">
        <v>1917</v>
      </c>
      <c r="DJ47" s="544" t="s">
        <v>1925</v>
      </c>
      <c r="DK47" s="101" t="str">
        <f t="shared" si="15"/>
        <v>10801302</v>
      </c>
      <c r="DL47" s="105" t="s">
        <v>1963</v>
      </c>
      <c r="DM47" s="105" t="s">
        <v>1943</v>
      </c>
      <c r="DN47" s="546" t="str">
        <f ca="1">IF(ASC(AW25)="0","",ASC(AW25))</f>
        <v/>
      </c>
      <c r="DO47" s="41"/>
      <c r="DP47" s="41"/>
      <c r="DQ47" s="465"/>
      <c r="DR47" s="465"/>
      <c r="DS47" s="465"/>
      <c r="DT47" s="465"/>
      <c r="DU47" s="465"/>
      <c r="DV47" s="34"/>
      <c r="DX47" s="115"/>
      <c r="DY47" s="115"/>
    </row>
    <row r="48" spans="1:129" ht="19.5" customHeight="1">
      <c r="A48" s="447"/>
      <c r="B48" s="249"/>
      <c r="C48" s="2247">
        <v>15000</v>
      </c>
      <c r="D48" s="2248"/>
      <c r="E48" s="2248"/>
      <c r="F48" s="636" t="s">
        <v>2068</v>
      </c>
      <c r="G48" s="2249"/>
      <c r="H48" s="2249"/>
      <c r="I48" s="2250"/>
      <c r="J48" s="653"/>
      <c r="K48" s="617"/>
      <c r="L48" s="2257"/>
      <c r="M48" s="2258"/>
      <c r="N48" s="2259"/>
      <c r="O48" s="3200"/>
      <c r="P48" s="3201"/>
      <c r="Q48" s="3093"/>
      <c r="R48" s="3094"/>
      <c r="S48" s="3094"/>
      <c r="T48" s="3095"/>
      <c r="U48" s="3093"/>
      <c r="V48" s="3094"/>
      <c r="W48" s="3094"/>
      <c r="X48" s="3095"/>
      <c r="Y48" s="2118">
        <v>0.02</v>
      </c>
      <c r="Z48" s="2118"/>
      <c r="AA48" s="2118"/>
      <c r="AB48" s="2118"/>
      <c r="AC48" s="2118">
        <v>0</v>
      </c>
      <c r="AD48" s="2118"/>
      <c r="AE48" s="2118"/>
      <c r="AF48" s="2118"/>
      <c r="AG48" s="2168">
        <v>0</v>
      </c>
      <c r="AH48" s="2168"/>
      <c r="AI48" s="2168"/>
      <c r="AJ48" s="2168"/>
      <c r="AK48" s="956"/>
      <c r="AL48" s="956"/>
      <c r="AM48" s="956"/>
      <c r="AN48" s="956"/>
      <c r="AO48" s="956"/>
      <c r="AP48" s="956"/>
      <c r="AQ48" s="956"/>
      <c r="AR48" s="956"/>
      <c r="AS48" s="956"/>
      <c r="AT48" s="964"/>
      <c r="AU48" s="234"/>
      <c r="AV48" s="200"/>
      <c r="AW48" s="490">
        <f>AW47</f>
        <v>0</v>
      </c>
      <c r="AX48" s="490"/>
      <c r="AY48" s="490" t="str">
        <f>TEXT(BR48,"000")</f>
        <v>935</v>
      </c>
      <c r="AZ48" s="490">
        <f>AW48</f>
        <v>0</v>
      </c>
      <c r="BA48" s="470"/>
      <c r="BB48" s="470" t="str">
        <f>$AZ$3</f>
        <v>14</v>
      </c>
      <c r="BC48" s="470" t="s">
        <v>2067</v>
      </c>
      <c r="BD48" s="470">
        <f>ROW(C48)</f>
        <v>48</v>
      </c>
      <c r="BE48" s="470">
        <f>IF(AY48&amp;BC48=AY47&amp;BC47,BE47+1,1)</f>
        <v>2</v>
      </c>
      <c r="BF48" s="470" t="str">
        <f>AY48&amp;BC48&amp;BE48</f>
        <v>935000002</v>
      </c>
      <c r="BG48" s="470">
        <f>C48</f>
        <v>15000</v>
      </c>
      <c r="BH48" s="654">
        <f>IF(BG48&gt;0,IF(LEN(G48)=0,999999999,VALUE(G48)*1),IF(LEN(G48)=0,0,VALUE(G48)*1))</f>
        <v>999999999</v>
      </c>
      <c r="BI48" s="470" t="str">
        <f>BR48&amp;"01"</f>
        <v>93501</v>
      </c>
      <c r="BJ48" s="470">
        <f>BJ47</f>
        <v>1</v>
      </c>
      <c r="BK48" s="470">
        <f>AZ48</f>
        <v>0</v>
      </c>
      <c r="BL48" s="2246"/>
      <c r="BM48" s="2246"/>
      <c r="BN48" s="538" t="str">
        <f t="shared" ref="BN48:BP50" ca="1" si="16">IF($AW48=0,"",INDIRECT(ADDRESS($BD48,BN$8)))</f>
        <v/>
      </c>
      <c r="BO48" s="538" t="str">
        <f t="shared" ca="1" si="16"/>
        <v/>
      </c>
      <c r="BP48" s="491" t="str">
        <f t="shared" ca="1" si="16"/>
        <v/>
      </c>
      <c r="BQ48" s="539"/>
      <c r="BR48" s="470">
        <v>935</v>
      </c>
      <c r="BZ48" s="722" t="s">
        <v>1325</v>
      </c>
      <c r="CA48" s="723" t="str">
        <f t="shared" si="0"/>
        <v>1602484</v>
      </c>
      <c r="CB48" s="724" t="s">
        <v>686</v>
      </c>
      <c r="CD48" s="145">
        <v>6112</v>
      </c>
      <c r="CE48" s="145" t="s">
        <v>5650</v>
      </c>
      <c r="CF48" s="145">
        <v>6112</v>
      </c>
      <c r="CG48" s="34"/>
      <c r="CH48" s="65" t="s">
        <v>416</v>
      </c>
      <c r="CI48" s="65" t="s">
        <v>22</v>
      </c>
      <c r="CJ48" s="65">
        <v>100</v>
      </c>
      <c r="CK48" s="65" t="s">
        <v>216</v>
      </c>
      <c r="CL48" s="65" t="s">
        <v>90</v>
      </c>
      <c r="CM48" s="65"/>
      <c r="CN48" s="65"/>
      <c r="CO48" s="66" t="s">
        <v>226</v>
      </c>
      <c r="CP48" s="78" t="str">
        <f>UPPER(ASC(SUBSTITUTE(SUBSTITUTE(SUBSTITUTE(T(記入シート1!I64),"―","ー"),"－","‐"),"～","ー")))</f>
        <v/>
      </c>
      <c r="CQ48" s="10"/>
      <c r="CR48" s="61"/>
      <c r="CS48" s="61"/>
      <c r="CT48" s="61"/>
      <c r="CU48" s="61"/>
      <c r="CV48" s="60"/>
      <c r="CW48" s="45" t="s">
        <v>194</v>
      </c>
      <c r="CX48" s="45"/>
      <c r="CY48" s="53" t="s">
        <v>736</v>
      </c>
      <c r="CZ48" s="54" t="s">
        <v>343</v>
      </c>
      <c r="DA48" s="53"/>
      <c r="DB48" s="45" t="str">
        <f t="shared" si="2"/>
        <v>001</v>
      </c>
      <c r="DC48" s="108" t="s">
        <v>195</v>
      </c>
      <c r="DD48" s="45"/>
      <c r="DE48" s="90"/>
      <c r="DF48" s="90"/>
      <c r="DG48" s="90"/>
      <c r="DH48" s="543" t="s">
        <v>1916</v>
      </c>
      <c r="DI48" s="547" t="s">
        <v>1918</v>
      </c>
      <c r="DJ48" s="544" t="s">
        <v>1903</v>
      </c>
      <c r="DK48" s="101" t="str">
        <f t="shared" si="15"/>
        <v>10801303</v>
      </c>
      <c r="DL48" s="105" t="s">
        <v>1963</v>
      </c>
      <c r="DM48" s="105" t="s">
        <v>1944</v>
      </c>
      <c r="DN48" s="546" t="str">
        <f>IF(記入シート1!AV69=TRUE,記入シート1!AV36,記入シート1!AV72)</f>
        <v>00</v>
      </c>
      <c r="DO48" s="41"/>
      <c r="DP48" s="41"/>
      <c r="DQ48" s="465"/>
      <c r="DR48" s="465"/>
      <c r="DS48" s="465"/>
      <c r="DT48" s="465"/>
      <c r="DU48" s="465"/>
      <c r="DV48" s="34"/>
      <c r="DX48" s="115"/>
      <c r="DY48" s="115"/>
    </row>
    <row r="49" spans="1:129" ht="19.5" hidden="1" customHeight="1">
      <c r="A49" s="447" t="s">
        <v>1234</v>
      </c>
      <c r="B49" s="249"/>
      <c r="C49" s="2247"/>
      <c r="D49" s="2248"/>
      <c r="E49" s="2248"/>
      <c r="F49" s="636" t="s">
        <v>2068</v>
      </c>
      <c r="G49" s="2248"/>
      <c r="H49" s="2248"/>
      <c r="I49" s="2287"/>
      <c r="J49" s="655"/>
      <c r="K49" s="632"/>
      <c r="L49" s="2260"/>
      <c r="M49" s="2261"/>
      <c r="N49" s="2262"/>
      <c r="O49" s="3202"/>
      <c r="P49" s="3203"/>
      <c r="Q49" s="3096"/>
      <c r="R49" s="3097"/>
      <c r="S49" s="3097"/>
      <c r="T49" s="3098"/>
      <c r="U49" s="3096"/>
      <c r="V49" s="3097"/>
      <c r="W49" s="3097"/>
      <c r="X49" s="3098"/>
      <c r="Y49" s="2118">
        <v>0</v>
      </c>
      <c r="Z49" s="2118"/>
      <c r="AA49" s="2118"/>
      <c r="AB49" s="2118"/>
      <c r="AC49" s="2118">
        <v>0</v>
      </c>
      <c r="AD49" s="2118"/>
      <c r="AE49" s="2118"/>
      <c r="AF49" s="2118"/>
      <c r="AG49" s="2168">
        <v>0</v>
      </c>
      <c r="AH49" s="2168"/>
      <c r="AI49" s="2168"/>
      <c r="AJ49" s="2168"/>
      <c r="AK49" s="956"/>
      <c r="AL49" s="956"/>
      <c r="AM49" s="956"/>
      <c r="AN49" s="956"/>
      <c r="AO49" s="956"/>
      <c r="AP49" s="956"/>
      <c r="AQ49" s="956"/>
      <c r="AR49" s="956"/>
      <c r="AS49" s="956"/>
      <c r="AT49" s="964"/>
      <c r="AU49" s="234"/>
      <c r="AV49" s="200"/>
      <c r="AW49" s="490">
        <f>AW48</f>
        <v>0</v>
      </c>
      <c r="AX49" s="490"/>
      <c r="AY49" s="490" t="str">
        <f>TEXT(BR49,"000")</f>
        <v>935</v>
      </c>
      <c r="AZ49" s="490">
        <f>AW49</f>
        <v>0</v>
      </c>
      <c r="BA49" s="470"/>
      <c r="BB49" s="470" t="str">
        <f>$AZ$3</f>
        <v>14</v>
      </c>
      <c r="BC49" s="470" t="s">
        <v>2067</v>
      </c>
      <c r="BD49" s="470">
        <f>ROW(C49)</f>
        <v>49</v>
      </c>
      <c r="BE49" s="470">
        <f>IF(AY49&amp;BC49=AY48&amp;BC48,BE48+1,1)</f>
        <v>3</v>
      </c>
      <c r="BF49" s="470" t="str">
        <f>AY49&amp;BC49&amp;BE49</f>
        <v>935000003</v>
      </c>
      <c r="BG49" s="470">
        <f>C49</f>
        <v>0</v>
      </c>
      <c r="BH49" s="470">
        <f>IF(BG49&gt;0,IF(LEN(G49)=0,999999999,VALUE(G49)*1),IF(LEN(G49)=0,0,VALUE(G49)*1))</f>
        <v>0</v>
      </c>
      <c r="BI49" s="470" t="str">
        <f>BR49&amp;"01"</f>
        <v>93501</v>
      </c>
      <c r="BJ49" s="470">
        <f>BJ48</f>
        <v>1</v>
      </c>
      <c r="BK49" s="470">
        <f>AZ49</f>
        <v>0</v>
      </c>
      <c r="BL49" s="2246"/>
      <c r="BM49" s="2246"/>
      <c r="BN49" s="538" t="str">
        <f t="shared" ca="1" si="16"/>
        <v/>
      </c>
      <c r="BO49" s="538" t="str">
        <f t="shared" ca="1" si="16"/>
        <v/>
      </c>
      <c r="BP49" s="491" t="str">
        <f t="shared" ca="1" si="16"/>
        <v/>
      </c>
      <c r="BQ49" s="539"/>
      <c r="BR49" s="470">
        <v>935</v>
      </c>
      <c r="BT49" s="21"/>
      <c r="BU49" s="2"/>
      <c r="BV49" s="2"/>
      <c r="BX49" s="24"/>
      <c r="BY49" s="19"/>
      <c r="BZ49" s="722">
        <v>1602485</v>
      </c>
      <c r="CA49" s="723" t="str">
        <f t="shared" ref="CA49:CA62" si="17">TEXT(BZ49,"0000000")</f>
        <v>1602485</v>
      </c>
      <c r="CB49" s="724" t="s">
        <v>687</v>
      </c>
      <c r="CD49" s="145">
        <v>6035</v>
      </c>
      <c r="CE49" s="145" t="s">
        <v>5649</v>
      </c>
      <c r="CF49" s="145">
        <v>6035</v>
      </c>
      <c r="CG49" s="34"/>
      <c r="CH49" s="65" t="s">
        <v>24</v>
      </c>
      <c r="CI49" s="65" t="s">
        <v>22</v>
      </c>
      <c r="CJ49" s="65">
        <v>8</v>
      </c>
      <c r="CK49" s="65" t="s">
        <v>216</v>
      </c>
      <c r="CL49" s="65" t="s">
        <v>90</v>
      </c>
      <c r="CM49" s="65"/>
      <c r="CN49" s="65"/>
      <c r="CO49" s="66" t="s">
        <v>556</v>
      </c>
      <c r="CP49" s="78" t="str">
        <f>IF(記入シート1!AV69=TRUE,CP20,ASC(記入シート1!J71&amp;"-"&amp;記入シート1!M71))</f>
        <v>-</v>
      </c>
      <c r="CQ49" s="10"/>
      <c r="CR49" s="61"/>
      <c r="CS49" s="61"/>
      <c r="CT49" s="61"/>
      <c r="CU49" s="61"/>
      <c r="CV49" s="60"/>
      <c r="CW49" s="9" t="s">
        <v>4380</v>
      </c>
      <c r="CX49" s="9"/>
      <c r="CY49" s="1154" t="s">
        <v>4384</v>
      </c>
      <c r="CZ49" s="1155" t="s">
        <v>4383</v>
      </c>
      <c r="DA49" s="1155"/>
      <c r="DB49" s="97" t="str">
        <f t="shared" si="2"/>
        <v>001</v>
      </c>
      <c r="DC49" s="136" t="s">
        <v>4146</v>
      </c>
      <c r="DD49" s="98" t="str">
        <f>IF(AV42=FALSE,"",IF(AV82=2,2,1))</f>
        <v/>
      </c>
      <c r="DE49" s="90"/>
      <c r="DF49" s="90"/>
      <c r="DG49" s="90"/>
      <c r="DH49" s="543" t="s">
        <v>1916</v>
      </c>
      <c r="DI49" s="547" t="s">
        <v>1922</v>
      </c>
      <c r="DJ49" s="544" t="s">
        <v>1925</v>
      </c>
      <c r="DK49" s="101" t="str">
        <f t="shared" si="15"/>
        <v>10801304</v>
      </c>
      <c r="DL49" s="105" t="s">
        <v>1963</v>
      </c>
      <c r="DM49" s="105" t="s">
        <v>1945</v>
      </c>
      <c r="DN49" s="546" t="str">
        <f>"11301027"</f>
        <v>11301027</v>
      </c>
      <c r="DO49" s="41"/>
      <c r="DP49" s="41"/>
      <c r="DQ49" s="465"/>
      <c r="DR49" s="465"/>
      <c r="DS49" s="465"/>
      <c r="DT49" s="465"/>
      <c r="DU49" s="465"/>
      <c r="DV49" s="34"/>
      <c r="DX49" s="115"/>
      <c r="DY49" s="115"/>
    </row>
    <row r="50" spans="1:129" ht="19.5" customHeight="1" thickBot="1">
      <c r="A50" s="447"/>
      <c r="B50" s="249"/>
      <c r="C50" s="2288" t="s">
        <v>3658</v>
      </c>
      <c r="D50" s="2289"/>
      <c r="E50" s="2289"/>
      <c r="F50" s="2289"/>
      <c r="G50" s="2289"/>
      <c r="H50" s="2289"/>
      <c r="I50" s="2290"/>
      <c r="J50" s="961"/>
      <c r="K50" s="962"/>
      <c r="L50" s="2294" t="s">
        <v>642</v>
      </c>
      <c r="M50" s="2295"/>
      <c r="N50" s="2296"/>
      <c r="O50" s="3067" t="s">
        <v>1071</v>
      </c>
      <c r="P50" s="3068"/>
      <c r="Q50" s="3069">
        <v>0</v>
      </c>
      <c r="R50" s="3069"/>
      <c r="S50" s="3069"/>
      <c r="T50" s="3069"/>
      <c r="U50" s="3069">
        <v>0</v>
      </c>
      <c r="V50" s="3069"/>
      <c r="W50" s="3069"/>
      <c r="X50" s="3069"/>
      <c r="Y50" s="1997">
        <v>2.5000000000000001E-2</v>
      </c>
      <c r="Z50" s="1997"/>
      <c r="AA50" s="1997"/>
      <c r="AB50" s="1997"/>
      <c r="AC50" s="1997">
        <v>0</v>
      </c>
      <c r="AD50" s="1997"/>
      <c r="AE50" s="1997"/>
      <c r="AF50" s="1997"/>
      <c r="AG50" s="1996">
        <v>0</v>
      </c>
      <c r="AH50" s="1996"/>
      <c r="AI50" s="1996"/>
      <c r="AJ50" s="1996"/>
      <c r="AK50" s="874"/>
      <c r="AL50" s="874"/>
      <c r="AM50" s="874"/>
      <c r="AN50" s="874"/>
      <c r="AO50" s="874"/>
      <c r="AP50" s="874"/>
      <c r="AQ50" s="874"/>
      <c r="AR50" s="874"/>
      <c r="AS50" s="874"/>
      <c r="AT50" s="875"/>
      <c r="AU50" s="234"/>
      <c r="AV50" s="488" t="b">
        <v>0</v>
      </c>
      <c r="AW50" s="490">
        <f>IF(AV50=TRUE,AV50*1,0)</f>
        <v>0</v>
      </c>
      <c r="AX50" s="490" t="s">
        <v>3812</v>
      </c>
      <c r="AY50" s="490" t="str">
        <f>TEXT(BR50,"000")</f>
        <v>943</v>
      </c>
      <c r="AZ50" s="490">
        <f>AW50</f>
        <v>0</v>
      </c>
      <c r="BA50" s="470" t="str">
        <f>IF(O50="2回入金","92",IF(O50="1回入金","91",""))</f>
        <v>92</v>
      </c>
      <c r="BB50" s="496" t="str">
        <f>$AZ$3</f>
        <v>14</v>
      </c>
      <c r="BC50" s="470" t="s">
        <v>2067</v>
      </c>
      <c r="BD50" s="470">
        <f>ROW(C50)</f>
        <v>50</v>
      </c>
      <c r="BE50" s="470">
        <f>IF(AY50&amp;BC50=AY49&amp;BC49,BE49+1,1)</f>
        <v>1</v>
      </c>
      <c r="BF50" s="470" t="str">
        <f>AY50&amp;BC50&amp;BE50</f>
        <v>943000001</v>
      </c>
      <c r="BG50" s="470"/>
      <c r="BH50" s="470"/>
      <c r="BI50" s="470" t="str">
        <f>BR50&amp;"01"</f>
        <v>94301</v>
      </c>
      <c r="BJ50" s="470">
        <f>IF(L50=$BC$2,1,0)</f>
        <v>1</v>
      </c>
      <c r="BK50" s="470">
        <f>AZ50</f>
        <v>0</v>
      </c>
      <c r="BL50" s="906" t="str">
        <f ca="1">IF($AW50=0,"",INDIRECT(ADDRESS($BD50,BL$8)))</f>
        <v/>
      </c>
      <c r="BM50" s="906" t="str">
        <f ca="1">IF($AW50=0,"",INDIRECT(ADDRESS($BD50,BM$8)))</f>
        <v/>
      </c>
      <c r="BN50" s="494" t="str">
        <f t="shared" ca="1" si="16"/>
        <v/>
      </c>
      <c r="BO50" s="494" t="str">
        <f t="shared" ca="1" si="16"/>
        <v/>
      </c>
      <c r="BP50" s="491" t="str">
        <f t="shared" ca="1" si="16"/>
        <v/>
      </c>
      <c r="BQ50" s="612"/>
      <c r="BR50" s="470">
        <v>943</v>
      </c>
      <c r="BT50" s="21"/>
      <c r="BU50" s="2"/>
      <c r="BV50" s="2"/>
      <c r="BX50" s="24"/>
      <c r="BY50" s="19"/>
      <c r="BZ50" s="722" t="s">
        <v>1326</v>
      </c>
      <c r="CA50" s="723" t="str">
        <f t="shared" si="17"/>
        <v>1604187</v>
      </c>
      <c r="CB50" s="724" t="s">
        <v>1375</v>
      </c>
      <c r="CD50" s="145">
        <v>6196</v>
      </c>
      <c r="CE50" s="145" t="s">
        <v>5651</v>
      </c>
      <c r="CF50" s="145">
        <v>6196</v>
      </c>
      <c r="CG50" s="34"/>
      <c r="CH50" s="65" t="s">
        <v>23</v>
      </c>
      <c r="CI50" s="65" t="s">
        <v>21</v>
      </c>
      <c r="CJ50" s="65">
        <v>255</v>
      </c>
      <c r="CK50" s="65" t="s">
        <v>216</v>
      </c>
      <c r="CL50" s="65" t="s">
        <v>90</v>
      </c>
      <c r="CM50" s="65"/>
      <c r="CN50" s="65"/>
      <c r="CO50" s="66" t="s">
        <v>558</v>
      </c>
      <c r="CP50" s="78" t="str">
        <f>IF(記入シート1!AV69=TRUE,CP21,T(記入シート1!AW72)&amp;"　"&amp;SUBSTITUTE(SUBSTITUTE(SUBSTITUTE(SUBSTITUTE(T(記入シート1!N72),"　","")," ",""),"―","ー"),"－","‐")&amp;"　"&amp;SUBSTITUTE(SUBSTITUTE(SUBSTITUTE(SUBSTITUTE(T(記入シート1!V72),"　","")," ",""),"―","ー"),"－","‐")&amp;"　"&amp;SUBSTITUTE(SUBSTITUTE(SUBSTITUTE(SUBSTITUTE(T(記入シート1!AD72),"　","")," ",""),"―","ー"),"－","‐")&amp;IF(記入シート1!AL72="","","　"&amp;SUBSTITUTE(SUBSTITUTE(SUBSTITUTE(SUBSTITUTE(T(記入シート1!AL72),"　","")," ",""),"―","ー"),"－","‐")))</f>
        <v>選択して下さい　　　</v>
      </c>
      <c r="CQ50" s="10"/>
      <c r="CR50" s="61"/>
      <c r="CS50" s="61"/>
      <c r="CT50" s="61"/>
      <c r="CU50" s="61"/>
      <c r="CV50" s="60"/>
      <c r="CW50" s="9" t="s">
        <v>4381</v>
      </c>
      <c r="CX50" s="9"/>
      <c r="CY50" s="51" t="s">
        <v>4385</v>
      </c>
      <c r="CZ50" s="52" t="s">
        <v>4383</v>
      </c>
      <c r="DA50" s="51"/>
      <c r="DB50" s="97" t="str">
        <f t="shared" si="2"/>
        <v>001</v>
      </c>
      <c r="DC50" s="136" t="s">
        <v>4147</v>
      </c>
      <c r="DD50" s="1160" t="str">
        <f>""</f>
        <v/>
      </c>
      <c r="DE50" s="90"/>
      <c r="DF50" s="90"/>
      <c r="DG50" s="90"/>
      <c r="DH50" s="543" t="s">
        <v>1916</v>
      </c>
      <c r="DI50" s="547" t="s">
        <v>1919</v>
      </c>
      <c r="DJ50" s="544" t="s">
        <v>1925</v>
      </c>
      <c r="DK50" s="101" t="str">
        <f t="shared" si="15"/>
        <v>10801305</v>
      </c>
      <c r="DL50" s="105" t="s">
        <v>1963</v>
      </c>
      <c r="DM50" s="105" t="s">
        <v>1946</v>
      </c>
      <c r="DN50" s="546" t="str">
        <f>"13550000"</f>
        <v>13550000</v>
      </c>
      <c r="DO50" s="41"/>
      <c r="DP50" s="41"/>
      <c r="DQ50" s="465"/>
      <c r="DR50" s="465"/>
      <c r="DS50" s="465"/>
      <c r="DT50" s="465"/>
      <c r="DU50" s="465"/>
      <c r="DV50" s="34"/>
      <c r="DX50" s="115"/>
      <c r="DY50" s="115"/>
    </row>
    <row r="51" spans="1:129" ht="19.5" customHeight="1" thickTop="1" thickBot="1">
      <c r="A51" s="447"/>
      <c r="B51" s="249"/>
      <c r="C51" s="2291"/>
      <c r="D51" s="2292"/>
      <c r="E51" s="2292"/>
      <c r="F51" s="2292"/>
      <c r="G51" s="2292"/>
      <c r="H51" s="2292"/>
      <c r="I51" s="2293"/>
      <c r="J51" s="1986" t="s">
        <v>3659</v>
      </c>
      <c r="K51" s="1986"/>
      <c r="L51" s="1986"/>
      <c r="M51" s="1986"/>
      <c r="N51" s="1987"/>
      <c r="O51" s="1988" t="s">
        <v>2072</v>
      </c>
      <c r="P51" s="1989"/>
      <c r="Q51" s="1990" t="s">
        <v>3730</v>
      </c>
      <c r="R51" s="1991"/>
      <c r="S51" s="1991"/>
      <c r="T51" s="1991"/>
      <c r="U51" s="1991"/>
      <c r="V51" s="1991"/>
      <c r="W51" s="1991"/>
      <c r="X51" s="1991"/>
      <c r="Y51" s="1988" t="s">
        <v>2074</v>
      </c>
      <c r="Z51" s="1989"/>
      <c r="AA51" s="1992" t="s">
        <v>3705</v>
      </c>
      <c r="AB51" s="1993"/>
      <c r="AC51" s="1993"/>
      <c r="AD51" s="1993"/>
      <c r="AE51" s="1993"/>
      <c r="AF51" s="1993"/>
      <c r="AG51" s="1993"/>
      <c r="AH51" s="1993"/>
      <c r="AI51" s="1993"/>
      <c r="AJ51" s="1994"/>
      <c r="AK51" s="967"/>
      <c r="AL51" s="901"/>
      <c r="AM51" s="901"/>
      <c r="AN51" s="901"/>
      <c r="AO51" s="901"/>
      <c r="AP51" s="901"/>
      <c r="AQ51" s="901"/>
      <c r="AR51" s="901"/>
      <c r="AS51" s="901"/>
      <c r="AT51" s="1130"/>
      <c r="AU51" s="234"/>
      <c r="AV51" s="989" t="str">
        <f>LEFT(Q51,4)</f>
        <v>5000</v>
      </c>
      <c r="AW51" s="990" t="str">
        <f>LEFT(AA51,4)</f>
        <v>5001</v>
      </c>
      <c r="AX51" s="990" t="str">
        <f>VLOOKUP(Q51,AX365:BF371,9,FALSE)</f>
        <v>7011</v>
      </c>
      <c r="AY51" s="993" t="str">
        <f>IF(AV50=TRUE,IF(AND(AV51&lt;&gt;"0000",AW51&lt;&gt;"0000",LEFT(AV51,2)=LEFT(AW51,2)),"OK","NG"),"OK")</f>
        <v>OK</v>
      </c>
      <c r="AZ51" s="993" t="s">
        <v>3761</v>
      </c>
      <c r="BA51" s="991"/>
      <c r="BB51" s="991"/>
      <c r="BC51" s="991"/>
      <c r="BD51" s="991"/>
      <c r="BE51" s="991"/>
      <c r="BF51" s="991"/>
      <c r="BG51" s="991"/>
      <c r="BH51" s="991"/>
      <c r="BI51" s="991"/>
      <c r="BJ51" s="991"/>
      <c r="BK51" s="991"/>
      <c r="BL51" s="992"/>
      <c r="BM51" s="992"/>
      <c r="BN51" s="991"/>
      <c r="BO51" s="991"/>
      <c r="BP51" s="991"/>
      <c r="BQ51" s="21"/>
      <c r="BR51" s="991"/>
      <c r="BT51" s="21"/>
      <c r="BU51" s="2"/>
      <c r="BV51" s="2"/>
      <c r="BW51" s="2"/>
      <c r="BX51" s="24"/>
      <c r="BY51" s="19"/>
      <c r="BZ51" s="722" t="s">
        <v>1327</v>
      </c>
      <c r="CA51" s="723" t="str">
        <f>TEXT(BZ51,"0000000")</f>
        <v>1605143</v>
      </c>
      <c r="CB51" s="724" t="s">
        <v>1376</v>
      </c>
      <c r="CD51" s="145">
        <v>6197</v>
      </c>
      <c r="CE51" s="145" t="s">
        <v>5652</v>
      </c>
      <c r="CF51" s="145">
        <v>6197</v>
      </c>
      <c r="CG51" s="34"/>
      <c r="CH51" s="65" t="s">
        <v>885</v>
      </c>
      <c r="CI51" s="65" t="s">
        <v>22</v>
      </c>
      <c r="CJ51" s="65">
        <v>255</v>
      </c>
      <c r="CK51" s="65" t="s">
        <v>216</v>
      </c>
      <c r="CL51" s="65" t="s">
        <v>90</v>
      </c>
      <c r="CM51" s="65"/>
      <c r="CN51" s="65"/>
      <c r="CO51" s="66" t="s">
        <v>559</v>
      </c>
      <c r="CP51" s="78" t="str">
        <f>IF(記入シート1!AV69=TRUE,CP19,ASC(記入シート1!J70)&amp;" "&amp;ASC(SUBSTITUTE(SUBSTITUTE(SUBSTITUTE(SUBSTITUTE(SUBSTITUTE(記入シート1!O70,"　","")," ",""),"ヴ","ウﾞ"),"・",""),"－","‐"))&amp;" "&amp;ASC(SUBSTITUTE(SUBSTITUTE(SUBSTITUTE(SUBSTITUTE(SUBSTITUTE(記入シート1!W70,"　","")," ",""),"ヴ","ウﾞ"),"・",""),"－","‐"))&amp;" "&amp;ASC(SUBSTITUTE(SUBSTITUTE(SUBSTITUTE(SUBSTITUTE(SUBSTITUTE(記入シート1!AE70,"　","")," ",""),"ヴ","ウﾞ"),"・",""),"－","‐"))&amp;IF(記入シート1!AM70="",""," "&amp;ASC(SUBSTITUTE(SUBSTITUTE(SUBSTITUTE(SUBSTITUTE(SUBSTITUTE(記入シート1!AM70,"　","")," ",""),"ヴ","ウﾞ"),"・",""),"－","‐"))))</f>
        <v xml:space="preserve">(自動表示)   </v>
      </c>
      <c r="CQ51" s="10"/>
      <c r="CR51" s="61"/>
      <c r="CS51" s="61"/>
      <c r="CT51" s="61"/>
      <c r="CU51" s="61"/>
      <c r="CV51" s="60"/>
      <c r="CW51" s="9" t="s">
        <v>4382</v>
      </c>
      <c r="CX51" s="9"/>
      <c r="CY51" s="51" t="s">
        <v>3394</v>
      </c>
      <c r="CZ51" s="52" t="s">
        <v>4383</v>
      </c>
      <c r="DA51" s="1156"/>
      <c r="DB51" s="97" t="str">
        <f t="shared" si="2"/>
        <v>001</v>
      </c>
      <c r="DC51" s="136" t="s">
        <v>4148</v>
      </c>
      <c r="DD51" s="98" t="str">
        <f>IF(AV42=FALSE,"",IF(AV83=2,1,0))</f>
        <v/>
      </c>
      <c r="DE51" s="90"/>
      <c r="DF51" s="90"/>
      <c r="DG51" s="90"/>
      <c r="DH51" s="543" t="s">
        <v>1916</v>
      </c>
      <c r="DI51" s="547" t="s">
        <v>1920</v>
      </c>
      <c r="DJ51" s="544" t="s">
        <v>1925</v>
      </c>
      <c r="DK51" s="101" t="str">
        <f t="shared" si="15"/>
        <v>10801306</v>
      </c>
      <c r="DL51" s="105" t="s">
        <v>1963</v>
      </c>
      <c r="DM51" s="105" t="s">
        <v>1947</v>
      </c>
      <c r="DN51" s="546" t="str">
        <f>"13550000"</f>
        <v>13550000</v>
      </c>
      <c r="DO51" s="41"/>
      <c r="DP51" s="41"/>
      <c r="DQ51" s="465"/>
      <c r="DR51" s="465"/>
      <c r="DS51" s="465"/>
      <c r="DT51" s="465"/>
      <c r="DU51" s="465"/>
      <c r="DV51" s="34"/>
      <c r="DX51" s="115"/>
      <c r="DY51" s="115"/>
    </row>
    <row r="52" spans="1:129" ht="19.5" hidden="1" customHeight="1">
      <c r="A52" s="447" t="s">
        <v>1402</v>
      </c>
      <c r="B52" s="249"/>
      <c r="C52" s="635"/>
      <c r="D52" s="636"/>
      <c r="E52" s="636"/>
      <c r="F52" s="636"/>
      <c r="G52" s="636"/>
      <c r="H52" s="636"/>
      <c r="I52" s="636"/>
      <c r="J52" s="907"/>
      <c r="K52" s="907"/>
      <c r="L52" s="487"/>
      <c r="M52" s="884"/>
      <c r="N52" s="475"/>
      <c r="O52" s="483"/>
      <c r="P52" s="483"/>
      <c r="Q52" s="2033">
        <v>0</v>
      </c>
      <c r="R52" s="2033"/>
      <c r="S52" s="2033"/>
      <c r="T52" s="2033"/>
      <c r="U52" s="2034">
        <v>0</v>
      </c>
      <c r="V52" s="2034"/>
      <c r="W52" s="2034"/>
      <c r="X52" s="2034"/>
      <c r="Y52" s="2035">
        <v>0</v>
      </c>
      <c r="Z52" s="2035"/>
      <c r="AA52" s="2035"/>
      <c r="AB52" s="2035"/>
      <c r="AC52" s="2035">
        <v>0</v>
      </c>
      <c r="AD52" s="2035"/>
      <c r="AE52" s="2035"/>
      <c r="AF52" s="2035"/>
      <c r="AG52" s="2034">
        <v>0</v>
      </c>
      <c r="AH52" s="2034"/>
      <c r="AI52" s="2034"/>
      <c r="AJ52" s="2034"/>
      <c r="AK52" s="323"/>
      <c r="AL52" s="323"/>
      <c r="AM52" s="323"/>
      <c r="AN52" s="323"/>
      <c r="AO52" s="323"/>
      <c r="AP52" s="323"/>
      <c r="AQ52" s="323"/>
      <c r="AR52" s="323"/>
      <c r="AS52" s="323"/>
      <c r="AT52" s="963"/>
      <c r="AU52" s="234"/>
      <c r="AV52" s="200"/>
      <c r="AW52" s="1377">
        <f>IF(AND(C44="Alipay+",AV44=TRUE),1,0)</f>
        <v>0</v>
      </c>
      <c r="AX52" s="931" t="s">
        <v>5719</v>
      </c>
      <c r="AY52" s="931" t="str">
        <f>TEXT(BR52,"000")</f>
        <v>949</v>
      </c>
      <c r="AZ52" s="931">
        <f>AW52</f>
        <v>0</v>
      </c>
      <c r="BA52" s="1378" t="str">
        <f>IF(O44="2回入金","92",IF(O44="1回入金","91",""))</f>
        <v>92</v>
      </c>
      <c r="BB52" s="1379" t="str">
        <f>$AZ$3</f>
        <v>14</v>
      </c>
      <c r="BC52" s="940" t="s">
        <v>2067</v>
      </c>
      <c r="BD52" s="1378">
        <f>BD44</f>
        <v>44</v>
      </c>
      <c r="BE52" s="940">
        <f>IF(AY52&amp;BC52=AY51&amp;BC51,BE51+1,1)</f>
        <v>1</v>
      </c>
      <c r="BF52" s="940" t="str">
        <f>AY52&amp;BC52&amp;BE52</f>
        <v>949000001</v>
      </c>
      <c r="BG52" s="1380"/>
      <c r="BH52" s="1380"/>
      <c r="BI52" s="940" t="str">
        <f>BR52&amp;"01"</f>
        <v>94901</v>
      </c>
      <c r="BJ52" s="1378">
        <f>IF(L44=$BC$2,1,0)</f>
        <v>1</v>
      </c>
      <c r="BK52" s="940">
        <f>AZ52</f>
        <v>0</v>
      </c>
      <c r="BL52" s="1381" t="str">
        <f t="shared" ref="BL52:BP52" ca="1" si="18">IF($AW52=0,"",INDIRECT(ADDRESS($BD52,BL$8)))</f>
        <v/>
      </c>
      <c r="BM52" s="1381" t="str">
        <f t="shared" ca="1" si="18"/>
        <v/>
      </c>
      <c r="BN52" s="1382" t="str">
        <f t="shared" ca="1" si="18"/>
        <v/>
      </c>
      <c r="BO52" s="1382" t="str">
        <f t="shared" ca="1" si="18"/>
        <v/>
      </c>
      <c r="BP52" s="1383" t="str">
        <f t="shared" ca="1" si="18"/>
        <v/>
      </c>
      <c r="BQ52" s="612"/>
      <c r="BR52" s="1378">
        <v>949</v>
      </c>
      <c r="BT52" s="21"/>
      <c r="BU52" s="21"/>
      <c r="BV52" s="21"/>
      <c r="BW52" s="2"/>
      <c r="BX52" s="24"/>
      <c r="BZ52" s="722" t="s">
        <v>1367</v>
      </c>
      <c r="CA52" s="723" t="str">
        <f t="shared" si="17"/>
        <v>1605144</v>
      </c>
      <c r="CB52" s="724" t="s">
        <v>1377</v>
      </c>
      <c r="CD52" s="145">
        <v>6216</v>
      </c>
      <c r="CE52" s="145" t="s">
        <v>5653</v>
      </c>
      <c r="CF52" s="145">
        <v>6216</v>
      </c>
      <c r="CG52" s="36"/>
      <c r="CH52" s="448" t="s">
        <v>1169</v>
      </c>
      <c r="CI52" s="448" t="s">
        <v>1244</v>
      </c>
      <c r="CJ52" s="448">
        <v>13</v>
      </c>
      <c r="CK52" s="448"/>
      <c r="CL52" s="448"/>
      <c r="CM52" s="448"/>
      <c r="CN52" s="448"/>
      <c r="CO52" s="449" t="s">
        <v>1245</v>
      </c>
      <c r="CP52" s="450" t="str">
        <f>ASC(記入シート1!I76)&amp;"-"&amp;ASC(記入シート1!O76)&amp;"-"&amp;ASC(記入シート1!T76)</f>
        <v>--</v>
      </c>
      <c r="CQ52" s="10"/>
      <c r="CR52" s="61"/>
      <c r="CS52" s="61"/>
      <c r="CT52" s="61"/>
      <c r="CU52" s="61"/>
      <c r="CV52" s="60"/>
      <c r="CW52" s="45" t="s">
        <v>184</v>
      </c>
      <c r="CX52" s="45" t="s">
        <v>90</v>
      </c>
      <c r="CY52" s="53" t="s">
        <v>741</v>
      </c>
      <c r="CZ52" s="54" t="s">
        <v>343</v>
      </c>
      <c r="DA52" s="53" t="s">
        <v>754</v>
      </c>
      <c r="DB52" s="97" t="str">
        <f t="shared" si="2"/>
        <v>101</v>
      </c>
      <c r="DC52" s="136" t="s">
        <v>185</v>
      </c>
      <c r="DD52" s="98"/>
      <c r="DE52" s="118"/>
      <c r="DF52" s="90"/>
      <c r="DG52" s="90"/>
      <c r="DH52" s="543" t="s">
        <v>1916</v>
      </c>
      <c r="DI52" s="547" t="s">
        <v>1921</v>
      </c>
      <c r="DJ52" s="544" t="s">
        <v>1925</v>
      </c>
      <c r="DK52" s="101" t="str">
        <f t="shared" si="15"/>
        <v>10801307</v>
      </c>
      <c r="DL52" s="105" t="s">
        <v>1963</v>
      </c>
      <c r="DM52" s="105" t="s">
        <v>1948</v>
      </c>
      <c r="DN52" s="546" t="str">
        <f>"13550000"</f>
        <v>13550000</v>
      </c>
      <c r="DO52" s="41"/>
      <c r="DP52" s="41"/>
      <c r="DQ52" s="465"/>
      <c r="DR52" s="465"/>
      <c r="DS52" s="465"/>
      <c r="DT52" s="465"/>
      <c r="DU52" s="465"/>
      <c r="DV52" s="34"/>
      <c r="DX52" s="115"/>
      <c r="DY52" s="115"/>
    </row>
    <row r="53" spans="1:129" ht="19.5" hidden="1" customHeight="1">
      <c r="A53" s="447" t="s">
        <v>1234</v>
      </c>
      <c r="B53" s="249"/>
      <c r="C53" s="635"/>
      <c r="D53" s="636"/>
      <c r="E53" s="636"/>
      <c r="F53" s="636"/>
      <c r="G53" s="636"/>
      <c r="H53" s="636"/>
      <c r="I53" s="636"/>
      <c r="J53" s="634"/>
      <c r="K53" s="634"/>
      <c r="L53" s="487"/>
      <c r="M53" s="884"/>
      <c r="N53" s="475"/>
      <c r="O53" s="475"/>
      <c r="P53" s="475"/>
      <c r="Q53" s="475"/>
      <c r="R53" s="475"/>
      <c r="S53" s="475"/>
      <c r="T53" s="475"/>
      <c r="U53" s="476"/>
      <c r="V53" s="474"/>
      <c r="W53" s="474"/>
      <c r="X53" s="474"/>
      <c r="Y53" s="474"/>
      <c r="Z53" s="474"/>
      <c r="AA53" s="474"/>
      <c r="AB53" s="474"/>
      <c r="AC53" s="474"/>
      <c r="AD53" s="474"/>
      <c r="AE53" s="474"/>
      <c r="AF53" s="474"/>
      <c r="AG53" s="474"/>
      <c r="AH53" s="474"/>
      <c r="AI53" s="474"/>
      <c r="AJ53" s="474"/>
      <c r="AK53" s="474"/>
      <c r="AL53" s="474"/>
      <c r="AM53" s="474"/>
      <c r="AN53" s="474"/>
      <c r="AO53" s="474"/>
      <c r="AP53" s="474"/>
      <c r="AQ53" s="474"/>
      <c r="AR53" s="474"/>
      <c r="AS53" s="474"/>
      <c r="AT53" s="647"/>
      <c r="AU53" s="234"/>
      <c r="AV53" s="200"/>
      <c r="BQ53" s="21"/>
      <c r="BW53" s="2"/>
      <c r="BX53" s="24"/>
      <c r="BZ53" s="722" t="s">
        <v>1328</v>
      </c>
      <c r="CA53" s="723" t="str">
        <f t="shared" si="17"/>
        <v>1607288</v>
      </c>
      <c r="CB53" s="724" t="s">
        <v>1378</v>
      </c>
      <c r="CC53" s="21"/>
      <c r="CD53" s="145">
        <v>6231</v>
      </c>
      <c r="CE53" s="145" t="s">
        <v>5667</v>
      </c>
      <c r="CF53" s="145">
        <v>6231</v>
      </c>
      <c r="CG53" s="37"/>
      <c r="CH53" s="65" t="s">
        <v>223</v>
      </c>
      <c r="CI53" s="65" t="s">
        <v>22</v>
      </c>
      <c r="CJ53" s="65">
        <v>128</v>
      </c>
      <c r="CK53" s="65" t="s">
        <v>216</v>
      </c>
      <c r="CL53" s="65" t="s">
        <v>220</v>
      </c>
      <c r="CM53" s="65"/>
      <c r="CN53" s="65"/>
      <c r="CO53" s="66" t="s">
        <v>222</v>
      </c>
      <c r="CP53" s="78" t="str">
        <f>ASC(記入シート1!I77)</f>
        <v/>
      </c>
      <c r="CQ53" s="10"/>
      <c r="CR53" s="61"/>
      <c r="CS53" s="61"/>
      <c r="CT53" s="61"/>
      <c r="CU53" s="61"/>
      <c r="CV53" s="60"/>
      <c r="CW53" s="45" t="s">
        <v>181</v>
      </c>
      <c r="CX53" s="45" t="s">
        <v>90</v>
      </c>
      <c r="CY53" s="53" t="s">
        <v>736</v>
      </c>
      <c r="CZ53" s="54" t="s">
        <v>343</v>
      </c>
      <c r="DA53" s="53"/>
      <c r="DB53" s="97" t="str">
        <f t="shared" si="2"/>
        <v>101</v>
      </c>
      <c r="DC53" s="136" t="s">
        <v>182</v>
      </c>
      <c r="DD53" s="98"/>
      <c r="DE53" s="118"/>
      <c r="DF53" s="90"/>
      <c r="DG53" s="90"/>
      <c r="DH53" s="1231" t="s">
        <v>5062</v>
      </c>
      <c r="DI53" s="1232" t="s">
        <v>5063</v>
      </c>
      <c r="DJ53" s="544"/>
      <c r="DK53" s="101" t="str">
        <f t="shared" si="15"/>
        <v>10902315</v>
      </c>
      <c r="DL53" s="105" t="s">
        <v>5065</v>
      </c>
      <c r="DM53" s="105" t="s">
        <v>5064</v>
      </c>
      <c r="DN53" s="1233" t="str">
        <f ca="1">IF(LEN(【iD・WAON用記入シート】業種シート!G4)&lt;4,"",【iD・WAON用記入シート】業種シート!G4)</f>
        <v/>
      </c>
      <c r="DO53" s="41"/>
      <c r="DP53" s="41"/>
      <c r="DQ53" s="465"/>
      <c r="DR53" s="465"/>
      <c r="DS53" s="465"/>
      <c r="DT53" s="465"/>
      <c r="DU53" s="465"/>
      <c r="DV53" s="34"/>
      <c r="DX53" s="115"/>
      <c r="DY53" s="115"/>
    </row>
    <row r="54" spans="1:129" ht="19.5" hidden="1" customHeight="1" thickBot="1">
      <c r="A54" s="447" t="s">
        <v>1234</v>
      </c>
      <c r="B54" s="249"/>
      <c r="C54" s="684"/>
      <c r="D54" s="685"/>
      <c r="E54" s="685"/>
      <c r="F54" s="685"/>
      <c r="G54" s="685"/>
      <c r="H54" s="685"/>
      <c r="I54" s="685"/>
      <c r="J54" s="686"/>
      <c r="K54" s="686"/>
      <c r="L54" s="894"/>
      <c r="M54" s="895"/>
      <c r="N54" s="896"/>
      <c r="O54" s="896"/>
      <c r="P54" s="896"/>
      <c r="Q54" s="896"/>
      <c r="R54" s="896"/>
      <c r="S54" s="896"/>
      <c r="T54" s="896"/>
      <c r="U54" s="874"/>
      <c r="V54" s="874"/>
      <c r="W54" s="874"/>
      <c r="X54" s="874"/>
      <c r="Y54" s="874"/>
      <c r="Z54" s="874"/>
      <c r="AA54" s="874"/>
      <c r="AB54" s="874"/>
      <c r="AC54" s="874"/>
      <c r="AD54" s="874"/>
      <c r="AE54" s="874"/>
      <c r="AF54" s="874"/>
      <c r="AG54" s="874"/>
      <c r="AH54" s="874"/>
      <c r="AI54" s="874"/>
      <c r="AJ54" s="874"/>
      <c r="AK54" s="874"/>
      <c r="AL54" s="874"/>
      <c r="AM54" s="874"/>
      <c r="AN54" s="874"/>
      <c r="AO54" s="874"/>
      <c r="AP54" s="874"/>
      <c r="AQ54" s="874"/>
      <c r="AR54" s="874"/>
      <c r="AS54" s="874"/>
      <c r="AT54" s="875"/>
      <c r="AU54" s="234"/>
      <c r="AV54" s="200"/>
      <c r="BQ54" s="21"/>
      <c r="BT54" s="21"/>
      <c r="BU54" s="2"/>
      <c r="BV54" s="2"/>
      <c r="BW54" s="21"/>
      <c r="BX54" s="24"/>
      <c r="BZ54" s="469" t="s">
        <v>1329</v>
      </c>
      <c r="CA54" s="723" t="str">
        <f t="shared" si="17"/>
        <v>1607805</v>
      </c>
      <c r="CB54" s="614" t="s">
        <v>1379</v>
      </c>
      <c r="CC54" s="21"/>
      <c r="CD54" s="145">
        <v>6073</v>
      </c>
      <c r="CE54" s="145" t="s">
        <v>5666</v>
      </c>
      <c r="CF54" s="145">
        <v>6073</v>
      </c>
      <c r="CG54" s="37"/>
      <c r="CH54" s="196" t="s">
        <v>417</v>
      </c>
      <c r="CI54" s="196" t="s">
        <v>63</v>
      </c>
      <c r="CJ54" s="196">
        <v>1</v>
      </c>
      <c r="CK54" s="196" t="s">
        <v>216</v>
      </c>
      <c r="CL54" s="196" t="s">
        <v>220</v>
      </c>
      <c r="CM54" s="196" t="s">
        <v>594</v>
      </c>
      <c r="CN54" s="196"/>
      <c r="CO54" s="197" t="s">
        <v>219</v>
      </c>
      <c r="CP54" s="198">
        <v>1</v>
      </c>
      <c r="CQ54" s="10"/>
      <c r="CR54" s="61"/>
      <c r="CS54" s="61"/>
      <c r="CT54" s="61"/>
      <c r="CU54" s="61"/>
      <c r="CV54" s="60"/>
      <c r="CW54" s="45" t="s">
        <v>178</v>
      </c>
      <c r="CX54" s="45"/>
      <c r="CY54" s="53" t="s">
        <v>736</v>
      </c>
      <c r="CZ54" s="54" t="s">
        <v>343</v>
      </c>
      <c r="DA54" s="53"/>
      <c r="DB54" s="97" t="str">
        <f t="shared" si="2"/>
        <v>101</v>
      </c>
      <c r="DC54" s="136" t="s">
        <v>179</v>
      </c>
      <c r="DD54" s="98"/>
      <c r="DE54" s="118"/>
      <c r="DF54" s="90"/>
      <c r="DG54" s="90"/>
      <c r="DH54" s="1231" t="s">
        <v>5066</v>
      </c>
      <c r="DI54" s="1232" t="s">
        <v>5063</v>
      </c>
      <c r="DJ54" s="544"/>
      <c r="DK54" s="101" t="str">
        <f t="shared" si="15"/>
        <v>11002324</v>
      </c>
      <c r="DL54" s="105" t="s">
        <v>5068</v>
      </c>
      <c r="DM54" s="105" t="s">
        <v>5067</v>
      </c>
      <c r="DN54" s="1233" t="str">
        <f ca="1">IF(LEN(【iD・WAON用記入シート】業種シート!G4)&lt;4,"",【iD・WAON用記入シート】業種シート!G4)</f>
        <v/>
      </c>
      <c r="DO54" s="41"/>
      <c r="DP54" s="41"/>
      <c r="DQ54" s="465"/>
      <c r="DR54" s="465"/>
      <c r="DS54" s="465"/>
      <c r="DT54" s="465"/>
      <c r="DU54" s="465"/>
      <c r="DV54" s="34"/>
      <c r="DX54" s="115"/>
      <c r="DY54" s="115"/>
    </row>
    <row r="55" spans="1:129" ht="19.5" hidden="1" customHeight="1" thickTop="1">
      <c r="A55" s="447" t="s">
        <v>1234</v>
      </c>
      <c r="B55" s="249"/>
      <c r="C55" s="954"/>
      <c r="D55" s="954"/>
      <c r="E55" s="954"/>
      <c r="F55" s="954"/>
      <c r="G55" s="954"/>
      <c r="H55" s="954"/>
      <c r="I55" s="954"/>
      <c r="J55" s="909"/>
      <c r="K55" s="909"/>
      <c r="L55" s="891"/>
      <c r="M55" s="891"/>
      <c r="N55" s="892"/>
      <c r="O55" s="892"/>
      <c r="P55" s="892"/>
      <c r="Q55" s="892"/>
      <c r="R55" s="892"/>
      <c r="S55" s="892"/>
      <c r="T55" s="892"/>
      <c r="U55" s="893"/>
      <c r="V55" s="893"/>
      <c r="W55" s="893"/>
      <c r="X55" s="893"/>
      <c r="Y55" s="893"/>
      <c r="Z55" s="893"/>
      <c r="AA55" s="893"/>
      <c r="AB55" s="893"/>
      <c r="AC55" s="893"/>
      <c r="AD55" s="893"/>
      <c r="AE55" s="893"/>
      <c r="AF55" s="893"/>
      <c r="AG55" s="893"/>
      <c r="AH55" s="893"/>
      <c r="AI55" s="893"/>
      <c r="AJ55" s="893"/>
      <c r="AK55" s="893"/>
      <c r="AL55" s="893"/>
      <c r="AM55" s="893"/>
      <c r="AN55" s="893"/>
      <c r="AO55" s="893"/>
      <c r="AP55" s="893"/>
      <c r="AQ55" s="893"/>
      <c r="AR55" s="893"/>
      <c r="AS55" s="893"/>
      <c r="AT55" s="893"/>
      <c r="AU55" s="234"/>
      <c r="AV55" s="200"/>
      <c r="AW55" s="201"/>
      <c r="AX55" s="201"/>
      <c r="AY55" s="201"/>
      <c r="AZ55" s="201"/>
      <c r="BA55" s="21"/>
      <c r="BB55" s="21"/>
      <c r="BC55" s="21"/>
      <c r="BD55" s="21"/>
      <c r="BE55" s="21"/>
      <c r="BF55" s="21"/>
      <c r="BG55" s="21"/>
      <c r="BH55" s="21"/>
      <c r="BI55" s="21"/>
      <c r="BJ55" s="21"/>
      <c r="BK55" s="21"/>
      <c r="BL55" s="21"/>
      <c r="BM55" s="21"/>
      <c r="BN55" s="21"/>
      <c r="BO55" s="21"/>
      <c r="BP55" s="21"/>
      <c r="BQ55" s="21"/>
      <c r="BR55" s="21"/>
      <c r="BX55" s="24"/>
      <c r="BZ55" s="469" t="s">
        <v>952</v>
      </c>
      <c r="CA55" s="725" t="str">
        <f t="shared" si="17"/>
        <v>1608562</v>
      </c>
      <c r="CB55" s="614" t="s">
        <v>958</v>
      </c>
      <c r="CC55" s="21"/>
      <c r="CD55" s="145">
        <v>6236</v>
      </c>
      <c r="CE55" s="145" t="s">
        <v>5675</v>
      </c>
      <c r="CF55" s="145">
        <v>6236</v>
      </c>
      <c r="CG55" s="38"/>
      <c r="CH55" s="196" t="s">
        <v>418</v>
      </c>
      <c r="CI55" s="196" t="s">
        <v>63</v>
      </c>
      <c r="CJ55" s="196">
        <v>8</v>
      </c>
      <c r="CK55" s="196" t="s">
        <v>216</v>
      </c>
      <c r="CL55" s="196" t="s">
        <v>216</v>
      </c>
      <c r="CM55" s="196"/>
      <c r="CN55" s="196"/>
      <c r="CO55" s="197" t="s">
        <v>215</v>
      </c>
      <c r="CP55" s="198"/>
      <c r="CQ55" s="10"/>
      <c r="CR55" s="61"/>
      <c r="CS55" s="61"/>
      <c r="CT55" s="61"/>
      <c r="CU55" s="61"/>
      <c r="CV55" s="60"/>
      <c r="CW55" s="45" t="s">
        <v>174</v>
      </c>
      <c r="CX55" s="45"/>
      <c r="CY55" s="53" t="s">
        <v>736</v>
      </c>
      <c r="CZ55" s="54" t="s">
        <v>343</v>
      </c>
      <c r="DA55" s="53"/>
      <c r="DB55" s="97" t="str">
        <f t="shared" si="2"/>
        <v>101</v>
      </c>
      <c r="DC55" s="136" t="s">
        <v>175</v>
      </c>
      <c r="DD55" s="98"/>
      <c r="DE55" s="118"/>
      <c r="DF55" s="90"/>
      <c r="DG55" s="90"/>
      <c r="DH55" s="543" t="s">
        <v>2151</v>
      </c>
      <c r="DI55" s="547" t="s">
        <v>2170</v>
      </c>
      <c r="DJ55" s="770"/>
      <c r="DK55" s="101" t="str">
        <f t="shared" si="15"/>
        <v>93101PV2</v>
      </c>
      <c r="DL55" s="105" t="s">
        <v>2065</v>
      </c>
      <c r="DM55" s="105" t="s">
        <v>2179</v>
      </c>
      <c r="DN55" s="546" t="str">
        <f>T(記入シート1!I67)</f>
        <v/>
      </c>
      <c r="DO55" s="41"/>
      <c r="DP55" s="41"/>
      <c r="DQ55" s="465"/>
      <c r="DR55" s="465"/>
      <c r="DS55" s="465"/>
      <c r="DT55" s="465"/>
      <c r="DU55" s="465"/>
      <c r="DV55" s="36"/>
      <c r="DX55" s="115"/>
      <c r="DY55" s="115"/>
    </row>
    <row r="56" spans="1:129" ht="19.5" customHeight="1" thickBot="1">
      <c r="A56" s="447"/>
      <c r="B56" s="249"/>
      <c r="C56" s="952"/>
      <c r="D56" s="952"/>
      <c r="E56" s="952"/>
      <c r="F56" s="952"/>
      <c r="G56" s="952"/>
      <c r="H56" s="952"/>
      <c r="I56" s="952"/>
      <c r="J56" s="952"/>
      <c r="K56" s="952"/>
      <c r="L56" s="953"/>
      <c r="M56" s="910"/>
      <c r="N56" s="229"/>
      <c r="O56" s="229"/>
      <c r="P56" s="229"/>
      <c r="Q56" s="229"/>
      <c r="R56" s="229"/>
      <c r="S56" s="229"/>
      <c r="T56" s="229"/>
      <c r="U56" s="323"/>
      <c r="V56" s="323"/>
      <c r="W56" s="323"/>
      <c r="X56" s="323"/>
      <c r="Y56" s="323"/>
      <c r="Z56" s="323"/>
      <c r="AA56" s="323"/>
      <c r="AB56" s="323"/>
      <c r="AC56" s="323"/>
      <c r="AD56" s="323"/>
      <c r="AE56" s="323"/>
      <c r="AF56" s="323"/>
      <c r="AG56" s="323"/>
      <c r="AH56" s="323"/>
      <c r="AI56" s="323"/>
      <c r="AJ56" s="323"/>
      <c r="AK56" s="323"/>
      <c r="AL56" s="323"/>
      <c r="AM56" s="323"/>
      <c r="AN56" s="323"/>
      <c r="AO56" s="323"/>
      <c r="AP56" s="323"/>
      <c r="AQ56" s="323"/>
      <c r="AR56" s="323"/>
      <c r="AS56" s="323"/>
      <c r="AT56" s="323"/>
      <c r="AU56" s="234"/>
      <c r="AV56" s="488"/>
      <c r="AW56" s="201"/>
      <c r="AX56" s="201"/>
      <c r="AY56" s="201"/>
      <c r="AZ56" s="201"/>
      <c r="BA56" s="21"/>
      <c r="BB56" s="21"/>
      <c r="BC56" s="21"/>
      <c r="BD56" s="21"/>
      <c r="BE56" s="21"/>
      <c r="BF56" s="21"/>
      <c r="BG56" s="21"/>
      <c r="BH56" s="21"/>
      <c r="BI56" s="21"/>
      <c r="BJ56" s="21"/>
      <c r="BK56" s="21"/>
      <c r="BL56" s="21"/>
      <c r="BM56" s="21"/>
      <c r="BN56" s="21"/>
      <c r="BO56" s="21"/>
      <c r="BP56" s="21"/>
      <c r="BQ56" s="21"/>
      <c r="BR56" s="21"/>
      <c r="BU56" s="24"/>
      <c r="BV56" s="24"/>
      <c r="BW56" s="2"/>
      <c r="BX56" s="24"/>
      <c r="BZ56" s="469" t="s">
        <v>953</v>
      </c>
      <c r="CA56" s="725" t="str">
        <f t="shared" si="17"/>
        <v>1608563</v>
      </c>
      <c r="CB56" s="614" t="s">
        <v>959</v>
      </c>
      <c r="CD56" s="145">
        <v>6237</v>
      </c>
      <c r="CE56" s="145" t="s">
        <v>5676</v>
      </c>
      <c r="CF56" s="145">
        <v>6237</v>
      </c>
      <c r="CG56" s="38"/>
      <c r="CH56" s="65" t="s">
        <v>419</v>
      </c>
      <c r="CI56" s="65" t="s">
        <v>21</v>
      </c>
      <c r="CJ56" s="65">
        <v>255</v>
      </c>
      <c r="CK56" s="65" t="s">
        <v>216</v>
      </c>
      <c r="CL56" s="65" t="s">
        <v>362</v>
      </c>
      <c r="CM56" s="65"/>
      <c r="CN56" s="65" t="s">
        <v>888</v>
      </c>
      <c r="CO56" s="66" t="s">
        <v>210</v>
      </c>
      <c r="CP56" s="78" t="str">
        <f>LEFT(SUBSTITUTE(記入シート1!I81,CHAR(10),"　"),255)</f>
        <v/>
      </c>
      <c r="CQ56" s="10"/>
      <c r="CR56" s="61"/>
      <c r="CS56" s="61"/>
      <c r="CT56" s="61"/>
      <c r="CU56" s="61"/>
      <c r="CV56" s="60"/>
      <c r="CW56" s="9" t="s">
        <v>4398</v>
      </c>
      <c r="CX56" s="9"/>
      <c r="CY56" s="51"/>
      <c r="CZ56" s="52" t="s">
        <v>4383</v>
      </c>
      <c r="DA56" s="51"/>
      <c r="DB56" s="97" t="str">
        <f t="shared" si="2"/>
        <v>001</v>
      </c>
      <c r="DC56" s="136" t="s">
        <v>4386</v>
      </c>
      <c r="DD56" s="1160"/>
      <c r="DE56" s="118"/>
      <c r="DF56" s="90"/>
      <c r="DG56" s="90"/>
      <c r="DH56" s="543" t="s">
        <v>2151</v>
      </c>
      <c r="DI56" s="547" t="s">
        <v>2171</v>
      </c>
      <c r="DJ56" s="771"/>
      <c r="DK56" s="101" t="str">
        <f t="shared" si="15"/>
        <v>93101PV3</v>
      </c>
      <c r="DL56" s="105" t="s">
        <v>2065</v>
      </c>
      <c r="DM56" s="105" t="s">
        <v>2180</v>
      </c>
      <c r="DN56" s="546" t="str">
        <f>"4"</f>
        <v>4</v>
      </c>
      <c r="DO56" s="41"/>
      <c r="DP56" s="41"/>
      <c r="DQ56" s="465"/>
      <c r="DR56" s="465"/>
      <c r="DS56" s="465"/>
      <c r="DT56" s="465"/>
      <c r="DU56" s="465"/>
      <c r="DV56" s="37"/>
      <c r="DX56" s="115"/>
      <c r="DY56" s="115"/>
    </row>
    <row r="57" spans="1:129" ht="19.5" customHeight="1" thickTop="1">
      <c r="A57" s="447"/>
      <c r="B57" s="249"/>
      <c r="C57" s="1998" t="s">
        <v>449</v>
      </c>
      <c r="D57" s="1999"/>
      <c r="E57" s="1999"/>
      <c r="F57" s="1999"/>
      <c r="G57" s="1999"/>
      <c r="H57" s="1999"/>
      <c r="I57" s="2000"/>
      <c r="J57" s="2004" t="s">
        <v>845</v>
      </c>
      <c r="K57" s="2005"/>
      <c r="L57" s="2008" t="s">
        <v>846</v>
      </c>
      <c r="M57" s="2009"/>
      <c r="N57" s="2010"/>
      <c r="O57" s="2014" t="s">
        <v>1059</v>
      </c>
      <c r="P57" s="2015"/>
      <c r="Q57" s="2014" t="s">
        <v>2053</v>
      </c>
      <c r="R57" s="2018"/>
      <c r="S57" s="2018"/>
      <c r="T57" s="2015"/>
      <c r="U57" s="2014" t="s">
        <v>2054</v>
      </c>
      <c r="V57" s="2018"/>
      <c r="W57" s="2018"/>
      <c r="X57" s="2015"/>
      <c r="Y57" s="2014" t="s">
        <v>2055</v>
      </c>
      <c r="Z57" s="2018"/>
      <c r="AA57" s="2018"/>
      <c r="AB57" s="2015"/>
      <c r="AC57" s="2014" t="s">
        <v>2056</v>
      </c>
      <c r="AD57" s="2018"/>
      <c r="AE57" s="2018"/>
      <c r="AF57" s="2015"/>
      <c r="AG57" s="2014" t="s">
        <v>2057</v>
      </c>
      <c r="AH57" s="2018"/>
      <c r="AI57" s="2018"/>
      <c r="AJ57" s="2015"/>
      <c r="AK57" s="2189" t="s">
        <v>2052</v>
      </c>
      <c r="AL57" s="2190"/>
      <c r="AM57" s="2190"/>
      <c r="AN57" s="2190"/>
      <c r="AO57" s="2190"/>
      <c r="AP57" s="2190"/>
      <c r="AQ57" s="2190"/>
      <c r="AR57" s="2190"/>
      <c r="AS57" s="2190"/>
      <c r="AT57" s="2191"/>
      <c r="AU57" s="234"/>
      <c r="AV57" s="488"/>
      <c r="AW57" s="201"/>
      <c r="AX57" s="201"/>
      <c r="AY57" s="201"/>
      <c r="AZ57" s="201"/>
      <c r="BA57" s="21"/>
      <c r="BB57" s="21"/>
      <c r="BC57" s="21"/>
      <c r="BD57" s="21"/>
      <c r="BE57" s="21"/>
      <c r="BF57" s="21"/>
      <c r="BG57" s="21"/>
      <c r="BH57" s="21"/>
      <c r="BI57" s="21"/>
      <c r="BJ57" s="21"/>
      <c r="BK57" s="21"/>
      <c r="BL57" s="21"/>
      <c r="BM57" s="21"/>
      <c r="BN57" s="21"/>
      <c r="BO57" s="21"/>
      <c r="BP57" s="21"/>
      <c r="BQ57" s="21"/>
      <c r="BR57" s="21"/>
      <c r="BU57" s="24"/>
      <c r="BV57" s="24"/>
      <c r="BX57" s="24"/>
      <c r="BZ57" s="469" t="s">
        <v>954</v>
      </c>
      <c r="CA57" s="725" t="str">
        <f t="shared" si="17"/>
        <v>1608564</v>
      </c>
      <c r="CB57" s="614" t="s">
        <v>960</v>
      </c>
      <c r="CD57" s="145">
        <v>6238</v>
      </c>
      <c r="CE57" s="145" t="s">
        <v>5677</v>
      </c>
      <c r="CF57" s="145">
        <v>6238</v>
      </c>
      <c r="CG57" s="38"/>
      <c r="CH57" s="65" t="s">
        <v>420</v>
      </c>
      <c r="CI57" s="65" t="s">
        <v>63</v>
      </c>
      <c r="CJ57" s="65">
        <v>2</v>
      </c>
      <c r="CK57" s="65" t="s">
        <v>216</v>
      </c>
      <c r="CL57" s="65" t="s">
        <v>220</v>
      </c>
      <c r="CM57" s="65" t="s">
        <v>595</v>
      </c>
      <c r="CN57" s="65"/>
      <c r="CO57" s="66" t="s">
        <v>213</v>
      </c>
      <c r="CP57" s="78" t="str">
        <f>LEFT(記入シート1!AL88,2)</f>
        <v>99</v>
      </c>
      <c r="CQ57" s="10"/>
      <c r="CR57" s="61"/>
      <c r="CS57" s="61"/>
      <c r="CT57" s="61"/>
      <c r="CU57" s="61"/>
      <c r="CV57" s="60"/>
      <c r="CW57" s="9" t="s">
        <v>4399</v>
      </c>
      <c r="CX57" s="9"/>
      <c r="CY57" s="51"/>
      <c r="CZ57" s="52" t="s">
        <v>4383</v>
      </c>
      <c r="DA57" s="51"/>
      <c r="DB57" s="97" t="str">
        <f t="shared" si="2"/>
        <v>001</v>
      </c>
      <c r="DC57" s="136" t="s">
        <v>4387</v>
      </c>
      <c r="DD57" s="1160"/>
      <c r="DE57" s="118"/>
      <c r="DF57" s="90"/>
      <c r="DG57" s="90"/>
      <c r="DH57" s="543" t="s">
        <v>2151</v>
      </c>
      <c r="DI57" s="547" t="s">
        <v>3242</v>
      </c>
      <c r="DJ57" s="771" t="s">
        <v>3262</v>
      </c>
      <c r="DK57" s="101" t="str">
        <f t="shared" si="15"/>
        <v>93101PV4</v>
      </c>
      <c r="DL57" s="105" t="s">
        <v>2065</v>
      </c>
      <c r="DM57" s="105" t="s">
        <v>3252</v>
      </c>
      <c r="DN57" s="546">
        <f>AV115*1</f>
        <v>980</v>
      </c>
      <c r="DO57" s="41"/>
      <c r="DP57" s="41"/>
      <c r="DQ57" s="465"/>
      <c r="DR57" s="465"/>
      <c r="DS57" s="465"/>
      <c r="DT57" s="465"/>
      <c r="DU57" s="465"/>
      <c r="DV57" s="37"/>
      <c r="DX57" s="115"/>
      <c r="DY57" s="115"/>
    </row>
    <row r="58" spans="1:129" ht="19.5" customHeight="1">
      <c r="A58" s="447"/>
      <c r="B58" s="249"/>
      <c r="C58" s="2001"/>
      <c r="D58" s="2002"/>
      <c r="E58" s="2002"/>
      <c r="F58" s="2002"/>
      <c r="G58" s="2002"/>
      <c r="H58" s="2002"/>
      <c r="I58" s="2003"/>
      <c r="J58" s="2006"/>
      <c r="K58" s="2007"/>
      <c r="L58" s="2011"/>
      <c r="M58" s="2012"/>
      <c r="N58" s="2013"/>
      <c r="O58" s="2016"/>
      <c r="P58" s="2017"/>
      <c r="Q58" s="2016"/>
      <c r="R58" s="2019"/>
      <c r="S58" s="2019"/>
      <c r="T58" s="2017"/>
      <c r="U58" s="2016"/>
      <c r="V58" s="2019"/>
      <c r="W58" s="2019"/>
      <c r="X58" s="2017"/>
      <c r="Y58" s="2016"/>
      <c r="Z58" s="2019"/>
      <c r="AA58" s="2019"/>
      <c r="AB58" s="2017"/>
      <c r="AC58" s="2016"/>
      <c r="AD58" s="2019"/>
      <c r="AE58" s="2019"/>
      <c r="AF58" s="2017"/>
      <c r="AG58" s="2016"/>
      <c r="AH58" s="2019"/>
      <c r="AI58" s="2019"/>
      <c r="AJ58" s="2017"/>
      <c r="AK58" s="2192"/>
      <c r="AL58" s="2193"/>
      <c r="AM58" s="2193"/>
      <c r="AN58" s="2193"/>
      <c r="AO58" s="2193"/>
      <c r="AP58" s="2193"/>
      <c r="AQ58" s="2193"/>
      <c r="AR58" s="2193"/>
      <c r="AS58" s="2193"/>
      <c r="AT58" s="2194"/>
      <c r="AU58" s="234"/>
      <c r="AV58" s="488"/>
      <c r="BQ58" s="21"/>
      <c r="BU58" s="24"/>
      <c r="BV58" s="24"/>
      <c r="BW58" s="24"/>
      <c r="BX58" s="24"/>
      <c r="BZ58" s="469" t="s">
        <v>955</v>
      </c>
      <c r="CA58" s="725" t="str">
        <f t="shared" si="17"/>
        <v>1608565</v>
      </c>
      <c r="CB58" s="614" t="s">
        <v>961</v>
      </c>
      <c r="CD58" s="145">
        <v>6240</v>
      </c>
      <c r="CE58" s="145" t="s">
        <v>5678</v>
      </c>
      <c r="CF58" s="145">
        <v>6240</v>
      </c>
      <c r="CG58" s="38"/>
      <c r="CH58" s="65" t="s">
        <v>421</v>
      </c>
      <c r="CI58" s="65" t="s">
        <v>21</v>
      </c>
      <c r="CJ58" s="65">
        <v>255</v>
      </c>
      <c r="CK58" s="65" t="s">
        <v>216</v>
      </c>
      <c r="CL58" s="65" t="s">
        <v>422</v>
      </c>
      <c r="CM58" s="65"/>
      <c r="CN58" s="606"/>
      <c r="CO58" s="66" t="s">
        <v>207</v>
      </c>
      <c r="CP58" s="78" t="str">
        <f>LEFT(SUBSTITUTE(記入シート1!I85,CHAR(10),"　"),255)</f>
        <v/>
      </c>
      <c r="CQ58" s="10"/>
      <c r="CR58" s="61"/>
      <c r="CS58" s="61"/>
      <c r="CT58" s="61"/>
      <c r="CU58" s="61"/>
      <c r="CV58" s="60"/>
      <c r="CW58" s="9" t="s">
        <v>4400</v>
      </c>
      <c r="CX58" s="9"/>
      <c r="CY58" s="51" t="s">
        <v>3394</v>
      </c>
      <c r="CZ58" s="52" t="s">
        <v>4383</v>
      </c>
      <c r="DA58" s="51"/>
      <c r="DB58" s="97" t="str">
        <f>LEFT(DC56,3)</f>
        <v>001</v>
      </c>
      <c r="DC58" s="136" t="s">
        <v>4388</v>
      </c>
      <c r="DD58" s="98">
        <f>IF(AV154=0,"",IF(AV154=1,0,1))</f>
        <v>0</v>
      </c>
      <c r="DE58" s="118"/>
      <c r="DF58" s="90"/>
      <c r="DG58" s="90"/>
      <c r="DH58" s="543" t="s">
        <v>2151</v>
      </c>
      <c r="DI58" s="547" t="s">
        <v>3243</v>
      </c>
      <c r="DJ58" s="771" t="s">
        <v>3262</v>
      </c>
      <c r="DK58" s="101" t="str">
        <f t="shared" si="15"/>
        <v>93101PV5</v>
      </c>
      <c r="DL58" s="105" t="s">
        <v>2065</v>
      </c>
      <c r="DM58" s="105" t="s">
        <v>3253</v>
      </c>
      <c r="DN58" s="546">
        <f>AV116*1</f>
        <v>0</v>
      </c>
      <c r="DO58" s="41"/>
      <c r="DP58" s="41"/>
      <c r="DQ58" s="465"/>
      <c r="DR58" s="465"/>
      <c r="DS58" s="465"/>
      <c r="DT58" s="465"/>
      <c r="DU58" s="465"/>
      <c r="DV58" s="38"/>
      <c r="DX58" s="115"/>
      <c r="DY58" s="115"/>
    </row>
    <row r="59" spans="1:129" ht="19.5" customHeight="1">
      <c r="A59" s="447"/>
      <c r="B59" s="249"/>
      <c r="C59" s="2166" t="s">
        <v>2245</v>
      </c>
      <c r="D59" s="2167"/>
      <c r="E59" s="2167"/>
      <c r="F59" s="2167"/>
      <c r="G59" s="2167"/>
      <c r="H59" s="2167"/>
      <c r="I59" s="2167"/>
      <c r="J59" s="686"/>
      <c r="K59" s="686"/>
      <c r="L59" s="487"/>
      <c r="M59" s="683"/>
      <c r="N59" s="475"/>
      <c r="O59" s="475"/>
      <c r="P59" s="475"/>
      <c r="Q59" s="475"/>
      <c r="R59" s="475"/>
      <c r="S59" s="475"/>
      <c r="T59" s="475"/>
      <c r="U59" s="476"/>
      <c r="V59" s="474"/>
      <c r="W59" s="474"/>
      <c r="X59" s="474"/>
      <c r="Y59" s="474"/>
      <c r="Z59" s="474"/>
      <c r="AA59" s="474"/>
      <c r="AB59" s="474"/>
      <c r="AC59" s="474"/>
      <c r="AD59" s="474"/>
      <c r="AE59" s="474"/>
      <c r="AF59" s="474"/>
      <c r="AG59" s="474"/>
      <c r="AH59" s="474"/>
      <c r="AI59" s="474"/>
      <c r="AJ59" s="474"/>
      <c r="AK59" s="474"/>
      <c r="AL59" s="474"/>
      <c r="AM59" s="474"/>
      <c r="AN59" s="474"/>
      <c r="AO59" s="474"/>
      <c r="AP59" s="474"/>
      <c r="AQ59" s="474"/>
      <c r="AR59" s="474"/>
      <c r="AS59" s="474"/>
      <c r="AT59" s="647"/>
      <c r="AU59" s="234"/>
      <c r="AV59" s="651" t="b">
        <f>IF(OR(AV60=TRUE,AV64=TRUE,AV65=TRUE,AV67=TRUE,AV71=TRUE,AV75=TRUE,AV78=TRUE),TRUE,FALSE)</f>
        <v>0</v>
      </c>
      <c r="AW59" s="618" t="s">
        <v>2069</v>
      </c>
      <c r="AY59" s="489" t="s">
        <v>7</v>
      </c>
      <c r="AZ59" s="489" t="s">
        <v>454</v>
      </c>
      <c r="BA59" s="202" t="s">
        <v>908</v>
      </c>
      <c r="BB59" s="202" t="s">
        <v>0</v>
      </c>
      <c r="BC59" s="202" t="s">
        <v>455</v>
      </c>
      <c r="BD59" s="202" t="s">
        <v>975</v>
      </c>
      <c r="BE59" s="202"/>
      <c r="BF59" s="202"/>
      <c r="BG59" s="202"/>
      <c r="BH59" s="202"/>
      <c r="BI59" s="202" t="s">
        <v>456</v>
      </c>
      <c r="BJ59" s="202" t="s">
        <v>457</v>
      </c>
      <c r="BK59" s="202" t="s">
        <v>458</v>
      </c>
      <c r="BL59" s="202" t="s">
        <v>973</v>
      </c>
      <c r="BM59" s="202" t="s">
        <v>974</v>
      </c>
      <c r="BN59" s="202" t="s">
        <v>459</v>
      </c>
      <c r="BO59" s="202" t="s">
        <v>460</v>
      </c>
      <c r="BP59" s="202" t="s">
        <v>461</v>
      </c>
      <c r="BQ59" s="468"/>
      <c r="BR59" s="202" t="s">
        <v>7</v>
      </c>
      <c r="BT59" s="21"/>
      <c r="BU59" s="2"/>
      <c r="BV59" s="2"/>
      <c r="BW59" s="24"/>
      <c r="BX59" s="24"/>
      <c r="BZ59" s="469" t="s">
        <v>956</v>
      </c>
      <c r="CA59" s="725" t="str">
        <f t="shared" si="17"/>
        <v>1608566</v>
      </c>
      <c r="CB59" s="614" t="s">
        <v>962</v>
      </c>
      <c r="CD59" s="145">
        <v>6254</v>
      </c>
      <c r="CE59" s="145" t="s">
        <v>5686</v>
      </c>
      <c r="CF59" s="145">
        <v>6254</v>
      </c>
      <c r="CG59" s="38"/>
      <c r="CH59" s="282" t="s">
        <v>890</v>
      </c>
      <c r="CI59" s="65" t="s">
        <v>19</v>
      </c>
      <c r="CJ59" s="282">
        <v>13</v>
      </c>
      <c r="CK59" s="65" t="s">
        <v>216</v>
      </c>
      <c r="CL59" s="65" t="s">
        <v>20</v>
      </c>
      <c r="CM59" s="282"/>
      <c r="CN59" s="283"/>
      <c r="CO59" s="82" t="s">
        <v>889</v>
      </c>
      <c r="CP59" s="83" t="str">
        <f>ASC(記入シート1!I89)</f>
        <v/>
      </c>
      <c r="CQ59" s="10"/>
      <c r="CR59" s="61"/>
      <c r="CS59" s="61"/>
      <c r="CT59" s="61"/>
      <c r="CU59" s="61"/>
      <c r="CV59" s="60"/>
      <c r="CW59" s="9" t="s">
        <v>4352</v>
      </c>
      <c r="CX59" s="9"/>
      <c r="CY59" s="1157"/>
      <c r="CZ59" s="1157" t="s">
        <v>4383</v>
      </c>
      <c r="DA59" s="1157"/>
      <c r="DB59" s="97" t="str">
        <f t="shared" si="2"/>
        <v>001</v>
      </c>
      <c r="DC59" s="136" t="s">
        <v>4389</v>
      </c>
      <c r="DD59" s="98" t="str">
        <f>T(Q155)</f>
        <v/>
      </c>
      <c r="DE59" s="118"/>
      <c r="DF59" s="90"/>
      <c r="DG59" s="90"/>
      <c r="DH59" s="543" t="s">
        <v>2151</v>
      </c>
      <c r="DI59" s="547" t="s">
        <v>3244</v>
      </c>
      <c r="DJ59" s="771"/>
      <c r="DK59" s="101" t="str">
        <f t="shared" si="15"/>
        <v>93101PV6</v>
      </c>
      <c r="DL59" s="105" t="s">
        <v>2065</v>
      </c>
      <c r="DM59" s="105" t="s">
        <v>3254</v>
      </c>
      <c r="DN59" s="546">
        <f>IF(AV115=TRUE,ASC(#REF!),0)</f>
        <v>0</v>
      </c>
      <c r="DO59" s="41"/>
      <c r="DP59" s="41"/>
      <c r="DQ59" s="465"/>
      <c r="DR59" s="465"/>
      <c r="DS59" s="465"/>
      <c r="DT59" s="465"/>
      <c r="DU59" s="465"/>
      <c r="DV59" s="38"/>
      <c r="DX59" s="115"/>
      <c r="DY59" s="115"/>
    </row>
    <row r="60" spans="1:129" ht="19.5" customHeight="1" thickBot="1">
      <c r="A60" s="447"/>
      <c r="B60" s="249"/>
      <c r="C60" s="1952" t="s">
        <v>2070</v>
      </c>
      <c r="D60" s="1953"/>
      <c r="E60" s="1953"/>
      <c r="F60" s="1953"/>
      <c r="G60" s="1953"/>
      <c r="H60" s="1953"/>
      <c r="I60" s="1954"/>
      <c r="J60" s="686"/>
      <c r="K60" s="686"/>
      <c r="L60" s="2309" t="s">
        <v>2243</v>
      </c>
      <c r="M60" s="2295"/>
      <c r="N60" s="2296"/>
      <c r="O60" s="3197" t="s">
        <v>1071</v>
      </c>
      <c r="P60" s="3197"/>
      <c r="Q60" s="3069">
        <v>0</v>
      </c>
      <c r="R60" s="3069"/>
      <c r="S60" s="3069"/>
      <c r="T60" s="3069"/>
      <c r="U60" s="3069">
        <v>0</v>
      </c>
      <c r="V60" s="3069"/>
      <c r="W60" s="3069"/>
      <c r="X60" s="3069"/>
      <c r="Y60" s="1997">
        <v>2.98E-2</v>
      </c>
      <c r="Z60" s="1997"/>
      <c r="AA60" s="1997"/>
      <c r="AB60" s="1997"/>
      <c r="AC60" s="1997">
        <v>0</v>
      </c>
      <c r="AD60" s="1997"/>
      <c r="AE60" s="1997"/>
      <c r="AF60" s="1997"/>
      <c r="AG60" s="1996">
        <v>0</v>
      </c>
      <c r="AH60" s="1996"/>
      <c r="AI60" s="1996"/>
      <c r="AJ60" s="1996"/>
      <c r="AK60" s="854"/>
      <c r="AL60" s="855"/>
      <c r="AM60" s="855"/>
      <c r="AN60" s="856"/>
      <c r="AO60" s="856"/>
      <c r="AP60" s="856"/>
      <c r="AQ60" s="856"/>
      <c r="AR60" s="857" t="s">
        <v>3355</v>
      </c>
      <c r="AS60" s="2310" t="s">
        <v>3356</v>
      </c>
      <c r="AT60" s="2311"/>
      <c r="AU60" s="234"/>
      <c r="AV60" s="488" t="b">
        <v>0</v>
      </c>
      <c r="AW60" s="490">
        <f>IF(AV60=TRUE,AV60*1,0)</f>
        <v>0</v>
      </c>
      <c r="AX60" s="490" t="s">
        <v>2149</v>
      </c>
      <c r="AY60" s="490" t="str">
        <f>TEXT(BR60,"000")</f>
        <v>936</v>
      </c>
      <c r="AZ60" s="490">
        <f>AW60</f>
        <v>0</v>
      </c>
      <c r="BA60" s="470" t="str">
        <f>IF(O60="2回入金","92",IF(O60="1回入金","91",""))</f>
        <v>92</v>
      </c>
      <c r="BB60" s="71" t="s">
        <v>2148</v>
      </c>
      <c r="BC60" s="470" t="s">
        <v>2067</v>
      </c>
      <c r="BD60" s="470">
        <f>ROW(C60)</f>
        <v>60</v>
      </c>
      <c r="BE60" s="470">
        <f>IF(AY60&amp;BC60=AY59&amp;BC59,BE59+1,1)</f>
        <v>1</v>
      </c>
      <c r="BF60" s="470" t="str">
        <f>AY60&amp;BC60&amp;BE60</f>
        <v>936000001</v>
      </c>
      <c r="BG60" s="470"/>
      <c r="BH60" s="470"/>
      <c r="BI60" s="470" t="str">
        <f>BR60&amp;"01"</f>
        <v>93601</v>
      </c>
      <c r="BJ60" s="470">
        <f>IF(L60=$BC$2,1,0)</f>
        <v>1</v>
      </c>
      <c r="BK60" s="470">
        <f>AZ60</f>
        <v>0</v>
      </c>
      <c r="BL60" s="774" t="str">
        <f ca="1">IF($AW60=0,"",INDIRECT(ADDRESS($BD60,BL$8)))</f>
        <v/>
      </c>
      <c r="BM60" s="774" t="str">
        <f ca="1">IF($AW60=0,"",INDIRECT(ADDRESS($BD60,BM$8)))</f>
        <v/>
      </c>
      <c r="BN60" s="494" t="str">
        <f ca="1">IF($AW60=0,"",INDIRECT(ADDRESS($BD60,BN$8)))</f>
        <v/>
      </c>
      <c r="BO60" s="494" t="str">
        <f ca="1">IF($AW60=0,"",INDIRECT(ADDRESS($BD60,BO$8)))</f>
        <v/>
      </c>
      <c r="BP60" s="491" t="str">
        <f ca="1">IF($AW60=0,"",INDIRECT(ADDRESS($BD60,BP$8)))</f>
        <v/>
      </c>
      <c r="BQ60" s="539"/>
      <c r="BR60" s="470">
        <v>936</v>
      </c>
      <c r="BT60" s="21"/>
      <c r="BU60" s="2"/>
      <c r="BV60" s="2"/>
      <c r="BW60" s="24"/>
      <c r="BX60" s="24"/>
      <c r="BZ60" s="469" t="s">
        <v>957</v>
      </c>
      <c r="CA60" s="725" t="str">
        <f t="shared" si="17"/>
        <v>1608567</v>
      </c>
      <c r="CB60" s="614" t="s">
        <v>963</v>
      </c>
      <c r="CD60" s="145">
        <v>6261</v>
      </c>
      <c r="CE60" s="145" t="s">
        <v>5687</v>
      </c>
      <c r="CF60" s="145">
        <v>6261</v>
      </c>
      <c r="CG60" s="38"/>
      <c r="CH60" s="65" t="s">
        <v>423</v>
      </c>
      <c r="CI60" s="65" t="s">
        <v>19</v>
      </c>
      <c r="CJ60" s="65">
        <v>9</v>
      </c>
      <c r="CK60" s="65" t="s">
        <v>216</v>
      </c>
      <c r="CL60" s="65" t="s">
        <v>424</v>
      </c>
      <c r="CM60" s="65"/>
      <c r="CN60" s="65"/>
      <c r="CO60" s="82" t="s">
        <v>203</v>
      </c>
      <c r="CP60" s="83" t="str">
        <f>ASC(記入シート1!Z89)</f>
        <v/>
      </c>
      <c r="CQ60" s="10"/>
      <c r="CR60" s="61"/>
      <c r="CS60" s="61"/>
      <c r="CT60" s="61"/>
      <c r="CU60" s="61"/>
      <c r="CV60" s="60"/>
      <c r="CW60" s="9" t="s">
        <v>4353</v>
      </c>
      <c r="CX60" s="9"/>
      <c r="CY60" s="1157" t="s">
        <v>4403</v>
      </c>
      <c r="CZ60" s="1157" t="s">
        <v>4383</v>
      </c>
      <c r="DA60" s="1157"/>
      <c r="DB60" s="97" t="str">
        <f t="shared" si="2"/>
        <v>001</v>
      </c>
      <c r="DC60" s="136" t="s">
        <v>4390</v>
      </c>
      <c r="DD60" s="98" t="str">
        <f>IF(AV156=0,"",AV156)</f>
        <v/>
      </c>
      <c r="DE60" s="118"/>
      <c r="DF60" s="90"/>
      <c r="DG60" s="90"/>
      <c r="DH60" s="543" t="s">
        <v>2151</v>
      </c>
      <c r="DI60" s="547" t="s">
        <v>3245</v>
      </c>
      <c r="DJ60" s="771"/>
      <c r="DK60" s="101" t="str">
        <f t="shared" si="15"/>
        <v>93101PV7</v>
      </c>
      <c r="DL60" s="105" t="s">
        <v>2065</v>
      </c>
      <c r="DM60" s="105" t="s">
        <v>3255</v>
      </c>
      <c r="DN60" s="546" t="str">
        <f>T(記入シート1!I31)</f>
        <v/>
      </c>
      <c r="DO60" s="41"/>
      <c r="DP60" s="41"/>
      <c r="DQ60" s="465"/>
      <c r="DR60" s="465"/>
      <c r="DS60" s="465"/>
      <c r="DT60" s="465"/>
      <c r="DU60" s="465"/>
      <c r="DV60" s="38"/>
      <c r="DX60" s="115"/>
      <c r="DY60" s="115"/>
    </row>
    <row r="61" spans="1:129" ht="19.5" customHeight="1" thickTop="1">
      <c r="A61" s="447"/>
      <c r="B61" s="249"/>
      <c r="C61" s="2297"/>
      <c r="D61" s="2298"/>
      <c r="E61" s="2298"/>
      <c r="F61" s="2298"/>
      <c r="G61" s="2298"/>
      <c r="H61" s="2298"/>
      <c r="I61" s="2299"/>
      <c r="J61" s="2312" t="s">
        <v>2071</v>
      </c>
      <c r="K61" s="2313"/>
      <c r="L61" s="2313"/>
      <c r="M61" s="2313"/>
      <c r="N61" s="2314"/>
      <c r="O61" s="2315" t="s">
        <v>2072</v>
      </c>
      <c r="P61" s="2316"/>
      <c r="Q61" s="3112" t="s">
        <v>2270</v>
      </c>
      <c r="R61" s="3113"/>
      <c r="S61" s="3113"/>
      <c r="T61" s="3113"/>
      <c r="U61" s="3113"/>
      <c r="V61" s="3113"/>
      <c r="W61" s="3113"/>
      <c r="X61" s="3114"/>
      <c r="Y61" s="2320" t="s">
        <v>2074</v>
      </c>
      <c r="Z61" s="2320"/>
      <c r="AA61" s="3075" t="s">
        <v>2337</v>
      </c>
      <c r="AB61" s="3076"/>
      <c r="AC61" s="3076"/>
      <c r="AD61" s="3076"/>
      <c r="AE61" s="3076"/>
      <c r="AF61" s="3076"/>
      <c r="AG61" s="3076"/>
      <c r="AH61" s="3076"/>
      <c r="AI61" s="3076"/>
      <c r="AJ61" s="3076"/>
      <c r="AK61" s="3076"/>
      <c r="AL61" s="3076"/>
      <c r="AM61" s="3076"/>
      <c r="AN61" s="3076"/>
      <c r="AO61" s="3076"/>
      <c r="AP61" s="3076"/>
      <c r="AQ61" s="3076"/>
      <c r="AR61" s="3076"/>
      <c r="AS61" s="3076"/>
      <c r="AT61" s="324"/>
      <c r="AU61" s="234"/>
      <c r="AV61" s="488" t="str">
        <f>LEFT(Q61,4)</f>
        <v>1500</v>
      </c>
      <c r="AW61" s="656" t="str">
        <f>MID(Q61,6,LEN(Q61)-5)</f>
        <v>サービス</v>
      </c>
      <c r="AY61" s="858" t="str">
        <f>IF(AS60="","0",LEFT(AS60,1))</f>
        <v>0</v>
      </c>
      <c r="BT61" s="22"/>
      <c r="BU61" s="7"/>
      <c r="BV61" s="7"/>
      <c r="BW61" s="2"/>
      <c r="BX61" s="24"/>
      <c r="BZ61" s="469" t="s">
        <v>1330</v>
      </c>
      <c r="CA61" s="725" t="str">
        <f t="shared" si="17"/>
        <v>1608568</v>
      </c>
      <c r="CB61" s="614" t="s">
        <v>964</v>
      </c>
      <c r="CD61" s="145">
        <v>6262</v>
      </c>
      <c r="CE61" s="145" t="s">
        <v>5688</v>
      </c>
      <c r="CF61" s="145">
        <v>6262</v>
      </c>
      <c r="CG61" s="38"/>
      <c r="CH61" s="65" t="s">
        <v>425</v>
      </c>
      <c r="CI61" s="65" t="s">
        <v>19</v>
      </c>
      <c r="CJ61" s="65">
        <v>9</v>
      </c>
      <c r="CK61" s="65" t="s">
        <v>216</v>
      </c>
      <c r="CL61" s="65" t="s">
        <v>424</v>
      </c>
      <c r="CM61" s="65"/>
      <c r="CN61" s="65"/>
      <c r="CO61" s="82" t="s">
        <v>200</v>
      </c>
      <c r="CP61" s="83" t="str">
        <f>ASC(記入シート1!AG89)</f>
        <v/>
      </c>
      <c r="CQ61" s="10"/>
      <c r="CR61" s="61"/>
      <c r="CS61" s="61"/>
      <c r="CT61" s="61"/>
      <c r="CU61" s="61"/>
      <c r="CV61" s="60"/>
      <c r="CW61" s="9" t="s">
        <v>4354</v>
      </c>
      <c r="CX61" s="9"/>
      <c r="CY61" s="1157" t="s">
        <v>4404</v>
      </c>
      <c r="CZ61" s="1157" t="s">
        <v>4383</v>
      </c>
      <c r="DA61" s="1157"/>
      <c r="DB61" s="97" t="str">
        <f t="shared" si="2"/>
        <v>001</v>
      </c>
      <c r="DC61" s="136" t="s">
        <v>4391</v>
      </c>
      <c r="DD61" s="846">
        <f>IF(AW156=0,2,AW156)</f>
        <v>2</v>
      </c>
      <c r="DE61" s="118"/>
      <c r="DF61" s="90"/>
      <c r="DG61" s="90"/>
      <c r="DH61" s="543" t="s">
        <v>2151</v>
      </c>
      <c r="DI61" s="547" t="s">
        <v>3246</v>
      </c>
      <c r="DJ61" s="771"/>
      <c r="DK61" s="101" t="str">
        <f t="shared" si="15"/>
        <v>93101PV8</v>
      </c>
      <c r="DL61" s="105" t="s">
        <v>2065</v>
      </c>
      <c r="DM61" s="105" t="s">
        <v>3256</v>
      </c>
      <c r="DN61" s="546" t="str">
        <f>T(記入シート1!AB64)</f>
        <v/>
      </c>
      <c r="DO61" s="41"/>
      <c r="DP61" s="41"/>
      <c r="DQ61" s="465"/>
      <c r="DR61" s="465"/>
      <c r="DS61" s="465"/>
      <c r="DT61" s="465"/>
      <c r="DU61" s="465"/>
      <c r="DV61" s="38"/>
      <c r="DX61" s="115"/>
      <c r="DY61" s="115"/>
    </row>
    <row r="62" spans="1:129" ht="19.5" customHeight="1" thickBot="1">
      <c r="A62" s="447"/>
      <c r="B62" s="249"/>
      <c r="C62" s="1955"/>
      <c r="D62" s="1956"/>
      <c r="E62" s="1956"/>
      <c r="F62" s="1956"/>
      <c r="G62" s="1956"/>
      <c r="H62" s="1956"/>
      <c r="I62" s="1957"/>
      <c r="J62" s="2300" t="s">
        <v>4858</v>
      </c>
      <c r="K62" s="2301"/>
      <c r="L62" s="2301"/>
      <c r="M62" s="2301"/>
      <c r="N62" s="2302"/>
      <c r="O62" s="657"/>
      <c r="P62" s="2303" t="s">
        <v>3770</v>
      </c>
      <c r="Q62" s="2303"/>
      <c r="R62" s="2303"/>
      <c r="S62" s="2303"/>
      <c r="T62" s="477"/>
      <c r="U62" s="2304" t="s">
        <v>2075</v>
      </c>
      <c r="V62" s="2304"/>
      <c r="W62" s="2304"/>
      <c r="X62" s="2305"/>
      <c r="Y62" s="1162"/>
      <c r="Z62" s="1163"/>
      <c r="AA62" s="1163"/>
      <c r="AB62" s="1163"/>
      <c r="AC62" s="1163"/>
      <c r="AD62" s="1163"/>
      <c r="AE62" s="1163"/>
      <c r="AF62" s="1163"/>
      <c r="AG62" s="1163"/>
      <c r="AH62" s="1163"/>
      <c r="AI62" s="1163"/>
      <c r="AJ62" s="1163"/>
      <c r="AK62" s="1163"/>
      <c r="AL62" s="1163"/>
      <c r="AM62" s="1163"/>
      <c r="AN62" s="1163"/>
      <c r="AO62" s="1163"/>
      <c r="AP62" s="1163"/>
      <c r="AQ62" s="1163"/>
      <c r="AR62" s="1163"/>
      <c r="AS62" s="1163"/>
      <c r="AT62" s="1164"/>
      <c r="AU62" s="234"/>
      <c r="AV62" s="488" t="str">
        <f>LEFT(AA61,4)</f>
        <v>1506</v>
      </c>
      <c r="AW62" s="201" t="str">
        <f>MID(AA61,6,LEN(AA61)-5)</f>
        <v>モーテル・ラブホテル</v>
      </c>
      <c r="BA62" s="24" t="str">
        <f>LEFT(O64,4)</f>
        <v>1900</v>
      </c>
      <c r="BB62" s="24" t="str">
        <f>MID(O64,6,LEN(O64)-5)</f>
        <v>施設利用料</v>
      </c>
      <c r="BC62" s="24" t="str">
        <f>VLOOKUP(BA63,AZ415:BB519,3,FALSE)</f>
        <v>37</v>
      </c>
      <c r="BT62" s="22"/>
      <c r="BU62" s="7"/>
      <c r="BV62" s="7"/>
      <c r="BW62" s="2"/>
      <c r="BX62" s="24"/>
      <c r="BZ62" s="469" t="s">
        <v>966</v>
      </c>
      <c r="CA62" s="725" t="str">
        <f t="shared" si="17"/>
        <v>9999992</v>
      </c>
      <c r="CB62" s="614" t="s">
        <v>967</v>
      </c>
      <c r="CC62" s="331"/>
      <c r="CD62" s="145">
        <v>6282</v>
      </c>
      <c r="CE62" s="145" t="s">
        <v>5733</v>
      </c>
      <c r="CF62" s="145">
        <v>6282</v>
      </c>
      <c r="CG62" s="38"/>
      <c r="CH62" s="65" t="s">
        <v>426</v>
      </c>
      <c r="CI62" s="65" t="s">
        <v>19</v>
      </c>
      <c r="CJ62" s="65">
        <v>9</v>
      </c>
      <c r="CK62" s="65" t="s">
        <v>216</v>
      </c>
      <c r="CL62" s="65" t="s">
        <v>424</v>
      </c>
      <c r="CM62" s="65"/>
      <c r="CN62" s="65"/>
      <c r="CO62" s="82" t="s">
        <v>427</v>
      </c>
      <c r="CP62" s="83" t="str">
        <f>ASC(記入シート1!AP89)</f>
        <v/>
      </c>
      <c r="CQ62" s="10"/>
      <c r="CR62" s="61"/>
      <c r="CS62" s="61"/>
      <c r="CT62" s="61"/>
      <c r="CU62" s="61"/>
      <c r="CV62" s="60"/>
      <c r="CW62" s="9" t="s">
        <v>4355</v>
      </c>
      <c r="CX62" s="9"/>
      <c r="CY62" s="1157" t="s">
        <v>4405</v>
      </c>
      <c r="CZ62" s="1157" t="s">
        <v>4383</v>
      </c>
      <c r="DA62" s="1157"/>
      <c r="DB62" s="97" t="str">
        <f t="shared" si="2"/>
        <v>001</v>
      </c>
      <c r="DC62" s="136" t="s">
        <v>4392</v>
      </c>
      <c r="DD62" s="98" t="str">
        <f>IF(AV157=0,"",AV157)</f>
        <v/>
      </c>
      <c r="DE62" s="118"/>
      <c r="DF62" s="90"/>
      <c r="DG62" s="90"/>
      <c r="DH62" s="543" t="s">
        <v>2151</v>
      </c>
      <c r="DI62" s="547" t="s">
        <v>3247</v>
      </c>
      <c r="DJ62" s="771"/>
      <c r="DK62" s="101" t="str">
        <f t="shared" si="15"/>
        <v>93101PV9</v>
      </c>
      <c r="DL62" s="105" t="s">
        <v>2065</v>
      </c>
      <c r="DM62" s="105" t="s">
        <v>3257</v>
      </c>
      <c r="DN62" s="546" t="str">
        <f>T(記入シート1!AB67)</f>
        <v/>
      </c>
      <c r="DO62" s="41"/>
      <c r="DP62" s="41"/>
      <c r="DQ62" s="465"/>
      <c r="DR62" s="465"/>
      <c r="DS62" s="465"/>
      <c r="DT62" s="465"/>
      <c r="DU62" s="465"/>
      <c r="DV62" s="38"/>
      <c r="DX62" s="115"/>
      <c r="DY62" s="115"/>
    </row>
    <row r="63" spans="1:129" ht="19.5" customHeight="1" thickTop="1" thickBot="1">
      <c r="A63" s="447"/>
      <c r="B63" s="249"/>
      <c r="C63" s="2332" t="s">
        <v>2244</v>
      </c>
      <c r="D63" s="2333"/>
      <c r="E63" s="2333"/>
      <c r="F63" s="2333"/>
      <c r="G63" s="2333"/>
      <c r="H63" s="2333"/>
      <c r="I63" s="2334"/>
      <c r="J63" s="1092"/>
      <c r="K63" s="1093"/>
      <c r="L63" s="2338" t="s">
        <v>642</v>
      </c>
      <c r="M63" s="2339"/>
      <c r="N63" s="2340"/>
      <c r="O63" s="3187" t="s">
        <v>1071</v>
      </c>
      <c r="P63" s="3187"/>
      <c r="Q63" s="3078">
        <v>0</v>
      </c>
      <c r="R63" s="3079"/>
      <c r="S63" s="3079"/>
      <c r="T63" s="3080"/>
      <c r="U63" s="3078">
        <v>0</v>
      </c>
      <c r="V63" s="3079"/>
      <c r="W63" s="3079"/>
      <c r="X63" s="3080"/>
      <c r="Y63" s="2345">
        <v>3.5400000000000001E-2</v>
      </c>
      <c r="Z63" s="2345"/>
      <c r="AA63" s="2345"/>
      <c r="AB63" s="2345"/>
      <c r="AC63" s="2346">
        <v>0</v>
      </c>
      <c r="AD63" s="2347"/>
      <c r="AE63" s="2347"/>
      <c r="AF63" s="2348"/>
      <c r="AG63" s="2342">
        <v>0</v>
      </c>
      <c r="AH63" s="2343"/>
      <c r="AI63" s="2343"/>
      <c r="AJ63" s="2344"/>
      <c r="AK63" s="1288"/>
      <c r="AL63" s="1276"/>
      <c r="AM63" s="1276"/>
      <c r="AN63" s="1276"/>
      <c r="AO63" s="1276"/>
      <c r="AP63" s="2415" t="s">
        <v>5128</v>
      </c>
      <c r="AQ63" s="2415"/>
      <c r="AR63" s="2415"/>
      <c r="AS63" s="2416" t="s">
        <v>3652</v>
      </c>
      <c r="AT63" s="2417"/>
      <c r="AU63" s="234"/>
      <c r="AV63" s="488">
        <v>0</v>
      </c>
      <c r="AW63" s="658" t="str">
        <f>IF(AV60=TRUE,IF(AND(AV63&lt;&gt;0,AV61&lt;&gt;"0000",AV62&lt;&gt;"0000",LEFT(AV61,2)=LEFT(AV62,2)),"OK","NG"),"OK")</f>
        <v>OK</v>
      </c>
      <c r="AX63" s="618" t="s">
        <v>2076</v>
      </c>
      <c r="BA63" s="24" t="str">
        <f>LEFT(AA64,4)</f>
        <v>1903</v>
      </c>
      <c r="BB63" s="24" t="str">
        <f>MID(AA64,6,LEN(AA64)-5)</f>
        <v>宿泊代</v>
      </c>
      <c r="BC63" s="1165" t="str">
        <f>IF(AV64=TRUE,IF(AND(BA62&lt;&gt;0,BA62&lt;&gt;"0000",BA63&lt;&gt;"0000",LEFT(BA62,2)=LEFT(BA63,2)),"OK","NG"),"OK")</f>
        <v>OK</v>
      </c>
      <c r="BD63" s="1165" t="s">
        <v>4859</v>
      </c>
      <c r="BT63" s="22"/>
      <c r="BU63" s="7"/>
      <c r="BV63" s="7"/>
      <c r="BW63" s="7"/>
      <c r="BX63" s="24"/>
      <c r="BZ63" s="469" t="s">
        <v>1331</v>
      </c>
      <c r="CA63" s="725" t="str">
        <f t="shared" ref="CA63:CA68" si="19">TEXT(BZ63,"0000000")</f>
        <v>9999999</v>
      </c>
      <c r="CB63" s="614" t="s">
        <v>969</v>
      </c>
      <c r="CC63" s="331"/>
      <c r="CD63" s="145">
        <v>6283</v>
      </c>
      <c r="CE63" s="145" t="s">
        <v>5734</v>
      </c>
      <c r="CF63" s="145">
        <v>6283</v>
      </c>
      <c r="CG63" s="38"/>
      <c r="CH63" s="65" t="s">
        <v>428</v>
      </c>
      <c r="CI63" s="65" t="s">
        <v>63</v>
      </c>
      <c r="CJ63" s="65">
        <v>1</v>
      </c>
      <c r="CK63" s="65" t="s">
        <v>605</v>
      </c>
      <c r="CL63" s="65" t="s">
        <v>83</v>
      </c>
      <c r="CM63" s="65" t="s">
        <v>429</v>
      </c>
      <c r="CN63" s="65" t="s">
        <v>596</v>
      </c>
      <c r="CO63" s="66" t="s">
        <v>430</v>
      </c>
      <c r="CP63" s="78">
        <f>IF(CP62="",1,IF(VALUE(CP62)&lt;1000,2,1))</f>
        <v>1</v>
      </c>
      <c r="CQ63" s="10"/>
      <c r="CR63" s="61"/>
      <c r="CS63" s="61"/>
      <c r="CT63" s="61"/>
      <c r="CU63" s="61"/>
      <c r="CV63" s="60"/>
      <c r="CW63" s="9" t="s">
        <v>4356</v>
      </c>
      <c r="CX63" s="9"/>
      <c r="CY63" s="1157" t="s">
        <v>4406</v>
      </c>
      <c r="CZ63" s="1158" t="s">
        <v>4383</v>
      </c>
      <c r="DA63" s="1157"/>
      <c r="DB63" s="97" t="str">
        <f t="shared" si="2"/>
        <v>001</v>
      </c>
      <c r="DC63" s="136" t="s">
        <v>4393</v>
      </c>
      <c r="DD63" s="98">
        <f>IF(AV158=0,"",AV158)</f>
        <v>2</v>
      </c>
      <c r="DE63" s="118"/>
      <c r="DF63" s="90"/>
      <c r="DG63" s="90"/>
      <c r="DH63" s="543" t="s">
        <v>2151</v>
      </c>
      <c r="DI63" s="547" t="s">
        <v>3248</v>
      </c>
      <c r="DJ63" s="771"/>
      <c r="DK63" s="101" t="str">
        <f t="shared" si="15"/>
        <v>93101PVA</v>
      </c>
      <c r="DL63" s="105" t="s">
        <v>2065</v>
      </c>
      <c r="DM63" s="105" t="s">
        <v>3258</v>
      </c>
      <c r="DN63" s="546" t="str">
        <f>T(記入シート1!I83)</f>
        <v/>
      </c>
      <c r="DO63" s="41"/>
      <c r="DP63" s="41"/>
      <c r="DQ63" s="465"/>
      <c r="DR63" s="465"/>
      <c r="DS63" s="465"/>
      <c r="DT63" s="465"/>
      <c r="DU63" s="465"/>
      <c r="DV63" s="38"/>
      <c r="DX63" s="115"/>
      <c r="DY63" s="115"/>
    </row>
    <row r="64" spans="1:129" ht="19.5" customHeight="1" thickTop="1" thickBot="1">
      <c r="A64" s="447"/>
      <c r="B64" s="249"/>
      <c r="C64" s="2335"/>
      <c r="D64" s="2336"/>
      <c r="E64" s="2336"/>
      <c r="F64" s="2336"/>
      <c r="G64" s="2336"/>
      <c r="H64" s="2336"/>
      <c r="I64" s="2337"/>
      <c r="J64" s="2349" t="s">
        <v>1087</v>
      </c>
      <c r="K64" s="1894"/>
      <c r="L64" s="2350"/>
      <c r="M64" s="2350"/>
      <c r="N64" s="2351"/>
      <c r="O64" s="2352" t="s">
        <v>4560</v>
      </c>
      <c r="P64" s="2352"/>
      <c r="Q64" s="2352"/>
      <c r="R64" s="2352"/>
      <c r="S64" s="2352"/>
      <c r="T64" s="2352"/>
      <c r="U64" s="2352"/>
      <c r="V64" s="2352"/>
      <c r="W64" s="2352"/>
      <c r="X64" s="2352"/>
      <c r="Y64" s="2353" t="s">
        <v>3194</v>
      </c>
      <c r="Z64" s="2354"/>
      <c r="AA64" s="2355" t="s">
        <v>4498</v>
      </c>
      <c r="AB64" s="2356"/>
      <c r="AC64" s="2356"/>
      <c r="AD64" s="2356"/>
      <c r="AE64" s="2356"/>
      <c r="AF64" s="2356"/>
      <c r="AG64" s="2356"/>
      <c r="AH64" s="2356"/>
      <c r="AI64" s="2356"/>
      <c r="AJ64" s="2356"/>
      <c r="AK64" s="2356"/>
      <c r="AL64" s="2357"/>
      <c r="AM64" s="1166"/>
      <c r="AN64" s="1167"/>
      <c r="AO64" s="1167"/>
      <c r="AP64" s="1167"/>
      <c r="AQ64" s="1167"/>
      <c r="AR64" s="1167"/>
      <c r="AS64" s="1167"/>
      <c r="AT64" s="1168"/>
      <c r="AU64" s="234"/>
      <c r="AV64" s="199" t="b">
        <v>0</v>
      </c>
      <c r="AW64" s="490">
        <f>IF(AV64=TRUE,AV64*1,0)</f>
        <v>0</v>
      </c>
      <c r="AX64" s="490" t="s">
        <v>2244</v>
      </c>
      <c r="AY64" s="125" t="str">
        <f>TEXT(BR64,"000")</f>
        <v>937</v>
      </c>
      <c r="AZ64" s="125">
        <f>AW64</f>
        <v>0</v>
      </c>
      <c r="BA64" s="470" t="str">
        <f>IF(O63="2回入金","92",IF(O63="1回入金","91",""))</f>
        <v>92</v>
      </c>
      <c r="BB64" s="71" t="s">
        <v>2148</v>
      </c>
      <c r="BC64" s="1012" t="s">
        <v>2109</v>
      </c>
      <c r="BD64" s="26">
        <f>ROW(C63)</f>
        <v>63</v>
      </c>
      <c r="BE64" s="26">
        <f>IF(AY64&amp;BC64=AY63&amp;BC63,BE63+1,1)</f>
        <v>1</v>
      </c>
      <c r="BF64" s="753" t="str">
        <f>AY64&amp;BC64&amp;BE64</f>
        <v>937000001</v>
      </c>
      <c r="BG64" s="754"/>
      <c r="BH64" s="755"/>
      <c r="BI64" s="754" t="str">
        <f>BR64&amp;"01"</f>
        <v>93701</v>
      </c>
      <c r="BJ64" s="754">
        <f>IF(L63=$BC$2,1,0)</f>
        <v>1</v>
      </c>
      <c r="BK64" s="26">
        <f>AZ64</f>
        <v>0</v>
      </c>
      <c r="BL64" s="756" t="str">
        <f>IF(AW64=1,Q63,"")</f>
        <v/>
      </c>
      <c r="BM64" s="756" t="str">
        <f>IF(AW64=1,U63,"")</f>
        <v/>
      </c>
      <c r="BN64" s="757" t="str">
        <f>IF(AW64=0,"",Y63)</f>
        <v/>
      </c>
      <c r="BO64" s="757" t="str">
        <f>IF(AW64=0,"",AC63)</f>
        <v/>
      </c>
      <c r="BP64" s="756" t="str">
        <f>IF(AW64=0,"",AG63)</f>
        <v/>
      </c>
      <c r="BR64" s="26">
        <v>937</v>
      </c>
      <c r="BT64" s="22"/>
      <c r="BU64" s="22"/>
      <c r="BV64" s="22"/>
      <c r="BW64" s="7"/>
      <c r="BX64" s="24"/>
      <c r="BZ64" s="332" t="s">
        <v>1333</v>
      </c>
      <c r="CA64" s="332" t="str">
        <f t="shared" si="19"/>
        <v>1610861</v>
      </c>
      <c r="CB64" s="726" t="s">
        <v>1380</v>
      </c>
      <c r="CC64" s="333"/>
      <c r="CD64" s="145">
        <v>6284</v>
      </c>
      <c r="CE64" s="145" t="s">
        <v>5735</v>
      </c>
      <c r="CF64" s="145">
        <v>6284</v>
      </c>
      <c r="CG64" s="38"/>
      <c r="CH64" s="65" t="s">
        <v>431</v>
      </c>
      <c r="CI64" s="65" t="s">
        <v>63</v>
      </c>
      <c r="CJ64" s="65">
        <v>1</v>
      </c>
      <c r="CK64" s="65" t="s">
        <v>604</v>
      </c>
      <c r="CL64" s="65" t="s">
        <v>432</v>
      </c>
      <c r="CM64" s="65" t="s">
        <v>589</v>
      </c>
      <c r="CN64" s="65" t="s">
        <v>602</v>
      </c>
      <c r="CO64" s="66" t="s">
        <v>196</v>
      </c>
      <c r="CP64" s="78">
        <f>IF(記入シート1!AV91=TRUE,1,0)</f>
        <v>0</v>
      </c>
      <c r="CQ64" s="10"/>
      <c r="CR64" s="61"/>
      <c r="CS64" s="61"/>
      <c r="CT64" s="61"/>
      <c r="CU64" s="61"/>
      <c r="CV64" s="60"/>
      <c r="CW64" s="9" t="s">
        <v>4357</v>
      </c>
      <c r="CX64" s="9"/>
      <c r="CY64" s="51"/>
      <c r="CZ64" s="52" t="s">
        <v>4383</v>
      </c>
      <c r="DA64" s="51"/>
      <c r="DB64" s="97" t="str">
        <f t="shared" si="2"/>
        <v>001</v>
      </c>
      <c r="DC64" s="136" t="s">
        <v>4394</v>
      </c>
      <c r="DD64" s="98" t="str">
        <f>IF(OR(AV159=0,AV159=1,AK159=""),"",AK159)</f>
        <v/>
      </c>
      <c r="DE64" s="118"/>
      <c r="DF64" s="90"/>
      <c r="DG64" s="90"/>
      <c r="DH64" s="543" t="s">
        <v>2151</v>
      </c>
      <c r="DI64" s="547" t="s">
        <v>3249</v>
      </c>
      <c r="DJ64" s="771"/>
      <c r="DK64" s="101" t="str">
        <f t="shared" si="15"/>
        <v>93101PVB</v>
      </c>
      <c r="DL64" s="105" t="s">
        <v>2065</v>
      </c>
      <c r="DM64" s="105" t="s">
        <v>3259</v>
      </c>
      <c r="DN64" s="546" t="str">
        <f>"+81"&amp;MID(SUBSTITUTE(ASC(CP52),"-",""),2,15)</f>
        <v>+81</v>
      </c>
      <c r="DO64" s="41"/>
      <c r="DP64" s="41"/>
      <c r="DQ64" s="465"/>
      <c r="DR64" s="465"/>
      <c r="DS64" s="465"/>
      <c r="DT64" s="465"/>
      <c r="DU64" s="465"/>
      <c r="DV64" s="38"/>
      <c r="DX64" s="115"/>
      <c r="DY64" s="115"/>
    </row>
    <row r="65" spans="1:129" ht="19.5" customHeight="1" thickTop="1" thickBot="1">
      <c r="A65" s="447"/>
      <c r="B65" s="249"/>
      <c r="C65" s="2323" t="s">
        <v>2110</v>
      </c>
      <c r="D65" s="2324"/>
      <c r="E65" s="2324"/>
      <c r="F65" s="2324"/>
      <c r="G65" s="2324"/>
      <c r="H65" s="2324"/>
      <c r="I65" s="2325"/>
      <c r="J65" s="750"/>
      <c r="K65" s="751"/>
      <c r="L65" s="1866" t="s">
        <v>3837</v>
      </c>
      <c r="M65" s="1867"/>
      <c r="N65" s="1868"/>
      <c r="O65" s="3081" t="s">
        <v>1071</v>
      </c>
      <c r="P65" s="3081"/>
      <c r="Q65" s="3078">
        <v>0</v>
      </c>
      <c r="R65" s="3079"/>
      <c r="S65" s="3079"/>
      <c r="T65" s="3080"/>
      <c r="U65" s="3078">
        <v>0</v>
      </c>
      <c r="V65" s="3079"/>
      <c r="W65" s="3079"/>
      <c r="X65" s="3080"/>
      <c r="Y65" s="2329">
        <v>3.5400000000000001E-2</v>
      </c>
      <c r="Z65" s="2330"/>
      <c r="AA65" s="2330"/>
      <c r="AB65" s="2331"/>
      <c r="AC65" s="2329">
        <v>0</v>
      </c>
      <c r="AD65" s="2330"/>
      <c r="AE65" s="2330"/>
      <c r="AF65" s="2331"/>
      <c r="AG65" s="2326">
        <v>0</v>
      </c>
      <c r="AH65" s="2327"/>
      <c r="AI65" s="2327"/>
      <c r="AJ65" s="2328"/>
      <c r="AK65" s="3084"/>
      <c r="AL65" s="3085"/>
      <c r="AM65" s="3085"/>
      <c r="AN65" s="3082"/>
      <c r="AO65" s="3082"/>
      <c r="AP65" s="3082"/>
      <c r="AQ65" s="3082"/>
      <c r="AR65" s="3082"/>
      <c r="AS65" s="3082"/>
      <c r="AT65" s="3083"/>
      <c r="AU65" s="234"/>
      <c r="AV65" s="199" t="b">
        <v>0</v>
      </c>
      <c r="AW65" s="490">
        <f>IF(AV65=TRUE,AV65*1,0)</f>
        <v>0</v>
      </c>
      <c r="AX65" s="490" t="s">
        <v>2110</v>
      </c>
      <c r="AY65" s="125" t="str">
        <f>TEXT(BR65,"000")</f>
        <v>938</v>
      </c>
      <c r="AZ65" s="125">
        <f>AW65</f>
        <v>0</v>
      </c>
      <c r="BA65" s="470" t="str">
        <f>IF(O65="2回入金","92",IF(O65="1回入金","91",""))</f>
        <v>92</v>
      </c>
      <c r="BB65" s="71" t="s">
        <v>2148</v>
      </c>
      <c r="BC65" s="496" t="s">
        <v>2109</v>
      </c>
      <c r="BD65" s="26">
        <f>ROW(C65)</f>
        <v>65</v>
      </c>
      <c r="BE65" s="26">
        <f>IF(AY65&amp;BC65=AY64&amp;BC64,BE64+1,1)</f>
        <v>1</v>
      </c>
      <c r="BF65" s="753" t="str">
        <f>AY65&amp;BC65&amp;BE65</f>
        <v>938000001</v>
      </c>
      <c r="BG65" s="754"/>
      <c r="BH65" s="755"/>
      <c r="BI65" s="754" t="str">
        <f>BR65&amp;"01"</f>
        <v>93801</v>
      </c>
      <c r="BJ65" s="754">
        <f>IF(L65=$BC$2,1,0)</f>
        <v>1</v>
      </c>
      <c r="BK65" s="26">
        <f>AZ65</f>
        <v>0</v>
      </c>
      <c r="BL65" s="756" t="str">
        <f>IF(AW65=1,Q65,"")</f>
        <v/>
      </c>
      <c r="BM65" s="756" t="str">
        <f>IF(AW65=1,U65,"")</f>
        <v/>
      </c>
      <c r="BN65" s="757" t="str">
        <f>IF(AW65=0,"",Y65)</f>
        <v/>
      </c>
      <c r="BO65" s="757" t="str">
        <f>IF(AW65=0,"",AC65)</f>
        <v/>
      </c>
      <c r="BP65" s="756" t="str">
        <f>IF(AW65=0,"",AG65)</f>
        <v/>
      </c>
      <c r="BR65" s="26">
        <v>938</v>
      </c>
      <c r="BT65" s="22"/>
      <c r="BU65" s="22"/>
      <c r="BV65" s="22"/>
      <c r="BW65" s="7"/>
      <c r="BX65" s="24"/>
      <c r="BZ65" s="332" t="s">
        <v>1332</v>
      </c>
      <c r="CA65" s="332" t="str">
        <f t="shared" si="19"/>
        <v>1610862</v>
      </c>
      <c r="CB65" s="726" t="s">
        <v>1381</v>
      </c>
      <c r="CC65" s="333"/>
      <c r="CD65" s="145">
        <v>6286</v>
      </c>
      <c r="CE65" s="145" t="s">
        <v>5736</v>
      </c>
      <c r="CF65" s="145">
        <v>6286</v>
      </c>
      <c r="CG65" s="38"/>
      <c r="CH65" s="65" t="s">
        <v>434</v>
      </c>
      <c r="CI65" s="65" t="s">
        <v>63</v>
      </c>
      <c r="CJ65" s="65">
        <v>1</v>
      </c>
      <c r="CK65" s="65" t="s">
        <v>216</v>
      </c>
      <c r="CL65" s="65" t="s">
        <v>432</v>
      </c>
      <c r="CM65" s="65" t="s">
        <v>433</v>
      </c>
      <c r="CN65" s="65" t="s">
        <v>602</v>
      </c>
      <c r="CO65" s="66" t="s">
        <v>193</v>
      </c>
      <c r="CP65" s="78">
        <f>IF(記入シート1!AW91=TRUE,1,0)</f>
        <v>0</v>
      </c>
      <c r="CQ65" s="10"/>
      <c r="CR65" s="61"/>
      <c r="CS65" s="61"/>
      <c r="CT65" s="61"/>
      <c r="CU65" s="61"/>
      <c r="CV65" s="60"/>
      <c r="CW65" s="9" t="s">
        <v>4358</v>
      </c>
      <c r="CX65" s="9"/>
      <c r="CY65" s="51" t="s">
        <v>3394</v>
      </c>
      <c r="CZ65" s="52" t="s">
        <v>4383</v>
      </c>
      <c r="DA65" s="51"/>
      <c r="DB65" s="97" t="str">
        <f t="shared" si="2"/>
        <v>001</v>
      </c>
      <c r="DC65" s="104" t="s">
        <v>4395</v>
      </c>
      <c r="DD65" s="98">
        <f>IF(AV160=0,"",IF(AV160=1,0,1))</f>
        <v>0</v>
      </c>
      <c r="DE65" s="118"/>
      <c r="DF65" s="90"/>
      <c r="DG65" s="90"/>
      <c r="DH65" s="543" t="s">
        <v>2151</v>
      </c>
      <c r="DI65" s="547" t="s">
        <v>3250</v>
      </c>
      <c r="DJ65" s="771"/>
      <c r="DK65" s="101" t="str">
        <f t="shared" si="15"/>
        <v>93101PVC</v>
      </c>
      <c r="DL65" s="105" t="s">
        <v>2065</v>
      </c>
      <c r="DM65" s="105" t="s">
        <v>3260</v>
      </c>
      <c r="DN65" s="546" t="str">
        <f>ASC(AV46)</f>
        <v/>
      </c>
      <c r="DO65" s="41"/>
      <c r="DP65" s="41"/>
      <c r="DQ65" s="465"/>
      <c r="DR65" s="465"/>
      <c r="DS65" s="465"/>
      <c r="DT65" s="465"/>
      <c r="DU65" s="465"/>
      <c r="DV65" s="38"/>
      <c r="DX65" s="115"/>
      <c r="DY65" s="115"/>
    </row>
    <row r="66" spans="1:129" ht="19.5" customHeight="1" thickTop="1" thickBot="1">
      <c r="A66" s="447"/>
      <c r="B66" s="249"/>
      <c r="C66" s="1955"/>
      <c r="D66" s="1956"/>
      <c r="E66" s="1956"/>
      <c r="F66" s="1956"/>
      <c r="G66" s="1956"/>
      <c r="H66" s="1956"/>
      <c r="I66" s="1957"/>
      <c r="J66" s="2367" t="s">
        <v>2112</v>
      </c>
      <c r="K66" s="2368"/>
      <c r="L66" s="2368"/>
      <c r="M66" s="2368"/>
      <c r="N66" s="2369"/>
      <c r="O66" s="2370" t="s">
        <v>2145</v>
      </c>
      <c r="P66" s="2371"/>
      <c r="Q66" s="2371"/>
      <c r="R66" s="2371"/>
      <c r="S66" s="2371"/>
      <c r="T66" s="2371"/>
      <c r="U66" s="2371"/>
      <c r="V66" s="2371"/>
      <c r="W66" s="2371"/>
      <c r="X66" s="2372"/>
      <c r="Y66" s="2373" t="s">
        <v>3191</v>
      </c>
      <c r="Z66" s="2374"/>
      <c r="AA66" s="2374"/>
      <c r="AB66" s="2375"/>
      <c r="AC66" s="822"/>
      <c r="AD66" s="2374" t="s">
        <v>3192</v>
      </c>
      <c r="AE66" s="2374"/>
      <c r="AF66" s="2374"/>
      <c r="AG66" s="823"/>
      <c r="AH66" s="2376" t="s">
        <v>3193</v>
      </c>
      <c r="AI66" s="2376"/>
      <c r="AJ66" s="2377"/>
      <c r="AK66" s="747"/>
      <c r="AL66" s="748"/>
      <c r="AM66" s="748"/>
      <c r="AN66" s="748"/>
      <c r="AO66" s="748"/>
      <c r="AP66" s="748"/>
      <c r="AQ66" s="748"/>
      <c r="AR66" s="748"/>
      <c r="AS66" s="748"/>
      <c r="AT66" s="749"/>
      <c r="AU66" s="234"/>
      <c r="AV66" s="199" t="str">
        <f>LEFT(O66,2)</f>
        <v>28</v>
      </c>
      <c r="AW66" s="824">
        <v>0</v>
      </c>
      <c r="AX66" s="618" t="str">
        <f>IF(AND(AV65=TRUE,OR(AV66="00",AV66="",AW66=0)),"NG","OK")</f>
        <v>OK</v>
      </c>
      <c r="AY66" s="618" t="s">
        <v>2114</v>
      </c>
      <c r="BT66" s="22"/>
      <c r="BU66" s="22"/>
      <c r="BV66" s="22"/>
      <c r="BW66" s="22"/>
      <c r="BZ66" s="469" t="s">
        <v>1334</v>
      </c>
      <c r="CA66" s="469" t="str">
        <f t="shared" si="19"/>
        <v>1611513</v>
      </c>
      <c r="CB66" s="727" t="s">
        <v>1382</v>
      </c>
      <c r="CC66" s="333"/>
      <c r="CD66" s="145">
        <v>6300</v>
      </c>
      <c r="CE66" s="145" t="s">
        <v>5748</v>
      </c>
      <c r="CF66" s="145">
        <v>6300</v>
      </c>
      <c r="CG66" s="38"/>
      <c r="CH66" s="65" t="s">
        <v>435</v>
      </c>
      <c r="CI66" s="65" t="s">
        <v>63</v>
      </c>
      <c r="CJ66" s="65">
        <v>1</v>
      </c>
      <c r="CK66" s="65" t="s">
        <v>216</v>
      </c>
      <c r="CL66" s="65" t="s">
        <v>432</v>
      </c>
      <c r="CM66" s="65" t="s">
        <v>433</v>
      </c>
      <c r="CN66" s="65" t="s">
        <v>602</v>
      </c>
      <c r="CO66" s="66" t="s">
        <v>191</v>
      </c>
      <c r="CP66" s="78">
        <f>IF(記入シート1!AX91=TRUE,1,0)</f>
        <v>0</v>
      </c>
      <c r="CQ66" s="10"/>
      <c r="CR66" s="61"/>
      <c r="CS66" s="61"/>
      <c r="CT66" s="61"/>
      <c r="CU66" s="61"/>
      <c r="CV66" s="60"/>
      <c r="CW66" s="9" t="s">
        <v>4401</v>
      </c>
      <c r="CX66" s="9"/>
      <c r="CY66" s="51" t="s">
        <v>3394</v>
      </c>
      <c r="CZ66" s="52" t="s">
        <v>4383</v>
      </c>
      <c r="DA66" s="51"/>
      <c r="DB66" s="97" t="str">
        <f t="shared" si="2"/>
        <v>001</v>
      </c>
      <c r="DC66" s="136" t="s">
        <v>4396</v>
      </c>
      <c r="DD66" s="98">
        <f>IF(AV161=0,"",IF(AV161=1,0,1))</f>
        <v>0</v>
      </c>
      <c r="DE66" s="118"/>
      <c r="DF66" s="90"/>
      <c r="DG66" s="90"/>
      <c r="DH66" s="543" t="s">
        <v>2151</v>
      </c>
      <c r="DI66" s="547" t="s">
        <v>3251</v>
      </c>
      <c r="DJ66" s="771"/>
      <c r="DK66" s="101" t="str">
        <f t="shared" si="15"/>
        <v>93101PVD</v>
      </c>
      <c r="DL66" s="105" t="s">
        <v>2065</v>
      </c>
      <c r="DM66" s="105" t="s">
        <v>3261</v>
      </c>
      <c r="DN66" s="847" t="str">
        <f>""</f>
        <v/>
      </c>
      <c r="DO66" s="41"/>
      <c r="DP66" s="41"/>
      <c r="DQ66" s="465"/>
      <c r="DR66" s="465"/>
      <c r="DS66" s="465"/>
      <c r="DT66" s="465"/>
      <c r="DU66" s="465"/>
      <c r="DV66" s="38"/>
      <c r="DX66" s="115"/>
      <c r="DY66" s="115"/>
    </row>
    <row r="67" spans="1:129" ht="19.5" hidden="1" customHeight="1" thickTop="1" thickBot="1">
      <c r="A67" s="1048" t="s">
        <v>1234</v>
      </c>
      <c r="B67" s="249"/>
      <c r="C67" s="2323" t="s">
        <v>2115</v>
      </c>
      <c r="D67" s="2324"/>
      <c r="E67" s="2324"/>
      <c r="F67" s="2324"/>
      <c r="G67" s="2324"/>
      <c r="H67" s="2324"/>
      <c r="I67" s="2325"/>
      <c r="J67" s="750"/>
      <c r="K67" s="751"/>
      <c r="L67" s="1866" t="s">
        <v>642</v>
      </c>
      <c r="M67" s="1867"/>
      <c r="N67" s="1868"/>
      <c r="O67" s="3081" t="s">
        <v>1071</v>
      </c>
      <c r="P67" s="3081"/>
      <c r="Q67" s="3078">
        <v>0</v>
      </c>
      <c r="R67" s="3079"/>
      <c r="S67" s="3079"/>
      <c r="T67" s="3080"/>
      <c r="U67" s="3078">
        <v>0</v>
      </c>
      <c r="V67" s="3079"/>
      <c r="W67" s="3079"/>
      <c r="X67" s="3080"/>
      <c r="Y67" s="3053">
        <v>0</v>
      </c>
      <c r="Z67" s="3053"/>
      <c r="AA67" s="3053"/>
      <c r="AB67" s="3053"/>
      <c r="AC67" s="2329">
        <v>0</v>
      </c>
      <c r="AD67" s="2330"/>
      <c r="AE67" s="2330"/>
      <c r="AF67" s="2331"/>
      <c r="AG67" s="2326">
        <v>0</v>
      </c>
      <c r="AH67" s="2327"/>
      <c r="AI67" s="2327"/>
      <c r="AJ67" s="2328"/>
      <c r="AK67" s="2399"/>
      <c r="AL67" s="2400"/>
      <c r="AM67" s="2400"/>
      <c r="AN67" s="2400"/>
      <c r="AO67" s="2400"/>
      <c r="AP67" s="2400"/>
      <c r="AQ67" s="2400"/>
      <c r="AR67" s="2400"/>
      <c r="AS67" s="2400"/>
      <c r="AT67" s="2401"/>
      <c r="AU67" s="234"/>
      <c r="AV67" s="199" t="b">
        <v>0</v>
      </c>
      <c r="AW67" s="490">
        <f>IF(AV67=TRUE,AV67*1,0)</f>
        <v>0</v>
      </c>
      <c r="AX67" s="490" t="s">
        <v>2115</v>
      </c>
      <c r="AY67" s="125" t="str">
        <f>TEXT(BR67,"000")</f>
        <v>939</v>
      </c>
      <c r="AZ67" s="125">
        <f>AW67</f>
        <v>0</v>
      </c>
      <c r="BA67" s="470" t="str">
        <f>IF(O67="2回入金","92",IF(O67="1回入金","91",""))</f>
        <v>92</v>
      </c>
      <c r="BB67" s="142" t="s">
        <v>2148</v>
      </c>
      <c r="BC67" s="496" t="s">
        <v>2116</v>
      </c>
      <c r="BD67" s="470">
        <f>ROW(C67)</f>
        <v>67</v>
      </c>
      <c r="BE67" s="470">
        <f>IF(AY67&amp;BC67=AY65&amp;BC65,BE65+1,1)</f>
        <v>1</v>
      </c>
      <c r="BF67" s="753" t="str">
        <f>AY67&amp;BC67&amp;BE67</f>
        <v>939000001</v>
      </c>
      <c r="BG67" s="654"/>
      <c r="BH67" s="758"/>
      <c r="BI67" s="654" t="str">
        <f>BR67&amp;"01"</f>
        <v>93901</v>
      </c>
      <c r="BJ67" s="654">
        <f>IF(L67=$BC$2,1,0)</f>
        <v>1</v>
      </c>
      <c r="BK67" s="470">
        <f>AZ67</f>
        <v>0</v>
      </c>
      <c r="BL67" s="756" t="str">
        <f>IF(AW67=1,Q67,"")</f>
        <v/>
      </c>
      <c r="BM67" s="756" t="str">
        <f>IF(AW67=1,U67,"")</f>
        <v/>
      </c>
      <c r="BN67" s="757" t="str">
        <f>IF(AW67=0,"",Y67)</f>
        <v/>
      </c>
      <c r="BO67" s="757" t="str">
        <f>IF(AW67=0,"",AC67)</f>
        <v/>
      </c>
      <c r="BP67" s="756" t="str">
        <f>IF(AW67=0,"",AG67)</f>
        <v/>
      </c>
      <c r="BR67" s="26">
        <v>939</v>
      </c>
      <c r="BT67" s="22"/>
      <c r="BU67" s="22"/>
      <c r="BV67" s="22"/>
      <c r="BW67" s="22"/>
      <c r="BZ67" s="469" t="s">
        <v>1335</v>
      </c>
      <c r="CA67" s="469" t="str">
        <f t="shared" si="19"/>
        <v>1611514</v>
      </c>
      <c r="CB67" s="727" t="s">
        <v>1383</v>
      </c>
      <c r="CC67" s="333"/>
      <c r="CD67" s="145">
        <v>6302</v>
      </c>
      <c r="CE67" s="145" t="s">
        <v>5749</v>
      </c>
      <c r="CF67" s="145">
        <v>6302</v>
      </c>
      <c r="CG67" s="38"/>
      <c r="CH67" s="65" t="s">
        <v>440</v>
      </c>
      <c r="CI67" s="65" t="s">
        <v>63</v>
      </c>
      <c r="CJ67" s="65">
        <v>1</v>
      </c>
      <c r="CK67" s="65" t="s">
        <v>216</v>
      </c>
      <c r="CL67" s="65" t="s">
        <v>441</v>
      </c>
      <c r="CM67" s="65" t="s">
        <v>442</v>
      </c>
      <c r="CN67" s="65" t="s">
        <v>602</v>
      </c>
      <c r="CO67" s="66" t="s">
        <v>189</v>
      </c>
      <c r="CP67" s="78">
        <f>IF(OR(記入シート1!AY91=TRUE,記入シート1!AZ91=TRUE,記入シート1!BA91=TRUE,記入シート1!BB91=TRUE,記入シート1!BC91=TRUE,),1,0)</f>
        <v>0</v>
      </c>
      <c r="CQ67" s="10"/>
      <c r="CR67" s="61"/>
      <c r="CS67" s="61"/>
      <c r="CT67" s="61"/>
      <c r="CU67" s="61"/>
      <c r="CV67" s="60"/>
      <c r="CW67" s="9" t="s">
        <v>4402</v>
      </c>
      <c r="CX67" s="9"/>
      <c r="CY67" s="51" t="s">
        <v>3394</v>
      </c>
      <c r="CZ67" s="52" t="s">
        <v>4383</v>
      </c>
      <c r="DA67" s="51"/>
      <c r="DB67" s="97" t="str">
        <f t="shared" si="2"/>
        <v>001</v>
      </c>
      <c r="DC67" s="136" t="s">
        <v>4397</v>
      </c>
      <c r="DD67" s="98">
        <f>IF(AW161=0,"",IF(AW161=1,0,1))</f>
        <v>0</v>
      </c>
      <c r="DE67" s="118"/>
      <c r="DF67" s="90"/>
      <c r="DG67" s="90"/>
      <c r="DH67" s="1229" t="s">
        <v>3809</v>
      </c>
      <c r="DI67" s="547" t="s">
        <v>2170</v>
      </c>
      <c r="DJ67" s="772"/>
      <c r="DK67" s="101" t="str">
        <f t="shared" si="15"/>
        <v>93201PW2</v>
      </c>
      <c r="DL67" s="105" t="s">
        <v>2063</v>
      </c>
      <c r="DM67" s="105" t="s">
        <v>2181</v>
      </c>
      <c r="DN67" s="773" t="str">
        <f>T(記入シート1!I67)</f>
        <v/>
      </c>
      <c r="DO67" s="41"/>
      <c r="DP67" s="41"/>
      <c r="DQ67" s="465"/>
      <c r="DR67" s="465"/>
      <c r="DS67" s="465"/>
      <c r="DT67" s="465"/>
      <c r="DU67" s="465"/>
      <c r="DV67" s="38"/>
      <c r="DX67" s="115"/>
      <c r="DY67" s="115"/>
    </row>
    <row r="68" spans="1:129" ht="19.5" hidden="1" customHeight="1" thickTop="1">
      <c r="A68" s="1048" t="s">
        <v>1234</v>
      </c>
      <c r="B68" s="249"/>
      <c r="C68" s="2297"/>
      <c r="D68" s="2298"/>
      <c r="E68" s="2298"/>
      <c r="F68" s="2298"/>
      <c r="G68" s="2298"/>
      <c r="H68" s="2298"/>
      <c r="I68" s="2299"/>
      <c r="J68" s="2349" t="s">
        <v>1028</v>
      </c>
      <c r="K68" s="1894"/>
      <c r="L68" s="2402"/>
      <c r="M68" s="2402"/>
      <c r="N68" s="2403"/>
      <c r="O68" s="2404" t="s">
        <v>2073</v>
      </c>
      <c r="P68" s="2352"/>
      <c r="Q68" s="2352"/>
      <c r="R68" s="2352"/>
      <c r="S68" s="2352"/>
      <c r="T68" s="2352"/>
      <c r="U68" s="2352"/>
      <c r="V68" s="2352"/>
      <c r="W68" s="2352"/>
      <c r="X68" s="2405"/>
      <c r="Y68" s="2353" t="s">
        <v>3194</v>
      </c>
      <c r="Z68" s="2354"/>
      <c r="AA68" s="2406" t="s">
        <v>2073</v>
      </c>
      <c r="AB68" s="2407"/>
      <c r="AC68" s="2407"/>
      <c r="AD68" s="2407"/>
      <c r="AE68" s="2407"/>
      <c r="AF68" s="2407"/>
      <c r="AG68" s="2407"/>
      <c r="AH68" s="2407"/>
      <c r="AI68" s="2407"/>
      <c r="AJ68" s="2407"/>
      <c r="AK68" s="2407"/>
      <c r="AL68" s="2408"/>
      <c r="AM68" s="1098"/>
      <c r="AN68" s="1099"/>
      <c r="AO68" s="1099"/>
      <c r="AP68" s="1099"/>
      <c r="AQ68" s="1099"/>
      <c r="AR68" s="1099"/>
      <c r="AS68" s="1099"/>
      <c r="AT68" s="1100"/>
      <c r="AU68" s="234"/>
      <c r="AV68" s="199" t="str">
        <f>LEFT(O68,4)</f>
        <v>0000</v>
      </c>
      <c r="AW68" s="656" t="str">
        <f>MID(O68,6,LEN(O68)-5)</f>
        <v>選択してください</v>
      </c>
      <c r="AX68" s="656"/>
      <c r="AY68" s="843" t="str">
        <f>IF(AV67=TRUE,IF(AND(AV68&lt;&gt;"0000",AV69&lt;&gt;"0000",LEFT(AV68,2)=LEFT(AV69,2)),"OK","NG"),"OK")</f>
        <v>OK</v>
      </c>
      <c r="AZ68" s="843" t="s">
        <v>3195</v>
      </c>
      <c r="BA68" s="831"/>
      <c r="BB68" s="831"/>
      <c r="BC68" s="832"/>
      <c r="BD68" s="831"/>
      <c r="BE68" s="831"/>
      <c r="BF68" s="833"/>
      <c r="BG68" s="834"/>
      <c r="BH68" s="835"/>
      <c r="BI68" s="834"/>
      <c r="BJ68" s="834"/>
      <c r="BK68" s="831"/>
      <c r="BL68" s="836"/>
      <c r="BM68" s="836"/>
      <c r="BN68" s="837"/>
      <c r="BO68" s="837"/>
      <c r="BP68" s="836"/>
      <c r="BQ68" s="21"/>
      <c r="BR68" s="831"/>
      <c r="BT68" s="22"/>
      <c r="BU68" s="22"/>
      <c r="BV68" s="22"/>
      <c r="BW68" s="22"/>
      <c r="BZ68" s="469" t="s">
        <v>1336</v>
      </c>
      <c r="CA68" s="469" t="str">
        <f t="shared" si="19"/>
        <v>1611515</v>
      </c>
      <c r="CB68" s="727" t="s">
        <v>1384</v>
      </c>
      <c r="CC68" s="333"/>
      <c r="CD68" s="145">
        <v>6303</v>
      </c>
      <c r="CE68" s="145" t="s">
        <v>5750</v>
      </c>
      <c r="CF68" s="145">
        <v>6303</v>
      </c>
      <c r="CG68" s="38"/>
      <c r="CH68" s="65" t="s">
        <v>446</v>
      </c>
      <c r="CI68" s="65" t="s">
        <v>21</v>
      </c>
      <c r="CJ68" s="65">
        <v>60</v>
      </c>
      <c r="CK68" s="65" t="s">
        <v>362</v>
      </c>
      <c r="CL68" s="65" t="s">
        <v>441</v>
      </c>
      <c r="CM68" s="65"/>
      <c r="CN68" s="65" t="s">
        <v>603</v>
      </c>
      <c r="CO68" s="66" t="s">
        <v>186</v>
      </c>
      <c r="CP68" s="78" t="str">
        <f>T(記入シート1!N92)</f>
        <v/>
      </c>
      <c r="CQ68" s="10"/>
      <c r="CR68" s="61"/>
      <c r="CS68" s="61"/>
      <c r="CT68" s="61"/>
      <c r="CU68" s="61"/>
      <c r="CV68" s="60"/>
      <c r="CW68" s="45" t="s">
        <v>145</v>
      </c>
      <c r="CX68" s="45" t="s">
        <v>714</v>
      </c>
      <c r="CY68" s="53" t="s">
        <v>745</v>
      </c>
      <c r="CZ68" s="54" t="s">
        <v>354</v>
      </c>
      <c r="DA68" s="53" t="s">
        <v>755</v>
      </c>
      <c r="DB68" s="45" t="str">
        <f t="shared" si="2"/>
        <v>101</v>
      </c>
      <c r="DC68" s="137">
        <v>101017</v>
      </c>
      <c r="DD68" s="131"/>
      <c r="DE68" s="118"/>
      <c r="DF68" s="90"/>
      <c r="DG68" s="90"/>
      <c r="DH68" s="1229" t="s">
        <v>3809</v>
      </c>
      <c r="DI68" s="547" t="s">
        <v>2171</v>
      </c>
      <c r="DJ68" s="772"/>
      <c r="DK68" s="101" t="str">
        <f t="shared" si="15"/>
        <v>93201PW3</v>
      </c>
      <c r="DL68" s="105" t="s">
        <v>2063</v>
      </c>
      <c r="DM68" s="105" t="s">
        <v>2182</v>
      </c>
      <c r="DN68" s="773" t="str">
        <f>"5"</f>
        <v>5</v>
      </c>
      <c r="DO68" s="41"/>
      <c r="DP68" s="41"/>
      <c r="DQ68" s="465"/>
      <c r="DR68" s="465"/>
      <c r="DS68" s="465"/>
      <c r="DT68" s="465"/>
      <c r="DU68" s="465"/>
      <c r="DV68" s="38"/>
      <c r="DX68" s="115"/>
      <c r="DY68" s="115"/>
    </row>
    <row r="69" spans="1:129" ht="19.5" hidden="1" customHeight="1" thickBot="1">
      <c r="A69" s="447" t="s">
        <v>3653</v>
      </c>
      <c r="B69" s="249"/>
      <c r="C69" s="2297"/>
      <c r="D69" s="2298"/>
      <c r="E69" s="2298"/>
      <c r="F69" s="2298"/>
      <c r="G69" s="2298"/>
      <c r="H69" s="2298"/>
      <c r="I69" s="2299"/>
      <c r="J69" s="825"/>
      <c r="K69" s="826"/>
      <c r="L69" s="3070"/>
      <c r="M69" s="3070"/>
      <c r="N69" s="3071"/>
      <c r="O69" s="2205"/>
      <c r="P69" s="2205"/>
      <c r="Q69" s="2269"/>
      <c r="R69" s="2270"/>
      <c r="S69" s="2270"/>
      <c r="T69" s="2271"/>
      <c r="U69" s="2269"/>
      <c r="V69" s="2270"/>
      <c r="W69" s="2270"/>
      <c r="X69" s="2271"/>
      <c r="Y69" s="2378"/>
      <c r="Z69" s="2379"/>
      <c r="AA69" s="2379"/>
      <c r="AB69" s="2380"/>
      <c r="AC69" s="2378"/>
      <c r="AD69" s="2379"/>
      <c r="AE69" s="2379"/>
      <c r="AF69" s="2380"/>
      <c r="AG69" s="2269"/>
      <c r="AH69" s="2270"/>
      <c r="AI69" s="2270"/>
      <c r="AJ69" s="2271"/>
      <c r="AK69" s="1094"/>
      <c r="AL69" s="1095"/>
      <c r="AM69" s="1096"/>
      <c r="AN69" s="1096"/>
      <c r="AO69" s="1096"/>
      <c r="AP69" s="1096"/>
      <c r="AQ69" s="1096"/>
      <c r="AR69" s="1096"/>
      <c r="AS69" s="1096"/>
      <c r="AT69" s="1097"/>
      <c r="AU69" s="234"/>
      <c r="AV69" s="199" t="str">
        <f>LEFT(AA68,4)</f>
        <v>0000</v>
      </c>
      <c r="AW69" s="201" t="str">
        <f>MID(AA68,6,LEN(AA68)-5)</f>
        <v>選択してください</v>
      </c>
      <c r="AX69" s="201"/>
      <c r="AY69" s="838"/>
      <c r="AZ69" s="838"/>
      <c r="BA69" s="468"/>
      <c r="BB69" s="468"/>
      <c r="BC69" s="729"/>
      <c r="BD69" s="468"/>
      <c r="BE69" s="468"/>
      <c r="BF69" s="839"/>
      <c r="BG69" s="466"/>
      <c r="BH69" s="840"/>
      <c r="BI69" s="466"/>
      <c r="BJ69" s="466"/>
      <c r="BK69" s="468"/>
      <c r="BL69" s="841"/>
      <c r="BM69" s="841"/>
      <c r="BN69" s="842"/>
      <c r="BO69" s="842"/>
      <c r="BP69" s="841"/>
      <c r="BQ69" s="21"/>
      <c r="BR69" s="468"/>
      <c r="BT69" s="22"/>
      <c r="BU69" s="7"/>
      <c r="BV69" s="7"/>
      <c r="BW69" s="22"/>
      <c r="BZ69" s="469" t="s">
        <v>1337</v>
      </c>
      <c r="CA69" s="469" t="str">
        <f t="shared" ref="CA69:CA84" si="20">TEXT(BZ69,"0000000")</f>
        <v>1611516</v>
      </c>
      <c r="CB69" s="727" t="s">
        <v>1385</v>
      </c>
      <c r="CC69" s="333"/>
      <c r="CD69" s="145"/>
      <c r="CE69" s="145"/>
      <c r="CF69" s="145"/>
      <c r="CG69" s="38"/>
      <c r="CH69" s="65" t="s">
        <v>447</v>
      </c>
      <c r="CI69" s="65" t="s">
        <v>22</v>
      </c>
      <c r="CJ69" s="65">
        <v>30</v>
      </c>
      <c r="CK69" s="65" t="s">
        <v>362</v>
      </c>
      <c r="CL69" s="65" t="s">
        <v>83</v>
      </c>
      <c r="CM69" s="65"/>
      <c r="CN69" s="65" t="s">
        <v>603</v>
      </c>
      <c r="CO69" s="66" t="s">
        <v>183</v>
      </c>
      <c r="CP69" s="78" t="str">
        <f>ASC(記入シート1!AB92)</f>
        <v/>
      </c>
      <c r="CQ69" s="10"/>
      <c r="CR69" s="61"/>
      <c r="CS69" s="61"/>
      <c r="CT69" s="61"/>
      <c r="CU69" s="61"/>
      <c r="CV69" s="60"/>
      <c r="CW69" s="45" t="s">
        <v>730</v>
      </c>
      <c r="CX69" s="45" t="s">
        <v>758</v>
      </c>
      <c r="CY69" s="53" t="s">
        <v>736</v>
      </c>
      <c r="CZ69" s="54" t="s">
        <v>349</v>
      </c>
      <c r="DA69" s="53" t="s">
        <v>713</v>
      </c>
      <c r="DB69" s="45" t="str">
        <f t="shared" si="2"/>
        <v>101</v>
      </c>
      <c r="DC69" s="108" t="s">
        <v>143</v>
      </c>
      <c r="DD69" s="131"/>
      <c r="DE69" s="118"/>
      <c r="DF69" s="90"/>
      <c r="DG69" s="90"/>
      <c r="DH69" s="1229" t="s">
        <v>3809</v>
      </c>
      <c r="DI69" s="547" t="s">
        <v>3245</v>
      </c>
      <c r="DJ69" s="772"/>
      <c r="DK69" s="101" t="str">
        <f t="shared" si="15"/>
        <v>93201PW4</v>
      </c>
      <c r="DL69" s="105" t="s">
        <v>2063</v>
      </c>
      <c r="DM69" s="105" t="s">
        <v>3265</v>
      </c>
      <c r="DN69" s="773" t="str">
        <f>T(記入シート1!I31)</f>
        <v/>
      </c>
      <c r="DO69" s="41"/>
      <c r="DP69" s="41"/>
      <c r="DQ69" s="465"/>
      <c r="DR69" s="465"/>
      <c r="DS69" s="465"/>
      <c r="DT69" s="465"/>
      <c r="DU69" s="465"/>
      <c r="DV69" s="38"/>
      <c r="DX69" s="115"/>
      <c r="DY69" s="115"/>
    </row>
    <row r="70" spans="1:129" ht="19.5" hidden="1" customHeight="1" thickTop="1" thickBot="1">
      <c r="A70" s="447" t="s">
        <v>3653</v>
      </c>
      <c r="B70" s="249"/>
      <c r="C70" s="1955"/>
      <c r="D70" s="1956"/>
      <c r="E70" s="1956"/>
      <c r="F70" s="1956"/>
      <c r="G70" s="1956"/>
      <c r="H70" s="1956"/>
      <c r="I70" s="1957"/>
      <c r="J70" s="746"/>
      <c r="K70" s="746"/>
      <c r="L70" s="2384"/>
      <c r="M70" s="2385"/>
      <c r="N70" s="2386"/>
      <c r="O70" s="2387"/>
      <c r="P70" s="2387"/>
      <c r="Q70" s="2388"/>
      <c r="R70" s="2389"/>
      <c r="S70" s="2389"/>
      <c r="T70" s="2390"/>
      <c r="U70" s="2388"/>
      <c r="V70" s="2389"/>
      <c r="W70" s="2389"/>
      <c r="X70" s="2390"/>
      <c r="Y70" s="2391"/>
      <c r="Z70" s="2392"/>
      <c r="AA70" s="2392"/>
      <c r="AB70" s="2393"/>
      <c r="AC70" s="2391"/>
      <c r="AD70" s="2392"/>
      <c r="AE70" s="2392"/>
      <c r="AF70" s="2393"/>
      <c r="AG70" s="2388"/>
      <c r="AH70" s="2389"/>
      <c r="AI70" s="2389"/>
      <c r="AJ70" s="2390"/>
      <c r="AK70" s="2396"/>
      <c r="AL70" s="2397"/>
      <c r="AM70" s="2397"/>
      <c r="AN70" s="2397"/>
      <c r="AO70" s="2397"/>
      <c r="AP70" s="2397"/>
      <c r="AQ70" s="2397"/>
      <c r="AR70" s="2397"/>
      <c r="AS70" s="2397"/>
      <c r="AT70" s="2398"/>
      <c r="AU70" s="234"/>
      <c r="AW70" s="838"/>
      <c r="AX70" s="838"/>
      <c r="AY70" s="838"/>
      <c r="AZ70" s="838"/>
      <c r="BA70" s="468"/>
      <c r="BB70" s="729"/>
      <c r="BC70" s="729"/>
      <c r="BD70" s="468"/>
      <c r="BE70" s="468"/>
      <c r="BF70" s="839"/>
      <c r="BG70" s="466"/>
      <c r="BH70" s="840"/>
      <c r="BI70" s="466"/>
      <c r="BJ70" s="466"/>
      <c r="BK70" s="468"/>
      <c r="BL70" s="841"/>
      <c r="BM70" s="841"/>
      <c r="BN70" s="842"/>
      <c r="BO70" s="842"/>
      <c r="BP70" s="841"/>
      <c r="BQ70" s="21"/>
      <c r="BR70" s="468"/>
      <c r="BT70" s="22"/>
      <c r="BU70" s="22"/>
      <c r="BV70" s="22"/>
      <c r="BW70" s="22"/>
      <c r="BZ70" s="469" t="s">
        <v>1338</v>
      </c>
      <c r="CA70" s="469" t="str">
        <f t="shared" si="20"/>
        <v>1611517</v>
      </c>
      <c r="CB70" s="727" t="s">
        <v>1386</v>
      </c>
      <c r="CC70" s="333"/>
      <c r="CD70" s="145"/>
      <c r="CE70" s="145"/>
      <c r="CF70" s="145"/>
      <c r="CG70" s="38"/>
      <c r="CH70" s="65" t="s">
        <v>448</v>
      </c>
      <c r="CI70" s="65" t="s">
        <v>63</v>
      </c>
      <c r="CJ70" s="65">
        <v>8</v>
      </c>
      <c r="CK70" s="65" t="s">
        <v>362</v>
      </c>
      <c r="CL70" s="65" t="s">
        <v>83</v>
      </c>
      <c r="CM70" s="65"/>
      <c r="CN70" s="65" t="s">
        <v>603</v>
      </c>
      <c r="CO70" s="66" t="s">
        <v>180</v>
      </c>
      <c r="CP70" s="78" t="str">
        <f>IF(CP68="","",IF(記入シート1!AN92="","",RIGHT("0000"&amp;記入シート1!AN92,4)&amp;RIGHT("00"&amp;記入シート1!AQ92,2)&amp;RIGHT("00"&amp;記入シート1!AS92,2)))</f>
        <v/>
      </c>
      <c r="CQ70" s="10"/>
      <c r="CR70" s="61"/>
      <c r="CS70" s="61"/>
      <c r="CT70" s="61"/>
      <c r="CU70" s="61"/>
      <c r="CV70" s="60"/>
      <c r="CW70" s="45" t="s">
        <v>54</v>
      </c>
      <c r="CX70" s="45" t="s">
        <v>90</v>
      </c>
      <c r="CY70" s="53" t="s">
        <v>746</v>
      </c>
      <c r="CZ70" s="54" t="s">
        <v>343</v>
      </c>
      <c r="DA70" s="53" t="s">
        <v>466</v>
      </c>
      <c r="DB70" s="45" t="str">
        <f t="shared" ref="DB70:DB80" si="21">LEFT(DC70,3)</f>
        <v>101</v>
      </c>
      <c r="DC70" s="108" t="s">
        <v>141</v>
      </c>
      <c r="DD70" s="131"/>
      <c r="DE70" s="118"/>
      <c r="DF70" s="90"/>
      <c r="DG70" s="90"/>
      <c r="DH70" s="1229" t="s">
        <v>3809</v>
      </c>
      <c r="DI70" s="547" t="s">
        <v>3246</v>
      </c>
      <c r="DJ70" s="772"/>
      <c r="DK70" s="101" t="str">
        <f t="shared" si="15"/>
        <v>93201PW5</v>
      </c>
      <c r="DL70" s="105" t="s">
        <v>2063</v>
      </c>
      <c r="DM70" s="105" t="s">
        <v>3266</v>
      </c>
      <c r="DN70" s="773" t="str">
        <f>T(記入シート1!AB64)</f>
        <v/>
      </c>
      <c r="DO70" s="41"/>
      <c r="DP70" s="41"/>
      <c r="DQ70" s="465"/>
      <c r="DR70" s="465"/>
      <c r="DS70" s="465"/>
      <c r="DT70" s="465"/>
      <c r="DU70" s="465"/>
      <c r="DV70" s="38"/>
      <c r="DX70" s="115"/>
      <c r="DY70" s="115"/>
    </row>
    <row r="71" spans="1:129" ht="19.5" customHeight="1" thickTop="1" thickBot="1">
      <c r="A71" s="447"/>
      <c r="B71" s="249"/>
      <c r="C71" s="1952" t="s">
        <v>3762</v>
      </c>
      <c r="D71" s="1953"/>
      <c r="E71" s="1953"/>
      <c r="F71" s="1953"/>
      <c r="G71" s="1953"/>
      <c r="H71" s="1953"/>
      <c r="I71" s="1954"/>
      <c r="J71" s="876"/>
      <c r="K71" s="777"/>
      <c r="L71" s="1866" t="s">
        <v>642</v>
      </c>
      <c r="M71" s="1867"/>
      <c r="N71" s="1868"/>
      <c r="O71" s="3081" t="s">
        <v>1071</v>
      </c>
      <c r="P71" s="3081"/>
      <c r="Q71" s="3059">
        <v>0</v>
      </c>
      <c r="R71" s="3059"/>
      <c r="S71" s="3059"/>
      <c r="T71" s="3059"/>
      <c r="U71" s="3059">
        <v>0</v>
      </c>
      <c r="V71" s="3059"/>
      <c r="W71" s="3059"/>
      <c r="X71" s="3059"/>
      <c r="Y71" s="1893">
        <v>3.5400000000000001E-2</v>
      </c>
      <c r="Z71" s="1893"/>
      <c r="AA71" s="1893"/>
      <c r="AB71" s="1893"/>
      <c r="AC71" s="1893">
        <v>0</v>
      </c>
      <c r="AD71" s="1893"/>
      <c r="AE71" s="1893"/>
      <c r="AF71" s="1893"/>
      <c r="AG71" s="1873">
        <v>0</v>
      </c>
      <c r="AH71" s="1873"/>
      <c r="AI71" s="1873"/>
      <c r="AJ71" s="1873"/>
      <c r="AK71" s="745"/>
      <c r="AL71" s="745"/>
      <c r="AM71" s="745"/>
      <c r="AN71" s="745"/>
      <c r="AO71" s="745"/>
      <c r="AP71" s="745"/>
      <c r="AQ71" s="745"/>
      <c r="AR71" s="745"/>
      <c r="AS71" s="745"/>
      <c r="AT71" s="1101"/>
      <c r="AU71" s="234"/>
      <c r="AV71" s="199" t="b">
        <v>0</v>
      </c>
      <c r="AW71" s="490">
        <f>IF(AV71=TRUE,AV71*1,0)</f>
        <v>0</v>
      </c>
      <c r="AX71" s="490" t="s">
        <v>3771</v>
      </c>
      <c r="AY71" s="125" t="str">
        <f>TEXT(BR71,"000")</f>
        <v>940</v>
      </c>
      <c r="AZ71" s="125">
        <f>AW71</f>
        <v>0</v>
      </c>
      <c r="BA71" s="470" t="str">
        <f>IF(O71="2回入金","92",IF(O71="1回入金","91",""))</f>
        <v>92</v>
      </c>
      <c r="BB71" s="142" t="s">
        <v>995</v>
      </c>
      <c r="BC71" s="496" t="s">
        <v>2109</v>
      </c>
      <c r="BD71" s="470">
        <f>ROW(C71)</f>
        <v>71</v>
      </c>
      <c r="BE71" s="470">
        <f>IF(AY71&amp;BC71=AY70&amp;BC70,BE70+1,1)</f>
        <v>1</v>
      </c>
      <c r="BF71" s="753" t="str">
        <f>AY71&amp;BC71&amp;BE71</f>
        <v>940000001</v>
      </c>
      <c r="BG71" s="654"/>
      <c r="BH71" s="758"/>
      <c r="BI71" s="654" t="str">
        <f>BR71&amp;"01"</f>
        <v>94001</v>
      </c>
      <c r="BJ71" s="654">
        <f>IF(L71=$BC$2,1,0)</f>
        <v>1</v>
      </c>
      <c r="BK71" s="470">
        <f>AZ71</f>
        <v>0</v>
      </c>
      <c r="BL71" s="756" t="str">
        <f>IF(AW71=1,Q71,"")</f>
        <v/>
      </c>
      <c r="BM71" s="756" t="str">
        <f>IF(AW71=1,U71,"")</f>
        <v/>
      </c>
      <c r="BN71" s="757" t="str">
        <f>IF(AW71=0,"",Y71)</f>
        <v/>
      </c>
      <c r="BO71" s="757" t="str">
        <f>IF(AW71=0,"",AC71)</f>
        <v/>
      </c>
      <c r="BP71" s="756" t="str">
        <f>IF(AW71=0,"",AG71)</f>
        <v/>
      </c>
      <c r="BR71" s="26">
        <v>940</v>
      </c>
      <c r="BT71" s="22"/>
      <c r="BU71" s="22"/>
      <c r="BV71" s="22"/>
      <c r="BW71" s="7"/>
      <c r="BX71" s="2"/>
      <c r="BZ71" s="469" t="s">
        <v>1339</v>
      </c>
      <c r="CA71" s="469" t="str">
        <f t="shared" si="20"/>
        <v>1611518</v>
      </c>
      <c r="CB71" s="727" t="s">
        <v>1387</v>
      </c>
      <c r="CC71" s="333"/>
      <c r="CD71" s="145"/>
      <c r="CE71" s="145"/>
      <c r="CF71" s="145"/>
      <c r="CG71" s="38"/>
      <c r="CH71" s="65" t="s">
        <v>886</v>
      </c>
      <c r="CI71" s="65" t="s">
        <v>21</v>
      </c>
      <c r="CJ71" s="65">
        <v>60</v>
      </c>
      <c r="CK71" s="65" t="s">
        <v>216</v>
      </c>
      <c r="CL71" s="65" t="s">
        <v>90</v>
      </c>
      <c r="CM71" s="65"/>
      <c r="CN71" s="65"/>
      <c r="CO71" s="66" t="s">
        <v>887</v>
      </c>
      <c r="CP71" s="78" t="str">
        <f>記入シート1!BD80</f>
        <v>：～：  休業日（）</v>
      </c>
      <c r="CQ71" s="10"/>
      <c r="CR71" s="61"/>
      <c r="CS71" s="61"/>
      <c r="CT71" s="61"/>
      <c r="CU71" s="61"/>
      <c r="CV71" s="60"/>
      <c r="CW71" s="45" t="s">
        <v>731</v>
      </c>
      <c r="CX71" s="45"/>
      <c r="CY71" s="53"/>
      <c r="CZ71" s="54"/>
      <c r="DA71" s="53"/>
      <c r="DB71" s="45" t="str">
        <f t="shared" si="21"/>
        <v>101</v>
      </c>
      <c r="DC71" s="108" t="s">
        <v>139</v>
      </c>
      <c r="DD71" s="131"/>
      <c r="DE71" s="118"/>
      <c r="DF71" s="90"/>
      <c r="DG71" s="90"/>
      <c r="DH71" s="1229" t="s">
        <v>3809</v>
      </c>
      <c r="DI71" s="547" t="s">
        <v>3247</v>
      </c>
      <c r="DJ71" s="772"/>
      <c r="DK71" s="101" t="str">
        <f t="shared" si="15"/>
        <v>93201PW6</v>
      </c>
      <c r="DL71" s="105" t="s">
        <v>2063</v>
      </c>
      <c r="DM71" s="105" t="s">
        <v>3267</v>
      </c>
      <c r="DN71" s="773" t="str">
        <f>T(記入シート1!AB67)</f>
        <v/>
      </c>
      <c r="DO71" s="41"/>
      <c r="DP71" s="41"/>
      <c r="DQ71" s="465"/>
      <c r="DR71" s="465"/>
      <c r="DS71" s="465"/>
      <c r="DT71" s="465"/>
      <c r="DU71" s="465"/>
      <c r="DV71" s="38"/>
      <c r="DX71" s="115"/>
      <c r="DY71" s="115"/>
    </row>
    <row r="72" spans="1:129" ht="19.5" customHeight="1" thickTop="1" thickBot="1">
      <c r="A72" s="447"/>
      <c r="B72" s="249"/>
      <c r="C72" s="1955"/>
      <c r="D72" s="1956"/>
      <c r="E72" s="1956"/>
      <c r="F72" s="1956"/>
      <c r="G72" s="1956"/>
      <c r="H72" s="1956"/>
      <c r="I72" s="1957"/>
      <c r="J72" s="1965" t="s">
        <v>3763</v>
      </c>
      <c r="K72" s="1966"/>
      <c r="L72" s="1966"/>
      <c r="M72" s="1966"/>
      <c r="N72" s="1967"/>
      <c r="O72" s="1968" t="s">
        <v>3676</v>
      </c>
      <c r="P72" s="1969"/>
      <c r="Q72" s="1969"/>
      <c r="R72" s="1969"/>
      <c r="S72" s="1969"/>
      <c r="T72" s="1969"/>
      <c r="U72" s="1969"/>
      <c r="V72" s="1969"/>
      <c r="W72" s="1969"/>
      <c r="X72" s="1969"/>
      <c r="Y72" s="1958" t="s">
        <v>3764</v>
      </c>
      <c r="Z72" s="1959"/>
      <c r="AA72" s="1959"/>
      <c r="AB72" s="1960"/>
      <c r="AC72" s="1007"/>
      <c r="AD72" s="1959" t="s">
        <v>3765</v>
      </c>
      <c r="AE72" s="1959"/>
      <c r="AF72" s="1959"/>
      <c r="AG72" s="1007"/>
      <c r="AH72" s="1007"/>
      <c r="AI72" s="1959" t="s">
        <v>3766</v>
      </c>
      <c r="AJ72" s="1959"/>
      <c r="AK72" s="1959"/>
      <c r="AL72" s="1959"/>
      <c r="AM72" s="1959"/>
      <c r="AN72" s="908"/>
      <c r="AO72" s="908"/>
      <c r="AP72" s="1961" t="s">
        <v>3767</v>
      </c>
      <c r="AQ72" s="1961"/>
      <c r="AR72" s="908"/>
      <c r="AS72" s="908"/>
      <c r="AT72" s="752"/>
      <c r="AU72" s="234"/>
      <c r="AV72" s="691" t="str">
        <f>LEFT(O72,2)</f>
        <v>15</v>
      </c>
      <c r="AW72" s="656">
        <v>0</v>
      </c>
      <c r="AX72" s="656"/>
      <c r="AY72" s="843" t="str">
        <f>IF(AND(AV71=TRUE,OR(AV72="00",AV72="",AW72=0)),"NG","OK")</f>
        <v>OK</v>
      </c>
      <c r="AZ72" s="843" t="s">
        <v>3792</v>
      </c>
      <c r="BA72" s="831"/>
      <c r="BB72" s="831"/>
      <c r="BC72" s="831"/>
      <c r="BD72" s="831"/>
      <c r="BE72" s="831"/>
      <c r="BF72" s="833"/>
      <c r="BG72" s="834"/>
      <c r="BH72" s="835"/>
      <c r="BI72" s="834"/>
      <c r="BJ72" s="834"/>
      <c r="BK72" s="831"/>
      <c r="BL72" s="836"/>
      <c r="BM72" s="836"/>
      <c r="BN72" s="837"/>
      <c r="BO72" s="837"/>
      <c r="BP72" s="836"/>
      <c r="BQ72" s="21"/>
      <c r="BR72" s="831"/>
      <c r="BT72" s="22"/>
      <c r="BU72" s="22"/>
      <c r="BV72" s="22"/>
      <c r="BW72" s="22"/>
      <c r="BX72" s="2"/>
      <c r="BZ72" s="469" t="s">
        <v>1340</v>
      </c>
      <c r="CA72" s="469" t="str">
        <f t="shared" si="20"/>
        <v>1611519</v>
      </c>
      <c r="CB72" s="727" t="s">
        <v>1388</v>
      </c>
      <c r="CC72" s="333"/>
      <c r="CD72" s="145"/>
      <c r="CE72" s="145"/>
      <c r="CF72" s="145"/>
      <c r="CG72" s="38"/>
      <c r="CH72" s="77" t="s">
        <v>608</v>
      </c>
      <c r="CI72" s="77"/>
      <c r="CJ72" s="77"/>
      <c r="CK72" s="77"/>
      <c r="CL72" s="77"/>
      <c r="CM72" s="77"/>
      <c r="CN72" s="77"/>
      <c r="CO72" s="13"/>
      <c r="CP72" s="80"/>
      <c r="CQ72" s="10"/>
      <c r="CR72" s="61"/>
      <c r="CS72" s="61"/>
      <c r="CT72" s="61"/>
      <c r="CU72" s="61"/>
      <c r="CV72" s="60"/>
      <c r="CW72" s="45" t="s">
        <v>136</v>
      </c>
      <c r="CX72" s="45" t="s">
        <v>698</v>
      </c>
      <c r="CY72" s="53" t="s">
        <v>736</v>
      </c>
      <c r="CZ72" s="54" t="s">
        <v>343</v>
      </c>
      <c r="DA72" s="53"/>
      <c r="DB72" s="45" t="str">
        <f t="shared" si="21"/>
        <v>101</v>
      </c>
      <c r="DC72" s="108" t="s">
        <v>137</v>
      </c>
      <c r="DD72" s="131"/>
      <c r="DE72" s="118"/>
      <c r="DF72" s="90"/>
      <c r="DG72" s="90"/>
      <c r="DH72" s="1229" t="s">
        <v>3809</v>
      </c>
      <c r="DI72" s="547" t="s">
        <v>3251</v>
      </c>
      <c r="DJ72" s="772"/>
      <c r="DK72" s="101" t="str">
        <f t="shared" si="15"/>
        <v>93201PW7</v>
      </c>
      <c r="DL72" s="105" t="s">
        <v>2063</v>
      </c>
      <c r="DM72" s="105" t="s">
        <v>3268</v>
      </c>
      <c r="DN72" s="851" t="str">
        <f>""</f>
        <v/>
      </c>
      <c r="DO72" s="41"/>
      <c r="DP72" s="41"/>
      <c r="DQ72" s="465"/>
      <c r="DR72" s="465"/>
      <c r="DS72" s="465"/>
      <c r="DT72" s="465"/>
      <c r="DU72" s="465"/>
      <c r="DV72" s="38"/>
      <c r="DX72" s="115"/>
      <c r="DY72" s="115"/>
    </row>
    <row r="73" spans="1:129" ht="19.5" hidden="1" customHeight="1">
      <c r="A73" s="447" t="s">
        <v>3653</v>
      </c>
      <c r="B73" s="249"/>
      <c r="C73" s="1038"/>
      <c r="D73" s="1039"/>
      <c r="E73" s="1039"/>
      <c r="F73" s="1039"/>
      <c r="G73" s="1039"/>
      <c r="H73" s="1039"/>
      <c r="I73" s="1040"/>
      <c r="J73" s="994"/>
      <c r="K73" s="995"/>
      <c r="L73" s="995"/>
      <c r="M73" s="995"/>
      <c r="N73" s="996"/>
      <c r="O73" s="997"/>
      <c r="P73" s="998"/>
      <c r="Q73" s="998"/>
      <c r="R73" s="998"/>
      <c r="S73" s="997"/>
      <c r="T73" s="998"/>
      <c r="U73" s="998"/>
      <c r="V73" s="998"/>
      <c r="W73" s="998"/>
      <c r="X73" s="998"/>
      <c r="Y73" s="998"/>
      <c r="Z73" s="998"/>
      <c r="AA73" s="998"/>
      <c r="AB73" s="998"/>
      <c r="AC73" s="998"/>
      <c r="AD73" s="998"/>
      <c r="AE73" s="998"/>
      <c r="AF73" s="998"/>
      <c r="AG73" s="998"/>
      <c r="AH73" s="998"/>
      <c r="AI73" s="998"/>
      <c r="AJ73" s="998"/>
      <c r="AK73" s="998"/>
      <c r="AL73" s="998"/>
      <c r="AM73" s="998"/>
      <c r="AN73" s="998"/>
      <c r="AO73" s="998"/>
      <c r="AP73" s="998"/>
      <c r="AQ73" s="998"/>
      <c r="AR73" s="998"/>
      <c r="AS73" s="998"/>
      <c r="AT73" s="999"/>
      <c r="AU73" s="845"/>
      <c r="AV73" s="488"/>
      <c r="AW73" s="201"/>
      <c r="AX73" s="201"/>
      <c r="AY73" s="201"/>
      <c r="AZ73" s="201"/>
      <c r="BA73" s="468"/>
      <c r="BB73" s="468"/>
      <c r="BC73" s="468"/>
      <c r="BD73" s="468"/>
      <c r="BE73" s="468"/>
      <c r="BF73" s="468"/>
      <c r="BG73" s="468"/>
      <c r="BH73" s="468"/>
      <c r="BI73" s="468"/>
      <c r="BJ73" s="468"/>
      <c r="BK73" s="468"/>
      <c r="BL73" s="841"/>
      <c r="BM73" s="841"/>
      <c r="BN73" s="468"/>
      <c r="BO73" s="468"/>
      <c r="BP73" s="468"/>
      <c r="BQ73" s="468"/>
      <c r="BR73" s="468"/>
      <c r="BT73" s="22"/>
      <c r="BU73" s="7"/>
      <c r="BV73" s="7"/>
      <c r="BW73" s="22"/>
      <c r="BX73" s="2"/>
      <c r="BZ73" s="728" t="s">
        <v>1341</v>
      </c>
      <c r="CA73" s="469" t="str">
        <f t="shared" si="20"/>
        <v>1611520</v>
      </c>
      <c r="CB73" s="727" t="s">
        <v>1389</v>
      </c>
      <c r="CC73" s="333"/>
      <c r="CD73" s="145"/>
      <c r="CE73" s="145"/>
      <c r="CF73" s="145"/>
      <c r="CG73" s="38"/>
      <c r="CH73" s="62" t="s">
        <v>323</v>
      </c>
      <c r="CI73" s="63" t="s">
        <v>322</v>
      </c>
      <c r="CJ73" s="63" t="s">
        <v>321</v>
      </c>
      <c r="CK73" s="62" t="s">
        <v>320</v>
      </c>
      <c r="CL73" s="62" t="s">
        <v>320</v>
      </c>
      <c r="CM73" s="62" t="s">
        <v>319</v>
      </c>
      <c r="CN73" s="62"/>
      <c r="CO73" s="62" t="s">
        <v>376</v>
      </c>
      <c r="CP73" s="62" t="s">
        <v>377</v>
      </c>
      <c r="CQ73" s="10"/>
      <c r="CR73" s="61"/>
      <c r="CS73" s="61"/>
      <c r="CT73" s="61"/>
      <c r="CU73" s="61"/>
      <c r="CV73" s="60"/>
      <c r="CW73" s="45" t="s">
        <v>732</v>
      </c>
      <c r="CX73" s="45"/>
      <c r="CY73" s="53"/>
      <c r="CZ73" s="54"/>
      <c r="DA73" s="53"/>
      <c r="DB73" s="45" t="str">
        <f t="shared" si="21"/>
        <v>101</v>
      </c>
      <c r="DC73" s="108" t="s">
        <v>134</v>
      </c>
      <c r="DD73" s="131"/>
      <c r="DE73" s="118"/>
      <c r="DF73" s="90"/>
      <c r="DG73" s="90"/>
      <c r="DH73" s="1229" t="s">
        <v>3809</v>
      </c>
      <c r="DI73" s="547" t="s">
        <v>3264</v>
      </c>
      <c r="DJ73" s="772"/>
      <c r="DK73" s="101" t="str">
        <f t="shared" si="15"/>
        <v>93201PW8</v>
      </c>
      <c r="DL73" s="105" t="s">
        <v>2063</v>
      </c>
      <c r="DM73" s="105" t="s">
        <v>3269</v>
      </c>
      <c r="DN73" s="851" t="str">
        <f>""</f>
        <v/>
      </c>
      <c r="DO73" s="41"/>
      <c r="DP73" s="41"/>
      <c r="DQ73" s="465"/>
      <c r="DR73" s="465"/>
      <c r="DS73" s="465"/>
      <c r="DT73" s="465"/>
      <c r="DU73" s="465"/>
      <c r="DV73" s="38"/>
      <c r="DX73" s="115"/>
      <c r="DY73" s="115"/>
    </row>
    <row r="74" spans="1:129" ht="19.5" hidden="1" customHeight="1" thickBot="1">
      <c r="A74" s="447" t="s">
        <v>3653</v>
      </c>
      <c r="B74" s="249"/>
      <c r="C74" s="1041"/>
      <c r="D74" s="1042"/>
      <c r="E74" s="1042"/>
      <c r="F74" s="1042"/>
      <c r="G74" s="1042"/>
      <c r="H74" s="1042"/>
      <c r="I74" s="1043"/>
      <c r="J74" s="1000"/>
      <c r="K74" s="1001"/>
      <c r="L74" s="1002"/>
      <c r="M74" s="1002"/>
      <c r="N74" s="1003"/>
      <c r="O74" s="844"/>
      <c r="P74" s="1004"/>
      <c r="Q74" s="1004"/>
      <c r="R74" s="1004"/>
      <c r="S74" s="1005"/>
      <c r="T74" s="1004"/>
      <c r="U74" s="1004"/>
      <c r="V74" s="1004"/>
      <c r="W74" s="1004"/>
      <c r="X74" s="1004"/>
      <c r="Y74" s="1004"/>
      <c r="Z74" s="1004"/>
      <c r="AA74" s="1004"/>
      <c r="AB74" s="1004"/>
      <c r="AC74" s="1004"/>
      <c r="AD74" s="1004"/>
      <c r="AE74" s="1004"/>
      <c r="AF74" s="1004"/>
      <c r="AG74" s="1004"/>
      <c r="AH74" s="1004"/>
      <c r="AI74" s="1004"/>
      <c r="AJ74" s="1004"/>
      <c r="AK74" s="1004"/>
      <c r="AL74" s="1004"/>
      <c r="AM74" s="1004"/>
      <c r="AN74" s="1004"/>
      <c r="AO74" s="1004"/>
      <c r="AP74" s="1004"/>
      <c r="AQ74" s="1004"/>
      <c r="AR74" s="1004"/>
      <c r="AS74" s="1004"/>
      <c r="AT74" s="1006"/>
      <c r="AU74" s="845"/>
      <c r="AV74" s="488"/>
      <c r="AW74" s="828"/>
      <c r="AX74" s="828"/>
      <c r="AY74" s="828"/>
      <c r="AZ74" s="828"/>
      <c r="BA74" s="829"/>
      <c r="BB74" s="829"/>
      <c r="BC74" s="829"/>
      <c r="BD74" s="829"/>
      <c r="BE74" s="829"/>
      <c r="BF74" s="829"/>
      <c r="BG74" s="829"/>
      <c r="BH74" s="829"/>
      <c r="BI74" s="829"/>
      <c r="BJ74" s="829"/>
      <c r="BK74" s="829"/>
      <c r="BL74" s="830"/>
      <c r="BM74" s="830"/>
      <c r="BN74" s="829"/>
      <c r="BO74" s="829"/>
      <c r="BP74" s="829"/>
      <c r="BQ74" s="468"/>
      <c r="BR74" s="829"/>
      <c r="BT74" s="22"/>
      <c r="BU74" s="7"/>
      <c r="BV74" s="7"/>
      <c r="BW74" s="22"/>
      <c r="BX74" s="21"/>
      <c r="BZ74" s="469" t="s">
        <v>1342</v>
      </c>
      <c r="CA74" s="469" t="str">
        <f t="shared" si="20"/>
        <v>1611521</v>
      </c>
      <c r="CB74" s="727" t="s">
        <v>1390</v>
      </c>
      <c r="CD74" s="145"/>
      <c r="CE74" s="145"/>
      <c r="CF74" s="145"/>
      <c r="CG74" s="38"/>
      <c r="CH74" s="65" t="s">
        <v>173</v>
      </c>
      <c r="CI74" s="65" t="s">
        <v>21</v>
      </c>
      <c r="CJ74" s="65">
        <v>30</v>
      </c>
      <c r="CK74" s="65" t="s">
        <v>90</v>
      </c>
      <c r="CL74" s="65" t="s">
        <v>90</v>
      </c>
      <c r="CM74" s="65"/>
      <c r="CN74" s="65"/>
      <c r="CO74" s="66" t="s">
        <v>172</v>
      </c>
      <c r="CP74" s="78" t="str">
        <f>T(記入シート1!I104)</f>
        <v/>
      </c>
      <c r="CQ74" s="10"/>
      <c r="CR74" s="61"/>
      <c r="CS74" s="61"/>
      <c r="CT74" s="61"/>
      <c r="CU74" s="61"/>
      <c r="CV74" s="60"/>
      <c r="CW74" s="45" t="s">
        <v>132</v>
      </c>
      <c r="CX74" s="45" t="s">
        <v>712</v>
      </c>
      <c r="CY74" s="53" t="s">
        <v>747</v>
      </c>
      <c r="CZ74" s="54" t="s">
        <v>342</v>
      </c>
      <c r="DA74" s="53"/>
      <c r="DB74" s="45" t="str">
        <f t="shared" si="21"/>
        <v>101</v>
      </c>
      <c r="DC74" s="108" t="s">
        <v>133</v>
      </c>
      <c r="DD74" s="131"/>
      <c r="DE74" s="118"/>
      <c r="DF74" s="90"/>
      <c r="DG74" s="90"/>
      <c r="DH74" s="1229" t="s">
        <v>3809</v>
      </c>
      <c r="DI74" s="547" t="s">
        <v>3270</v>
      </c>
      <c r="DJ74" s="772"/>
      <c r="DK74" s="101" t="str">
        <f t="shared" si="15"/>
        <v>93201PW9</v>
      </c>
      <c r="DL74" s="105" t="s">
        <v>2063</v>
      </c>
      <c r="DM74" s="105" t="s">
        <v>3271</v>
      </c>
      <c r="DN74" s="773" t="str">
        <f>"+81"&amp;MID(SUBSTITUTE(ASC(CP22),"-",""),2,15)</f>
        <v>+81</v>
      </c>
      <c r="DO74" s="41"/>
      <c r="DP74" s="41"/>
      <c r="DQ74" s="465"/>
      <c r="DR74" s="465"/>
      <c r="DS74" s="465"/>
      <c r="DT74" s="465"/>
      <c r="DU74" s="465"/>
      <c r="DV74" s="38"/>
      <c r="DX74" s="115"/>
      <c r="DY74" s="115"/>
    </row>
    <row r="75" spans="1:129" ht="19.5" customHeight="1" thickTop="1" thickBot="1">
      <c r="A75" s="447"/>
      <c r="B75" s="249"/>
      <c r="C75" s="2409" t="s">
        <v>3400</v>
      </c>
      <c r="D75" s="2410"/>
      <c r="E75" s="2410"/>
      <c r="F75" s="2410"/>
      <c r="G75" s="2410"/>
      <c r="H75" s="2410"/>
      <c r="I75" s="2411"/>
      <c r="J75" s="746"/>
      <c r="K75" s="746"/>
      <c r="L75" s="1866" t="s">
        <v>642</v>
      </c>
      <c r="M75" s="1867"/>
      <c r="N75" s="1868"/>
      <c r="O75" s="1972" t="s">
        <v>1071</v>
      </c>
      <c r="P75" s="1972"/>
      <c r="Q75" s="3059">
        <v>0</v>
      </c>
      <c r="R75" s="3059"/>
      <c r="S75" s="3059"/>
      <c r="T75" s="3059"/>
      <c r="U75" s="3059">
        <v>0</v>
      </c>
      <c r="V75" s="3059"/>
      <c r="W75" s="3059"/>
      <c r="X75" s="3059"/>
      <c r="Y75" s="1983">
        <v>3.5400000000000001E-2</v>
      </c>
      <c r="Z75" s="1983"/>
      <c r="AA75" s="1983"/>
      <c r="AB75" s="1983"/>
      <c r="AC75" s="1983">
        <v>0</v>
      </c>
      <c r="AD75" s="1983"/>
      <c r="AE75" s="1983"/>
      <c r="AF75" s="1983"/>
      <c r="AG75" s="1951">
        <v>0</v>
      </c>
      <c r="AH75" s="1951"/>
      <c r="AI75" s="1951"/>
      <c r="AJ75" s="1951"/>
      <c r="AK75" s="877"/>
      <c r="AL75" s="877"/>
      <c r="AM75" s="877"/>
      <c r="AN75" s="877"/>
      <c r="AO75" s="877"/>
      <c r="AP75" s="877"/>
      <c r="AQ75" s="877"/>
      <c r="AR75" s="878" t="s">
        <v>3401</v>
      </c>
      <c r="AS75" s="1963" t="s">
        <v>3356</v>
      </c>
      <c r="AT75" s="1964"/>
      <c r="AU75" s="234"/>
      <c r="AV75" s="488" t="b">
        <v>0</v>
      </c>
      <c r="AW75" s="490">
        <f>IF(AV75=TRUE,AV75*1,0)</f>
        <v>0</v>
      </c>
      <c r="AX75" s="490" t="s">
        <v>3548</v>
      </c>
      <c r="AY75" s="125" t="str">
        <f>TEXT(BR75,"000")</f>
        <v>941</v>
      </c>
      <c r="AZ75" s="125">
        <f>AW75</f>
        <v>0</v>
      </c>
      <c r="BA75" s="470" t="str">
        <f>IF(O75="2回入金","92",IF(O75="1回入金","91",""))</f>
        <v>92</v>
      </c>
      <c r="BB75" s="142" t="s">
        <v>995</v>
      </c>
      <c r="BC75" s="496" t="s">
        <v>2109</v>
      </c>
      <c r="BD75" s="470">
        <f>ROW(C75)</f>
        <v>75</v>
      </c>
      <c r="BE75" s="470">
        <f>IF(AY75&amp;BC75=AY74&amp;BC74,BE74+1,1)</f>
        <v>1</v>
      </c>
      <c r="BF75" s="753" t="str">
        <f>AY75&amp;BC75&amp;BE75</f>
        <v>941000001</v>
      </c>
      <c r="BG75" s="470"/>
      <c r="BH75" s="470"/>
      <c r="BI75" s="654" t="str">
        <f>BR75&amp;"01"</f>
        <v>94101</v>
      </c>
      <c r="BJ75" s="654">
        <f>IF(L75=$BC$2,1,0)</f>
        <v>1</v>
      </c>
      <c r="BK75" s="470">
        <f>AZ75</f>
        <v>0</v>
      </c>
      <c r="BL75" s="756" t="str">
        <f>IF(AW75=1,Q75,"")</f>
        <v/>
      </c>
      <c r="BM75" s="756" t="str">
        <f>IF(AW75=1,U75,"")</f>
        <v/>
      </c>
      <c r="BN75" s="757" t="str">
        <f>IF(AW75=0,"",Y75)</f>
        <v/>
      </c>
      <c r="BO75" s="757" t="str">
        <f>IF(AW75=0,"",AC75)</f>
        <v/>
      </c>
      <c r="BP75" s="756" t="str">
        <f>IF(AW75=0,"",AG75)</f>
        <v/>
      </c>
      <c r="BQ75" s="539"/>
      <c r="BR75" s="470">
        <v>941</v>
      </c>
      <c r="BT75" s="22"/>
      <c r="BU75" s="22"/>
      <c r="BV75" s="22"/>
      <c r="BW75" s="7"/>
      <c r="BZ75" s="469" t="s">
        <v>1343</v>
      </c>
      <c r="CA75" s="469" t="str">
        <f t="shared" si="20"/>
        <v>1612020</v>
      </c>
      <c r="CB75" s="729" t="s">
        <v>1391</v>
      </c>
      <c r="CD75" s="145"/>
      <c r="CE75" s="145"/>
      <c r="CF75" s="145"/>
      <c r="CG75" s="38"/>
      <c r="CH75" s="65" t="s">
        <v>475</v>
      </c>
      <c r="CI75" s="65" t="s">
        <v>63</v>
      </c>
      <c r="CJ75" s="65">
        <v>1</v>
      </c>
      <c r="CK75" s="65" t="s">
        <v>451</v>
      </c>
      <c r="CL75" s="65" t="s">
        <v>451</v>
      </c>
      <c r="CM75" s="65" t="s">
        <v>476</v>
      </c>
      <c r="CN75" s="65"/>
      <c r="CO75" s="66" t="s">
        <v>169</v>
      </c>
      <c r="CP75" s="78">
        <f>記入シート1!AV104</f>
        <v>0</v>
      </c>
      <c r="CQ75" s="10"/>
      <c r="CR75" s="61"/>
      <c r="CS75" s="61"/>
      <c r="CT75" s="61"/>
      <c r="CU75" s="61"/>
      <c r="CV75" s="60"/>
      <c r="CW75" s="45" t="s">
        <v>129</v>
      </c>
      <c r="CX75" s="45" t="s">
        <v>698</v>
      </c>
      <c r="CY75" s="53"/>
      <c r="CZ75" s="53" t="s">
        <v>359</v>
      </c>
      <c r="DA75" s="53" t="s">
        <v>756</v>
      </c>
      <c r="DB75" s="45" t="str">
        <f t="shared" si="21"/>
        <v>101</v>
      </c>
      <c r="DC75" s="108" t="s">
        <v>130</v>
      </c>
      <c r="DD75" s="131"/>
      <c r="DE75" s="118"/>
      <c r="DF75" s="90"/>
      <c r="DG75" s="90"/>
      <c r="DH75" s="547" t="s">
        <v>938</v>
      </c>
      <c r="DI75" s="547" t="s">
        <v>2172</v>
      </c>
      <c r="DJ75" s="772"/>
      <c r="DK75" s="101" t="str">
        <f t="shared" si="15"/>
        <v>93501PZ4</v>
      </c>
      <c r="DL75" s="105" t="s">
        <v>2183</v>
      </c>
      <c r="DM75" s="105" t="s">
        <v>2184</v>
      </c>
      <c r="DN75" s="773" t="str">
        <f>ASC(記入シート1!AW73)</f>
        <v/>
      </c>
      <c r="DO75" s="41"/>
      <c r="DP75" s="41"/>
      <c r="DQ75" s="465"/>
      <c r="DR75" s="465"/>
      <c r="DS75" s="465"/>
      <c r="DT75" s="465"/>
      <c r="DU75" s="465"/>
      <c r="DV75" s="38"/>
      <c r="DX75" s="115"/>
      <c r="DY75" s="115"/>
    </row>
    <row r="76" spans="1:129" ht="19.5" customHeight="1" thickTop="1">
      <c r="A76" s="447"/>
      <c r="B76" s="249"/>
      <c r="C76" s="2412"/>
      <c r="D76" s="2413"/>
      <c r="E76" s="2413"/>
      <c r="F76" s="2413"/>
      <c r="G76" s="2413"/>
      <c r="H76" s="2413"/>
      <c r="I76" s="2414"/>
      <c r="J76" s="1973" t="s">
        <v>1028</v>
      </c>
      <c r="K76" s="1974"/>
      <c r="L76" s="1966"/>
      <c r="M76" s="1966"/>
      <c r="N76" s="1967"/>
      <c r="O76" s="1975" t="s">
        <v>3529</v>
      </c>
      <c r="P76" s="1976"/>
      <c r="Q76" s="1976"/>
      <c r="R76" s="1976"/>
      <c r="S76" s="1976"/>
      <c r="T76" s="1976"/>
      <c r="U76" s="1976"/>
      <c r="V76" s="1976"/>
      <c r="W76" s="1976"/>
      <c r="X76" s="1977"/>
      <c r="Y76" s="1978" t="s">
        <v>3403</v>
      </c>
      <c r="Z76" s="1979"/>
      <c r="AA76" s="1980" t="s">
        <v>3429</v>
      </c>
      <c r="AB76" s="1981"/>
      <c r="AC76" s="1981"/>
      <c r="AD76" s="1981"/>
      <c r="AE76" s="1981"/>
      <c r="AF76" s="1981"/>
      <c r="AG76" s="1981"/>
      <c r="AH76" s="1981"/>
      <c r="AI76" s="1981"/>
      <c r="AJ76" s="1981"/>
      <c r="AK76" s="1981"/>
      <c r="AL76" s="1982"/>
      <c r="AM76" s="844"/>
      <c r="AN76" s="844"/>
      <c r="AO76" s="844"/>
      <c r="AP76" s="844"/>
      <c r="AQ76" s="844"/>
      <c r="AR76" s="844"/>
      <c r="AS76" s="844"/>
      <c r="AT76" s="879"/>
      <c r="AU76" s="234"/>
      <c r="AV76" s="488" t="str">
        <f>LEFT(O76,4)</f>
        <v>1800</v>
      </c>
      <c r="AW76" s="656" t="str">
        <f>MID(O76,6,LEN(O76)-5)</f>
        <v>宿泊・娯楽・スポーツ等施設</v>
      </c>
      <c r="AX76" s="843" t="str">
        <f>IF(AV75=TRUE,IF(AND(AV76&lt;&gt;"0000",AV77&lt;&gt;"0000",LEFT(AV76,2)=LEFT(AV77,2),AY77&lt;&gt;0),"OK","NG"),"OK")</f>
        <v>OK</v>
      </c>
      <c r="AY76" s="843" t="s">
        <v>3547</v>
      </c>
      <c r="AZ76" s="880"/>
      <c r="BA76" s="831"/>
      <c r="BB76" s="831"/>
      <c r="BC76" s="831"/>
      <c r="BD76" s="831"/>
      <c r="BE76" s="831"/>
      <c r="BF76" s="831"/>
      <c r="BG76" s="831"/>
      <c r="BH76" s="831"/>
      <c r="BI76" s="831"/>
      <c r="BJ76" s="831"/>
      <c r="BK76" s="831"/>
      <c r="BL76" s="836"/>
      <c r="BM76" s="836"/>
      <c r="BN76" s="831"/>
      <c r="BO76" s="831"/>
      <c r="BP76" s="831"/>
      <c r="BQ76" s="468"/>
      <c r="BR76" s="831"/>
      <c r="BT76" s="22"/>
      <c r="BU76" s="22"/>
      <c r="BV76" s="22"/>
      <c r="BW76" s="7"/>
      <c r="BX76" s="2"/>
      <c r="BZ76" s="469" t="s">
        <v>1344</v>
      </c>
      <c r="CA76" s="469" t="str">
        <f t="shared" si="20"/>
        <v>1612406</v>
      </c>
      <c r="CB76" s="727" t="s">
        <v>1392</v>
      </c>
      <c r="CD76" s="145"/>
      <c r="CE76" s="145"/>
      <c r="CF76" s="145"/>
      <c r="CG76" s="38"/>
      <c r="CH76" s="65" t="s">
        <v>478</v>
      </c>
      <c r="CI76" s="65" t="s">
        <v>152</v>
      </c>
      <c r="CJ76" s="65">
        <v>30</v>
      </c>
      <c r="CK76" s="65" t="s">
        <v>477</v>
      </c>
      <c r="CL76" s="65" t="s">
        <v>477</v>
      </c>
      <c r="CM76" s="65"/>
      <c r="CN76" s="65"/>
      <c r="CO76" s="66" t="s">
        <v>164</v>
      </c>
      <c r="CP76" s="78" t="str">
        <f>T(記入シート1!AG104)</f>
        <v/>
      </c>
      <c r="CQ76" s="10"/>
      <c r="CR76" s="61"/>
      <c r="CS76" s="61"/>
      <c r="CT76" s="61"/>
      <c r="CU76" s="61"/>
      <c r="CV76" s="60"/>
      <c r="CW76" s="45" t="s">
        <v>126</v>
      </c>
      <c r="CX76" s="45" t="s">
        <v>698</v>
      </c>
      <c r="CY76" s="53"/>
      <c r="CZ76" s="53" t="s">
        <v>359</v>
      </c>
      <c r="DA76" s="53" t="s">
        <v>756</v>
      </c>
      <c r="DB76" s="45" t="str">
        <f t="shared" si="21"/>
        <v>101</v>
      </c>
      <c r="DC76" s="108" t="s">
        <v>127</v>
      </c>
      <c r="DD76" s="131"/>
      <c r="DE76" s="118"/>
      <c r="DF76" s="90"/>
      <c r="DG76" s="90"/>
      <c r="DH76" s="547" t="s">
        <v>938</v>
      </c>
      <c r="DI76" s="547" t="s">
        <v>2171</v>
      </c>
      <c r="DJ76" s="772"/>
      <c r="DK76" s="101" t="str">
        <f t="shared" si="15"/>
        <v>93501PZ5</v>
      </c>
      <c r="DL76" s="105" t="s">
        <v>2183</v>
      </c>
      <c r="DM76" s="105" t="s">
        <v>2185</v>
      </c>
      <c r="DN76" s="773" t="str">
        <f>"6"</f>
        <v>6</v>
      </c>
      <c r="DO76" s="41"/>
      <c r="DP76" s="41"/>
      <c r="DQ76" s="465"/>
      <c r="DR76" s="465"/>
      <c r="DS76" s="465"/>
      <c r="DT76" s="465"/>
      <c r="DU76" s="465"/>
      <c r="DV76" s="38"/>
      <c r="DX76" s="115"/>
      <c r="DY76" s="115"/>
    </row>
    <row r="77" spans="1:129" ht="19.5" customHeight="1" thickBot="1">
      <c r="A77" s="447"/>
      <c r="B77" s="249"/>
      <c r="C77" s="2432"/>
      <c r="D77" s="2433"/>
      <c r="E77" s="2433"/>
      <c r="F77" s="2433"/>
      <c r="G77" s="2433"/>
      <c r="H77" s="2433"/>
      <c r="I77" s="2434"/>
      <c r="J77" s="2435" t="s">
        <v>3769</v>
      </c>
      <c r="K77" s="2436"/>
      <c r="L77" s="2437"/>
      <c r="M77" s="2437"/>
      <c r="N77" s="2438"/>
      <c r="O77" s="1008"/>
      <c r="P77" s="1962" t="s">
        <v>3770</v>
      </c>
      <c r="Q77" s="1962"/>
      <c r="R77" s="1962"/>
      <c r="S77" s="1962"/>
      <c r="T77" s="1008"/>
      <c r="U77" s="1962" t="s">
        <v>2075</v>
      </c>
      <c r="V77" s="1962"/>
      <c r="W77" s="1962"/>
      <c r="X77" s="1971"/>
      <c r="Y77" s="1009"/>
      <c r="Z77" s="1010"/>
      <c r="AA77" s="1010"/>
      <c r="AB77" s="1010"/>
      <c r="AC77" s="1010"/>
      <c r="AD77" s="1010"/>
      <c r="AE77" s="1010"/>
      <c r="AF77" s="1010"/>
      <c r="AG77" s="1010"/>
      <c r="AH77" s="1010"/>
      <c r="AI77" s="1010"/>
      <c r="AJ77" s="1010"/>
      <c r="AK77" s="1010"/>
      <c r="AL77" s="1010"/>
      <c r="AM77" s="1010"/>
      <c r="AN77" s="1010"/>
      <c r="AO77" s="1010"/>
      <c r="AP77" s="1010"/>
      <c r="AQ77" s="1010"/>
      <c r="AR77" s="1010"/>
      <c r="AS77" s="1010"/>
      <c r="AT77" s="1011"/>
      <c r="AU77" s="234"/>
      <c r="AV77" s="488" t="str">
        <f>LEFT(AA76,4)</f>
        <v>1801</v>
      </c>
      <c r="AW77" s="881" t="str">
        <f>MID(AA76,6,LEN(AA76)-5)</f>
        <v>宿泊代</v>
      </c>
      <c r="AX77" s="881" t="str">
        <f>IF(AS75="","0",LEFT(AS75,1))</f>
        <v>0</v>
      </c>
      <c r="AY77" s="881">
        <v>0</v>
      </c>
      <c r="AZ77" s="828"/>
      <c r="BA77" s="829"/>
      <c r="BB77" s="829"/>
      <c r="BC77" s="829"/>
      <c r="BD77" s="829"/>
      <c r="BE77" s="829"/>
      <c r="BF77" s="829"/>
      <c r="BG77" s="829"/>
      <c r="BH77" s="829"/>
      <c r="BI77" s="829"/>
      <c r="BJ77" s="829"/>
      <c r="BK77" s="829"/>
      <c r="BL77" s="830"/>
      <c r="BM77" s="830"/>
      <c r="BN77" s="829"/>
      <c r="BO77" s="829"/>
      <c r="BP77" s="829"/>
      <c r="BQ77" s="468"/>
      <c r="BR77" s="829"/>
      <c r="BT77" s="22"/>
      <c r="BU77" s="22"/>
      <c r="BV77" s="22"/>
      <c r="BW77" s="22"/>
      <c r="BZ77" s="469" t="s">
        <v>1345</v>
      </c>
      <c r="CA77" s="469" t="str">
        <f t="shared" si="20"/>
        <v>1613162</v>
      </c>
      <c r="CB77" s="727" t="s">
        <v>1393</v>
      </c>
      <c r="CD77" s="145"/>
      <c r="CE77" s="145"/>
      <c r="CF77" s="145"/>
      <c r="CG77" s="38"/>
      <c r="CH77" s="65" t="s">
        <v>161</v>
      </c>
      <c r="CI77" s="65" t="s">
        <v>63</v>
      </c>
      <c r="CJ77" s="65">
        <v>1</v>
      </c>
      <c r="CK77" s="65" t="s">
        <v>90</v>
      </c>
      <c r="CL77" s="65" t="s">
        <v>90</v>
      </c>
      <c r="CM77" s="65" t="s">
        <v>479</v>
      </c>
      <c r="CN77" s="65"/>
      <c r="CO77" s="66" t="s">
        <v>160</v>
      </c>
      <c r="CP77" s="78">
        <f>記入シート1!AV105</f>
        <v>0</v>
      </c>
      <c r="CQ77" s="10"/>
      <c r="CR77" s="61"/>
      <c r="CS77" s="61"/>
      <c r="CT77" s="61"/>
      <c r="CU77" s="61"/>
      <c r="CV77" s="60"/>
      <c r="CW77" s="45" t="s">
        <v>18</v>
      </c>
      <c r="CX77" s="45"/>
      <c r="CY77" s="53" t="s">
        <v>736</v>
      </c>
      <c r="CZ77" s="54" t="s">
        <v>349</v>
      </c>
      <c r="DA77" s="53"/>
      <c r="DB77" s="45" t="str">
        <f t="shared" si="21"/>
        <v>102</v>
      </c>
      <c r="DC77" s="137">
        <v>102001</v>
      </c>
      <c r="DD77" s="131"/>
      <c r="DE77" s="118"/>
      <c r="DF77" s="90"/>
      <c r="DG77" s="90"/>
      <c r="DH77" s="547" t="s">
        <v>938</v>
      </c>
      <c r="DI77" s="547" t="s">
        <v>3245</v>
      </c>
      <c r="DJ77" s="772"/>
      <c r="DK77" s="101" t="str">
        <f t="shared" si="15"/>
        <v>93501PZ6</v>
      </c>
      <c r="DL77" s="105" t="s">
        <v>2183</v>
      </c>
      <c r="DM77" s="105" t="s">
        <v>3274</v>
      </c>
      <c r="DN77" s="773" t="str">
        <f>T(記入シート1!I31)</f>
        <v/>
      </c>
      <c r="DO77" s="41"/>
      <c r="DP77" s="41"/>
      <c r="DQ77" s="465"/>
      <c r="DR77" s="465"/>
      <c r="DS77" s="465"/>
      <c r="DT77" s="465"/>
      <c r="DU77" s="465"/>
      <c r="DV77" s="38"/>
      <c r="DX77" s="115"/>
      <c r="DY77" s="115"/>
    </row>
    <row r="78" spans="1:129" ht="19.5" customHeight="1" thickTop="1" thickBot="1">
      <c r="A78" s="447"/>
      <c r="B78" s="249"/>
      <c r="C78" s="2409" t="s">
        <v>3768</v>
      </c>
      <c r="D78" s="2410"/>
      <c r="E78" s="2410"/>
      <c r="F78" s="2410"/>
      <c r="G78" s="2410"/>
      <c r="H78" s="2410"/>
      <c r="I78" s="2411"/>
      <c r="J78" s="1261"/>
      <c r="K78" s="962"/>
      <c r="L78" s="1866" t="s">
        <v>642</v>
      </c>
      <c r="M78" s="1867"/>
      <c r="N78" s="1868"/>
      <c r="O78" s="1972" t="s">
        <v>1071</v>
      </c>
      <c r="P78" s="1972"/>
      <c r="Q78" s="3059">
        <v>0</v>
      </c>
      <c r="R78" s="3059"/>
      <c r="S78" s="3059"/>
      <c r="T78" s="3059"/>
      <c r="U78" s="3059">
        <v>0</v>
      </c>
      <c r="V78" s="3059"/>
      <c r="W78" s="3059"/>
      <c r="X78" s="3059"/>
      <c r="Y78" s="1893">
        <v>3.5400000000000001E-2</v>
      </c>
      <c r="Z78" s="1893"/>
      <c r="AA78" s="1893"/>
      <c r="AB78" s="1893"/>
      <c r="AC78" s="1893">
        <v>0</v>
      </c>
      <c r="AD78" s="1893"/>
      <c r="AE78" s="1893"/>
      <c r="AF78" s="1893"/>
      <c r="AG78" s="1873">
        <v>0</v>
      </c>
      <c r="AH78" s="1873"/>
      <c r="AI78" s="1873"/>
      <c r="AJ78" s="1873"/>
      <c r="AK78" s="1288"/>
      <c r="AL78" s="1276"/>
      <c r="AM78" s="1276"/>
      <c r="AN78" s="1276"/>
      <c r="AO78" s="1276"/>
      <c r="AP78" s="2415" t="s">
        <v>5128</v>
      </c>
      <c r="AQ78" s="2415"/>
      <c r="AR78" s="2415"/>
      <c r="AS78" s="2416" t="s">
        <v>3652</v>
      </c>
      <c r="AT78" s="2417"/>
      <c r="AU78" s="234"/>
      <c r="AV78" s="488" t="b">
        <v>0</v>
      </c>
      <c r="AW78" s="490">
        <f>IF(AV78=TRUE,AV78*1,0)</f>
        <v>0</v>
      </c>
      <c r="AX78" s="490" t="s">
        <v>3772</v>
      </c>
      <c r="AY78" s="125" t="str">
        <f>TEXT(BR78,"000")</f>
        <v>944</v>
      </c>
      <c r="AZ78" s="125">
        <f>AW78</f>
        <v>0</v>
      </c>
      <c r="BA78" s="470" t="str">
        <f>IF(O78="2回入金","92",IF(O78="1回入金","91",""))</f>
        <v>92</v>
      </c>
      <c r="BB78" s="142" t="s">
        <v>995</v>
      </c>
      <c r="BC78" s="1012" t="s">
        <v>2067</v>
      </c>
      <c r="BD78" s="470">
        <f>ROW(C78)</f>
        <v>78</v>
      </c>
      <c r="BE78" s="470">
        <f>IF(AY78&amp;BC78=AY77&amp;BC77,BE77+1,1)</f>
        <v>1</v>
      </c>
      <c r="BF78" s="753" t="str">
        <f>AY78&amp;BC78&amp;BE78</f>
        <v>944000001</v>
      </c>
      <c r="BG78" s="470"/>
      <c r="BH78" s="470"/>
      <c r="BI78" s="654" t="str">
        <f>BR78&amp;"01"</f>
        <v>94401</v>
      </c>
      <c r="BJ78" s="654">
        <f>IF(L78=$BC$2,1,0)</f>
        <v>1</v>
      </c>
      <c r="BK78" s="470">
        <f>AZ78</f>
        <v>0</v>
      </c>
      <c r="BL78" s="756" t="str">
        <f>IF(AW78=1,Q78,"")</f>
        <v/>
      </c>
      <c r="BM78" s="756" t="str">
        <f>IF(AW78=1,U78,"")</f>
        <v/>
      </c>
      <c r="BN78" s="757" t="str">
        <f>IF(AW78=0,"",Y78)</f>
        <v/>
      </c>
      <c r="BO78" s="757" t="str">
        <f>IF(AW78=0,"",AC78)</f>
        <v/>
      </c>
      <c r="BP78" s="756" t="str">
        <f>IF(AW78=0,"",AG78)</f>
        <v/>
      </c>
      <c r="BQ78" s="539"/>
      <c r="BR78" s="470">
        <v>944</v>
      </c>
      <c r="BT78" s="22"/>
      <c r="BU78" s="7"/>
      <c r="BV78" s="7"/>
      <c r="BW78" s="22"/>
      <c r="BX78" s="24"/>
      <c r="BZ78" s="469" t="s">
        <v>1065</v>
      </c>
      <c r="CA78" s="469" t="str">
        <f t="shared" si="20"/>
        <v>1621421</v>
      </c>
      <c r="CB78" s="614" t="s">
        <v>1394</v>
      </c>
      <c r="CD78" s="145"/>
      <c r="CE78" s="145"/>
      <c r="CF78" s="145"/>
      <c r="CG78" s="38"/>
      <c r="CH78" s="65" t="s">
        <v>177</v>
      </c>
      <c r="CI78" s="65" t="s">
        <v>63</v>
      </c>
      <c r="CJ78" s="65">
        <v>4</v>
      </c>
      <c r="CK78" s="65" t="s">
        <v>90</v>
      </c>
      <c r="CL78" s="65" t="s">
        <v>90</v>
      </c>
      <c r="CM78" s="65"/>
      <c r="CN78" s="65"/>
      <c r="CO78" s="66" t="s">
        <v>176</v>
      </c>
      <c r="CP78" s="78" t="str">
        <f>IF(OR(記入シート1!I106="",記入シート1!K106="",記入シート1!M106="",記入シート1!O106=""),"",記入シート1!I106&amp;記入シート1!K106&amp;記入シート1!M106&amp;記入シート1!O106)</f>
        <v/>
      </c>
      <c r="CQ78" s="10"/>
      <c r="CR78" s="61"/>
      <c r="CS78" s="61"/>
      <c r="CT78" s="61"/>
      <c r="CU78" s="61"/>
      <c r="CV78" s="60"/>
      <c r="CW78" s="45" t="s">
        <v>123</v>
      </c>
      <c r="CX78" s="45"/>
      <c r="CY78" s="53" t="s">
        <v>736</v>
      </c>
      <c r="CZ78" s="54" t="s">
        <v>349</v>
      </c>
      <c r="DA78" s="53"/>
      <c r="DB78" s="45" t="str">
        <f t="shared" si="21"/>
        <v>105</v>
      </c>
      <c r="DC78" s="137">
        <v>105001</v>
      </c>
      <c r="DD78" s="131"/>
      <c r="DE78" s="118"/>
      <c r="DF78" s="90"/>
      <c r="DG78" s="90"/>
      <c r="DH78" s="547" t="s">
        <v>938</v>
      </c>
      <c r="DI78" s="547" t="s">
        <v>3246</v>
      </c>
      <c r="DJ78" s="772"/>
      <c r="DK78" s="101" t="str">
        <f t="shared" si="15"/>
        <v>93501PZ7</v>
      </c>
      <c r="DL78" s="105" t="s">
        <v>2183</v>
      </c>
      <c r="DM78" s="105" t="s">
        <v>3275</v>
      </c>
      <c r="DN78" s="773" t="str">
        <f>T(記入シート1!AB64)</f>
        <v/>
      </c>
      <c r="DO78" s="41"/>
      <c r="DP78" s="41"/>
      <c r="DQ78" s="465"/>
      <c r="DR78" s="465"/>
      <c r="DS78" s="465"/>
      <c r="DT78" s="465"/>
      <c r="DU78" s="465"/>
      <c r="DV78" s="38"/>
      <c r="DX78" s="115"/>
      <c r="DY78" s="115"/>
    </row>
    <row r="79" spans="1:129" ht="19.5" customHeight="1" thickTop="1" thickBot="1">
      <c r="A79" s="447"/>
      <c r="B79" s="249"/>
      <c r="C79" s="2412"/>
      <c r="D79" s="2413"/>
      <c r="E79" s="2413"/>
      <c r="F79" s="2413"/>
      <c r="G79" s="2413"/>
      <c r="H79" s="2413"/>
      <c r="I79" s="2414"/>
      <c r="J79" s="2367" t="s">
        <v>5481</v>
      </c>
      <c r="K79" s="2368"/>
      <c r="L79" s="2368"/>
      <c r="M79" s="2368"/>
      <c r="N79" s="2368"/>
      <c r="O79" s="3211" t="s">
        <v>5301</v>
      </c>
      <c r="P79" s="3212"/>
      <c r="Q79" s="3212"/>
      <c r="R79" s="3212"/>
      <c r="S79" s="3212"/>
      <c r="T79" s="3212"/>
      <c r="U79" s="3212"/>
      <c r="V79" s="3213"/>
      <c r="W79" s="2428" t="s">
        <v>5482</v>
      </c>
      <c r="X79" s="2429"/>
      <c r="Y79" s="2429"/>
      <c r="Z79" s="2430"/>
      <c r="AA79" s="3212" t="s">
        <v>5371</v>
      </c>
      <c r="AB79" s="3212"/>
      <c r="AC79" s="3212"/>
      <c r="AD79" s="3212"/>
      <c r="AE79" s="3212"/>
      <c r="AF79" s="3212"/>
      <c r="AG79" s="3212"/>
      <c r="AH79" s="3212"/>
      <c r="AI79" s="2428" t="s">
        <v>5483</v>
      </c>
      <c r="AJ79" s="2429"/>
      <c r="AK79" s="2429"/>
      <c r="AL79" s="2430"/>
      <c r="AM79" s="1289"/>
      <c r="AN79" s="2429" t="s">
        <v>5484</v>
      </c>
      <c r="AO79" s="2429"/>
      <c r="AP79" s="2429"/>
      <c r="AQ79" s="1289"/>
      <c r="AR79" s="2429" t="s">
        <v>5485</v>
      </c>
      <c r="AS79" s="2429"/>
      <c r="AT79" s="2431"/>
      <c r="AU79" s="234"/>
      <c r="AV79" s="1290" t="str">
        <f>LEFT(O79,4)</f>
        <v>1900</v>
      </c>
      <c r="AW79" s="1297" t="str">
        <f>MID(O79,6,LEN(O79)-5)</f>
        <v>サービス:趣味/娯楽</v>
      </c>
      <c r="AX79" s="1297" t="str">
        <f>LEFT(AA79,4)</f>
        <v>1917</v>
      </c>
      <c r="AY79" s="1297" t="str">
        <f>MID(AA79,6,LEN(AA79)-5)</f>
        <v>ファッションホテル</v>
      </c>
      <c r="AZ79" s="1298" t="str">
        <f>VLOOKUP(AV79,AX575:BA590,4,FALSE)</f>
        <v>2</v>
      </c>
      <c r="BA79" s="1299">
        <v>0</v>
      </c>
      <c r="BB79" s="1300" t="str">
        <f>IF(AV78=TRUE,IF(AND(AV79&lt;&gt;0,AV79&lt;&gt;"0000",AX79&lt;&gt;"0000",LEFT(AV79,2)=LEFT(AX79,2),VALUE(BA79)&gt;0),"OK","NG"),"OK")</f>
        <v>OK</v>
      </c>
      <c r="BC79" s="1296" t="s">
        <v>5486</v>
      </c>
      <c r="BD79" s="1291"/>
      <c r="BE79" s="1291"/>
      <c r="BF79" s="1292"/>
      <c r="BG79" s="1291"/>
      <c r="BH79" s="1291"/>
      <c r="BI79" s="1293"/>
      <c r="BJ79" s="1293"/>
      <c r="BK79" s="1291"/>
      <c r="BL79" s="1294"/>
      <c r="BM79" s="1294"/>
      <c r="BN79" s="1295"/>
      <c r="BO79" s="1295"/>
      <c r="BP79" s="1294"/>
      <c r="BQ79" s="468"/>
      <c r="BR79" s="1291"/>
      <c r="BS79" s="21"/>
      <c r="BU79" s="7"/>
      <c r="BV79" s="7"/>
      <c r="BW79" s="22"/>
      <c r="BX79" s="24"/>
      <c r="BZ79" s="469" t="s">
        <v>1066</v>
      </c>
      <c r="CA79" s="469" t="str">
        <f t="shared" si="20"/>
        <v>1621420</v>
      </c>
      <c r="CB79" s="614" t="s">
        <v>1395</v>
      </c>
      <c r="CD79" s="145"/>
      <c r="CE79" s="145"/>
      <c r="CF79" s="145"/>
      <c r="CG79" s="38"/>
      <c r="CH79" s="65" t="s">
        <v>480</v>
      </c>
      <c r="CI79" s="65" t="s">
        <v>63</v>
      </c>
      <c r="CJ79" s="65">
        <v>3</v>
      </c>
      <c r="CK79" s="65" t="s">
        <v>90</v>
      </c>
      <c r="CL79" s="65" t="s">
        <v>90</v>
      </c>
      <c r="CM79" s="65"/>
      <c r="CN79" s="65"/>
      <c r="CO79" s="66" t="s">
        <v>166</v>
      </c>
      <c r="CP79" s="78" t="str">
        <f>IF(OR(記入シート1!V106="",記入シート1!X106="",記入シート1!Z106=""),"",記入シート1!V106&amp;記入シート1!X106&amp;記入シート1!Z106)</f>
        <v/>
      </c>
      <c r="CQ79" s="10"/>
      <c r="CR79" s="61"/>
      <c r="CS79" s="61"/>
      <c r="CT79" s="61"/>
      <c r="CU79" s="61"/>
      <c r="CV79" s="60"/>
      <c r="CW79" s="9" t="s">
        <v>2022</v>
      </c>
      <c r="CX79" s="9"/>
      <c r="CY79" s="761" t="s">
        <v>2023</v>
      </c>
      <c r="CZ79" s="762" t="s">
        <v>349</v>
      </c>
      <c r="DA79" s="761"/>
      <c r="DB79" s="97" t="str">
        <f>LEFT(DC79,3)</f>
        <v>001</v>
      </c>
      <c r="DC79" s="104" t="s">
        <v>2021</v>
      </c>
      <c r="DD79" s="98" t="str">
        <f>""</f>
        <v/>
      </c>
      <c r="DE79" s="118"/>
      <c r="DF79" s="90"/>
      <c r="DG79" s="90"/>
      <c r="DH79" s="547" t="s">
        <v>938</v>
      </c>
      <c r="DI79" s="547" t="s">
        <v>3247</v>
      </c>
      <c r="DJ79" s="772"/>
      <c r="DK79" s="101" t="str">
        <f t="shared" si="15"/>
        <v>93501PZ8</v>
      </c>
      <c r="DL79" s="105" t="s">
        <v>2183</v>
      </c>
      <c r="DM79" s="105" t="s">
        <v>3276</v>
      </c>
      <c r="DN79" s="773" t="str">
        <f>T(記入シート1!AB67)</f>
        <v/>
      </c>
      <c r="DO79" s="41"/>
      <c r="DP79" s="41"/>
      <c r="DQ79" s="465"/>
      <c r="DR79" s="465"/>
      <c r="DS79" s="465"/>
      <c r="DT79" s="465"/>
      <c r="DU79" s="465"/>
      <c r="DV79" s="38"/>
      <c r="DX79" s="115"/>
      <c r="DY79" s="115"/>
    </row>
    <row r="80" spans="1:129" ht="19.5" customHeight="1" thickTop="1" thickBot="1">
      <c r="A80" s="447"/>
      <c r="B80" s="249"/>
      <c r="C80" s="1863" t="s">
        <v>5130</v>
      </c>
      <c r="D80" s="1864"/>
      <c r="E80" s="1864"/>
      <c r="F80" s="1864"/>
      <c r="G80" s="1864"/>
      <c r="H80" s="1864"/>
      <c r="I80" s="1865"/>
      <c r="J80" s="1277"/>
      <c r="K80" s="1089"/>
      <c r="L80" s="1866" t="s">
        <v>2082</v>
      </c>
      <c r="M80" s="1867"/>
      <c r="N80" s="1868"/>
      <c r="O80" s="1972" t="s">
        <v>1071</v>
      </c>
      <c r="P80" s="1972"/>
      <c r="Q80" s="3059">
        <v>0</v>
      </c>
      <c r="R80" s="3059"/>
      <c r="S80" s="3059"/>
      <c r="T80" s="3059"/>
      <c r="U80" s="3059">
        <v>0</v>
      </c>
      <c r="V80" s="3059"/>
      <c r="W80" s="3059"/>
      <c r="X80" s="3059"/>
      <c r="Y80" s="1893">
        <v>0</v>
      </c>
      <c r="Z80" s="1893"/>
      <c r="AA80" s="1893"/>
      <c r="AB80" s="1893"/>
      <c r="AC80" s="1893">
        <v>0</v>
      </c>
      <c r="AD80" s="1893"/>
      <c r="AE80" s="1893"/>
      <c r="AF80" s="1893"/>
      <c r="AG80" s="1873">
        <v>0</v>
      </c>
      <c r="AH80" s="1873"/>
      <c r="AI80" s="1873"/>
      <c r="AJ80" s="1873"/>
      <c r="AK80" s="1281"/>
      <c r="AL80" s="1281"/>
      <c r="AM80" s="1281"/>
      <c r="AN80" s="1281"/>
      <c r="AO80" s="1281"/>
      <c r="AP80" s="1870" t="s">
        <v>3651</v>
      </c>
      <c r="AQ80" s="1870"/>
      <c r="AR80" s="1870"/>
      <c r="AS80" s="1871" t="s">
        <v>5129</v>
      </c>
      <c r="AT80" s="1872"/>
      <c r="AU80" s="234"/>
      <c r="AV80" s="488" t="b">
        <v>0</v>
      </c>
      <c r="AW80" s="490">
        <f>IF(AV80=TRUE,AV80*1,0)</f>
        <v>0</v>
      </c>
      <c r="AX80" s="490" t="s">
        <v>5101</v>
      </c>
      <c r="AY80" s="125" t="str">
        <f>TEXT(BR80,"000")</f>
        <v>945</v>
      </c>
      <c r="AZ80" s="125">
        <f>AW80</f>
        <v>0</v>
      </c>
      <c r="BA80" s="470" t="str">
        <f>IF(O80="2回入金","92",IF(O80="1回入金","91",""))</f>
        <v>92</v>
      </c>
      <c r="BB80" s="142" t="s">
        <v>995</v>
      </c>
      <c r="BC80" s="496" t="s">
        <v>2109</v>
      </c>
      <c r="BD80" s="470">
        <f>ROW(C80)</f>
        <v>80</v>
      </c>
      <c r="BE80" s="470">
        <f>IF(AY80&amp;BC80=AY79&amp;BC79,BE79+1,1)</f>
        <v>1</v>
      </c>
      <c r="BF80" s="753" t="str">
        <f>AY80&amp;BC80&amp;BE80</f>
        <v>945000001</v>
      </c>
      <c r="BG80" s="470"/>
      <c r="BH80" s="470"/>
      <c r="BI80" s="654" t="str">
        <f>BR80&amp;"01"</f>
        <v>94501</v>
      </c>
      <c r="BJ80" s="654">
        <f>IF(L80=$BC$2,1,0)</f>
        <v>0</v>
      </c>
      <c r="BK80" s="470">
        <f>AZ80</f>
        <v>0</v>
      </c>
      <c r="BL80" s="756" t="str">
        <f>IF(AW80=1,Q80,"")</f>
        <v/>
      </c>
      <c r="BM80" s="756" t="str">
        <f>IF(AW80=1,U80,"")</f>
        <v/>
      </c>
      <c r="BN80" s="757" t="str">
        <f>IF(AW80=0,"",Y80)</f>
        <v/>
      </c>
      <c r="BO80" s="757" t="str">
        <f>IF(AW80=0,"",AC80)</f>
        <v/>
      </c>
      <c r="BP80" s="756" t="str">
        <f>IF(AW80=0,"",AG80)</f>
        <v/>
      </c>
      <c r="BQ80" s="539"/>
      <c r="BR80" s="470">
        <v>945</v>
      </c>
      <c r="BU80" s="7"/>
      <c r="BV80" s="7"/>
      <c r="BW80" s="7"/>
      <c r="BX80" s="2"/>
      <c r="BZ80" s="469" t="s">
        <v>1067</v>
      </c>
      <c r="CA80" s="469" t="str">
        <f t="shared" si="20"/>
        <v>1621422</v>
      </c>
      <c r="CB80" s="614" t="s">
        <v>1396</v>
      </c>
      <c r="CD80" s="145"/>
      <c r="CE80" s="145"/>
      <c r="CF80" s="145"/>
      <c r="CG80" s="38"/>
      <c r="CH80" s="65" t="s">
        <v>158</v>
      </c>
      <c r="CI80" s="65" t="s">
        <v>63</v>
      </c>
      <c r="CJ80" s="65">
        <v>1</v>
      </c>
      <c r="CK80" s="65" t="s">
        <v>90</v>
      </c>
      <c r="CL80" s="65" t="s">
        <v>90</v>
      </c>
      <c r="CM80" s="65" t="s">
        <v>481</v>
      </c>
      <c r="CN80" s="65"/>
      <c r="CO80" s="66" t="s">
        <v>157</v>
      </c>
      <c r="CP80" s="78">
        <f>記入シート1!AV108</f>
        <v>0</v>
      </c>
      <c r="CQ80" s="10"/>
      <c r="CR80" s="61"/>
      <c r="CS80" s="61"/>
      <c r="CT80" s="61"/>
      <c r="CU80" s="61"/>
      <c r="CV80" s="60"/>
      <c r="CW80" s="9" t="s">
        <v>891</v>
      </c>
      <c r="CX80" s="9"/>
      <c r="CY80" s="761" t="s">
        <v>736</v>
      </c>
      <c r="CZ80" s="762" t="s">
        <v>349</v>
      </c>
      <c r="DA80" s="761"/>
      <c r="DB80" s="97" t="str">
        <f t="shared" si="21"/>
        <v>106</v>
      </c>
      <c r="DC80" s="104" t="s">
        <v>930</v>
      </c>
      <c r="DD80" s="846">
        <f>IF(AND(AV15=TRUE,AV89=FALSE),1,0)</f>
        <v>0</v>
      </c>
      <c r="DE80" s="118"/>
      <c r="DF80" s="90"/>
      <c r="DG80" s="90"/>
      <c r="DH80" s="547" t="s">
        <v>938</v>
      </c>
      <c r="DI80" s="547" t="s">
        <v>3251</v>
      </c>
      <c r="DJ80" s="772"/>
      <c r="DK80" s="101" t="str">
        <f t="shared" si="15"/>
        <v>93501PZ9</v>
      </c>
      <c r="DL80" s="105" t="s">
        <v>2183</v>
      </c>
      <c r="DM80" s="105" t="s">
        <v>3277</v>
      </c>
      <c r="DN80" s="851" t="str">
        <f>""</f>
        <v/>
      </c>
      <c r="DO80" s="41"/>
      <c r="DP80" s="41"/>
      <c r="DQ80" s="465"/>
      <c r="DR80" s="465"/>
      <c r="DS80" s="465"/>
      <c r="DT80" s="465"/>
      <c r="DU80" s="465"/>
      <c r="DV80" s="38"/>
      <c r="DX80" s="115"/>
      <c r="DY80" s="115"/>
    </row>
    <row r="81" spans="1:129" ht="19.5" customHeight="1" thickBot="1">
      <c r="A81" s="447"/>
      <c r="B81" s="249"/>
      <c r="C81" s="615"/>
      <c r="D81" s="615"/>
      <c r="E81" s="615"/>
      <c r="F81" s="615"/>
      <c r="G81" s="615"/>
      <c r="H81" s="615"/>
      <c r="I81" s="615"/>
      <c r="J81" s="615"/>
      <c r="K81" s="615"/>
      <c r="L81" s="1275"/>
      <c r="M81" s="1275"/>
      <c r="N81" s="1280"/>
      <c r="O81" s="1280"/>
      <c r="P81" s="1280"/>
      <c r="Q81" s="1280"/>
      <c r="R81" s="1280"/>
      <c r="S81" s="1280"/>
      <c r="T81" s="1280"/>
      <c r="U81" s="347"/>
      <c r="V81" s="347"/>
      <c r="W81" s="347"/>
      <c r="X81" s="347"/>
      <c r="Y81" s="347"/>
      <c r="Z81" s="347"/>
      <c r="AA81" s="347"/>
      <c r="AB81" s="347"/>
      <c r="AC81" s="347"/>
      <c r="AD81" s="347"/>
      <c r="AE81" s="347"/>
      <c r="AF81" s="347"/>
      <c r="AG81" s="347"/>
      <c r="AH81" s="347"/>
      <c r="AI81" s="347"/>
      <c r="AJ81" s="347"/>
      <c r="AK81" s="347"/>
      <c r="AL81" s="347"/>
      <c r="AM81" s="347"/>
      <c r="AN81" s="347"/>
      <c r="AO81" s="347"/>
      <c r="AP81" s="347"/>
      <c r="AQ81" s="347"/>
      <c r="AR81" s="347"/>
      <c r="AS81" s="347"/>
      <c r="AT81" s="347"/>
      <c r="AU81" s="234"/>
      <c r="AV81" s="488"/>
      <c r="BV81" s="7"/>
      <c r="BW81" s="7"/>
      <c r="BX81" s="7"/>
      <c r="BZ81" s="469" t="s">
        <v>1068</v>
      </c>
      <c r="CA81" s="469" t="str">
        <f t="shared" si="20"/>
        <v>1621424</v>
      </c>
      <c r="CB81" s="614" t="s">
        <v>1397</v>
      </c>
      <c r="CD81" s="145"/>
      <c r="CE81" s="145"/>
      <c r="CF81" s="145"/>
      <c r="CG81" s="38"/>
      <c r="CH81" s="65" t="s">
        <v>155</v>
      </c>
      <c r="CI81" s="65" t="s">
        <v>63</v>
      </c>
      <c r="CJ81" s="65">
        <v>7</v>
      </c>
      <c r="CK81" s="65" t="s">
        <v>482</v>
      </c>
      <c r="CL81" s="65" t="s">
        <v>482</v>
      </c>
      <c r="CM81" s="65"/>
      <c r="CN81" s="65"/>
      <c r="CO81" s="66" t="s">
        <v>154</v>
      </c>
      <c r="CP81" s="78" t="str">
        <f>IF(OR(記入シート1!Z108="",記入シート1!AB108="",記入シート1!AD108="",記入シート1!AF108="",記入シート1!AH108=""),"",RIGHT("0" &amp; 記入シート1!V108&amp;記入シート1!X108&amp;記入シート1!Z108&amp;記入シート1!AB108&amp;記入シート1!AD108&amp;記入シート1!AF108&amp;記入シート1!AH108,7))</f>
        <v/>
      </c>
      <c r="CQ81" s="10"/>
      <c r="CR81" s="61"/>
      <c r="CS81" s="61"/>
      <c r="CT81" s="61"/>
      <c r="CU81" s="61"/>
      <c r="CV81" s="60"/>
      <c r="CW81" s="9" t="s">
        <v>1010</v>
      </c>
      <c r="CX81" s="9"/>
      <c r="CY81" s="761" t="s">
        <v>1011</v>
      </c>
      <c r="CZ81" s="762" t="s">
        <v>1009</v>
      </c>
      <c r="DA81" s="761"/>
      <c r="DB81" s="97" t="str">
        <f>LEFT(DC81,3)</f>
        <v>707</v>
      </c>
      <c r="DC81" s="104" t="s">
        <v>1008</v>
      </c>
      <c r="DD81" s="98">
        <f>IF(AV97=TRUE,1,0)</f>
        <v>0</v>
      </c>
      <c r="DE81" s="118"/>
      <c r="DF81" s="90"/>
      <c r="DG81" s="90"/>
      <c r="DH81" s="547" t="s">
        <v>938</v>
      </c>
      <c r="DI81" s="547" t="s">
        <v>3272</v>
      </c>
      <c r="DJ81" s="772"/>
      <c r="DK81" s="101" t="str">
        <f t="shared" si="15"/>
        <v>93501PZA</v>
      </c>
      <c r="DL81" s="105" t="s">
        <v>2183</v>
      </c>
      <c r="DM81" s="105" t="s">
        <v>3273</v>
      </c>
      <c r="DN81" s="773" t="str">
        <f>ASC(SUBSTITUTE(CP48," ","_"))</f>
        <v/>
      </c>
      <c r="DO81" s="41"/>
      <c r="DP81" s="41"/>
      <c r="DQ81" s="465"/>
      <c r="DR81" s="465"/>
      <c r="DS81" s="465"/>
      <c r="DT81" s="465"/>
      <c r="DU81" s="465"/>
      <c r="DV81" s="38"/>
      <c r="DX81" s="115"/>
      <c r="DY81" s="115"/>
    </row>
    <row r="82" spans="1:129" ht="19.5" customHeight="1">
      <c r="A82" s="447"/>
      <c r="B82" s="249"/>
      <c r="C82" s="1998" t="s">
        <v>5041</v>
      </c>
      <c r="D82" s="1999"/>
      <c r="E82" s="1999"/>
      <c r="F82" s="1999"/>
      <c r="G82" s="1999"/>
      <c r="H82" s="1999"/>
      <c r="I82" s="2000"/>
      <c r="J82" s="1878" t="s">
        <v>4373</v>
      </c>
      <c r="K82" s="1879"/>
      <c r="L82" s="1879"/>
      <c r="M82" s="1879"/>
      <c r="N82" s="1880"/>
      <c r="O82" s="1148"/>
      <c r="P82" s="1148"/>
      <c r="Q82" s="3062" t="s">
        <v>4346</v>
      </c>
      <c r="R82" s="3062"/>
      <c r="S82" s="3062"/>
      <c r="T82" s="1149"/>
      <c r="U82" s="1189"/>
      <c r="V82" s="3061" t="s">
        <v>4347</v>
      </c>
      <c r="W82" s="3061"/>
      <c r="X82" s="3061"/>
      <c r="Y82" s="1883" t="s">
        <v>4375</v>
      </c>
      <c r="Z82" s="1884"/>
      <c r="AA82" s="1884"/>
      <c r="AB82" s="1884"/>
      <c r="AC82" s="1884"/>
      <c r="AD82" s="1884"/>
      <c r="AE82" s="1884"/>
      <c r="AF82" s="1884"/>
      <c r="AG82" s="1884"/>
      <c r="AH82" s="1884"/>
      <c r="AI82" s="1884"/>
      <c r="AJ82" s="1884"/>
      <c r="AK82" s="1884"/>
      <c r="AL82" s="1884"/>
      <c r="AM82" s="1884"/>
      <c r="AN82" s="1884"/>
      <c r="AO82" s="1884"/>
      <c r="AP82" s="1884"/>
      <c r="AQ82" s="1884"/>
      <c r="AR82" s="1884"/>
      <c r="AS82" s="1884"/>
      <c r="AT82" s="1885"/>
      <c r="AU82" s="234"/>
      <c r="AV82" s="488">
        <v>1</v>
      </c>
      <c r="AW82" s="924" t="str">
        <f>IF(AV42=TRUE,IF(AV82=0,"NG","OK"),"OK")</f>
        <v>OK</v>
      </c>
      <c r="AX82" s="618" t="s">
        <v>4379</v>
      </c>
      <c r="BV82" s="7"/>
      <c r="BW82" s="7"/>
      <c r="BX82" s="7"/>
      <c r="BZ82" s="469" t="s">
        <v>1069</v>
      </c>
      <c r="CA82" s="469" t="str">
        <f t="shared" si="20"/>
        <v>1621423</v>
      </c>
      <c r="CB82" s="614" t="s">
        <v>1398</v>
      </c>
      <c r="CD82" s="145"/>
      <c r="CE82" s="145"/>
      <c r="CF82" s="145"/>
      <c r="CG82" s="38"/>
      <c r="CH82" s="65" t="s">
        <v>483</v>
      </c>
      <c r="CI82" s="65" t="s">
        <v>152</v>
      </c>
      <c r="CJ82" s="65">
        <v>100</v>
      </c>
      <c r="CK82" s="65" t="s">
        <v>220</v>
      </c>
      <c r="CL82" s="65" t="s">
        <v>220</v>
      </c>
      <c r="CM82" s="65"/>
      <c r="CN82" s="65"/>
      <c r="CO82" s="66" t="s">
        <v>151</v>
      </c>
      <c r="CP82" s="78" t="str">
        <f>DBCS(記入シート1!I112)</f>
        <v/>
      </c>
      <c r="CQ82" s="10"/>
      <c r="CR82" s="61"/>
      <c r="CS82" s="61"/>
      <c r="CT82" s="61"/>
      <c r="CU82" s="61"/>
      <c r="CV82" s="60"/>
      <c r="CW82" s="9" t="s">
        <v>1959</v>
      </c>
      <c r="CX82" s="9"/>
      <c r="CY82" s="761" t="s">
        <v>736</v>
      </c>
      <c r="CZ82" s="762" t="s">
        <v>349</v>
      </c>
      <c r="DA82" s="761"/>
      <c r="DB82" s="97" t="str">
        <f t="shared" ref="DB82:DB99" si="22">LEFT(DC82,3)</f>
        <v>107</v>
      </c>
      <c r="DC82" s="104" t="s">
        <v>1961</v>
      </c>
      <c r="DD82" s="98">
        <f>IF(AV29=TRUE,1,0)</f>
        <v>0</v>
      </c>
      <c r="DE82" s="118"/>
      <c r="DF82" s="90"/>
      <c r="DG82" s="90"/>
      <c r="DH82" s="547" t="s">
        <v>2152</v>
      </c>
      <c r="DI82" s="547" t="s">
        <v>2173</v>
      </c>
      <c r="DJ82" s="772"/>
      <c r="DK82" s="101" t="str">
        <f t="shared" si="15"/>
        <v>93601Q07</v>
      </c>
      <c r="DL82" s="105" t="s">
        <v>2186</v>
      </c>
      <c r="DM82" s="105" t="s">
        <v>2187</v>
      </c>
      <c r="DN82" s="773" t="str">
        <f>T(記入シート1!I67)</f>
        <v/>
      </c>
      <c r="DO82" s="41"/>
      <c r="DP82" s="41"/>
      <c r="DQ82" s="465"/>
      <c r="DR82" s="465"/>
      <c r="DS82" s="465"/>
      <c r="DT82" s="465"/>
      <c r="DU82" s="465"/>
      <c r="DV82" s="38"/>
      <c r="DX82" s="115"/>
      <c r="DY82" s="115"/>
    </row>
    <row r="83" spans="1:129" ht="19.5" hidden="1" customHeight="1">
      <c r="A83" s="1048" t="s">
        <v>1234</v>
      </c>
      <c r="B83" s="249"/>
      <c r="C83" s="2001"/>
      <c r="D83" s="2002"/>
      <c r="E83" s="2002"/>
      <c r="F83" s="2002"/>
      <c r="G83" s="2002"/>
      <c r="H83" s="2002"/>
      <c r="I83" s="2003"/>
      <c r="J83" s="2446" t="s">
        <v>4149</v>
      </c>
      <c r="K83" s="2447"/>
      <c r="L83" s="2447"/>
      <c r="M83" s="2447"/>
      <c r="N83" s="2448"/>
      <c r="O83" s="1219"/>
      <c r="P83" s="1219"/>
      <c r="Q83" s="3060" t="s">
        <v>4348</v>
      </c>
      <c r="R83" s="3060"/>
      <c r="S83" s="3060"/>
      <c r="T83" s="1219"/>
      <c r="U83" s="1219"/>
      <c r="V83" s="3060" t="s">
        <v>4349</v>
      </c>
      <c r="W83" s="3060"/>
      <c r="X83" s="3060"/>
      <c r="Y83" s="3072" t="s">
        <v>4374</v>
      </c>
      <c r="Z83" s="3073"/>
      <c r="AA83" s="3073"/>
      <c r="AB83" s="3073"/>
      <c r="AC83" s="3073"/>
      <c r="AD83" s="3073"/>
      <c r="AE83" s="3073"/>
      <c r="AF83" s="3073"/>
      <c r="AG83" s="3073"/>
      <c r="AH83" s="3073"/>
      <c r="AI83" s="3073"/>
      <c r="AJ83" s="3073"/>
      <c r="AK83" s="3073"/>
      <c r="AL83" s="3073"/>
      <c r="AM83" s="3073"/>
      <c r="AN83" s="3073"/>
      <c r="AO83" s="3073"/>
      <c r="AP83" s="3073"/>
      <c r="AQ83" s="3073"/>
      <c r="AR83" s="3073"/>
      <c r="AS83" s="3073"/>
      <c r="AT83" s="3074"/>
      <c r="AU83" s="234"/>
      <c r="AV83" s="924">
        <f>IF(AW156=1,2,1)</f>
        <v>1</v>
      </c>
      <c r="BV83" s="7"/>
      <c r="BW83" s="7"/>
      <c r="BX83" s="7"/>
      <c r="BZ83" s="469" t="s">
        <v>1070</v>
      </c>
      <c r="CA83" s="469" t="str">
        <f t="shared" si="20"/>
        <v>0107746</v>
      </c>
      <c r="CB83" s="614" t="s">
        <v>1399</v>
      </c>
      <c r="CD83" s="145"/>
      <c r="CE83" s="145"/>
      <c r="CF83" s="145"/>
      <c r="CG83" s="38"/>
      <c r="CH83" s="65" t="s">
        <v>149</v>
      </c>
      <c r="CI83" s="65" t="s">
        <v>22</v>
      </c>
      <c r="CJ83" s="65">
        <v>100</v>
      </c>
      <c r="CK83" s="65" t="s">
        <v>90</v>
      </c>
      <c r="CL83" s="65" t="s">
        <v>90</v>
      </c>
      <c r="CM83" s="65"/>
      <c r="CN83" s="65"/>
      <c r="CO83" s="66" t="s">
        <v>148</v>
      </c>
      <c r="CP83" s="78" t="str">
        <f>ASC(LEFT(T(SUBSTITUTE(SUBSTITUTE(IF(LEFT(T(記入シート1!I110),8)="カブシキガイシャ",SUBSTITUTE(T(記入シート1!I110),"カブシキガイシャ","カ)"),IF(RIGHT(T(記入シート1!I110),8)="カブシキガイシャ",SUBSTITUTE(T(記入シート1!I110),"カブシキガイシャ","(カ"),IF(LEFT(T(記入シート1!I110),8)="ユウゲンガイシャ",SUBSTITUTE(T(記入シート1!I110),"ユウゲンガイシャ","ユ)"),IF(RIGHT(T(記入シート1!I110),8)="ユウゲンガイシャ",SUBSTITUTE(T(記入シート1!I110),"ユウゲンガイシャ","(ユ"),T(記入シート1!I110))))),"ヴ","ウﾞ"),"・",".")),35))</f>
        <v/>
      </c>
      <c r="CQ83" s="10"/>
      <c r="CR83" s="61"/>
      <c r="CS83" s="61"/>
      <c r="CT83" s="61"/>
      <c r="CU83" s="61"/>
      <c r="CV83" s="60"/>
      <c r="CW83" s="9" t="s">
        <v>1960</v>
      </c>
      <c r="CX83" s="9"/>
      <c r="CY83" s="761" t="s">
        <v>624</v>
      </c>
      <c r="CZ83" s="762" t="s">
        <v>1009</v>
      </c>
      <c r="DA83" s="761"/>
      <c r="DB83" s="97" t="str">
        <f t="shared" si="22"/>
        <v>108</v>
      </c>
      <c r="DC83" s="104" t="s">
        <v>1962</v>
      </c>
      <c r="DD83" s="98">
        <f>IF(AV30=TRUE,1,0)</f>
        <v>0</v>
      </c>
      <c r="DE83" s="118"/>
      <c r="DF83" s="90"/>
      <c r="DG83" s="90"/>
      <c r="DH83" s="547" t="s">
        <v>2152</v>
      </c>
      <c r="DI83" s="547" t="s">
        <v>2174</v>
      </c>
      <c r="DJ83" s="772"/>
      <c r="DK83" s="101" t="str">
        <f t="shared" si="15"/>
        <v>93601Q08</v>
      </c>
      <c r="DL83" s="105" t="s">
        <v>2186</v>
      </c>
      <c r="DM83" s="105" t="s">
        <v>2188</v>
      </c>
      <c r="DN83" s="773" t="str">
        <f>IF(記入シート1!AV88="00","",TEXT(記入シート1!AZ88,0))</f>
        <v/>
      </c>
      <c r="DO83" s="41"/>
      <c r="DP83" s="27"/>
      <c r="DQ83" s="466"/>
      <c r="DR83" s="466"/>
      <c r="DS83" s="466"/>
      <c r="DT83" s="466"/>
      <c r="DU83" s="466"/>
      <c r="DV83" s="38"/>
      <c r="DX83" s="115"/>
      <c r="DY83" s="115"/>
    </row>
    <row r="84" spans="1:129" ht="19.5" customHeight="1">
      <c r="A84" s="210"/>
      <c r="B84" s="249"/>
      <c r="C84" s="2440" t="s">
        <v>5040</v>
      </c>
      <c r="D84" s="2441"/>
      <c r="E84" s="2441"/>
      <c r="F84" s="2441"/>
      <c r="G84" s="2441"/>
      <c r="H84" s="2441"/>
      <c r="I84" s="2442"/>
      <c r="J84" s="3063" t="s">
        <v>5042</v>
      </c>
      <c r="K84" s="3064"/>
      <c r="L84" s="3064"/>
      <c r="M84" s="3064"/>
      <c r="N84" s="3065"/>
      <c r="O84" s="1315"/>
      <c r="P84" s="1316"/>
      <c r="Q84" s="3210" t="s">
        <v>4348</v>
      </c>
      <c r="R84" s="3210"/>
      <c r="S84" s="3210"/>
      <c r="T84" s="1316"/>
      <c r="U84" s="1317"/>
      <c r="V84" s="3066" t="s">
        <v>5045</v>
      </c>
      <c r="W84" s="3066"/>
      <c r="X84" s="3066"/>
      <c r="Y84" s="3066"/>
      <c r="Z84" s="3066"/>
      <c r="AA84" s="3066"/>
      <c r="AB84" s="3066"/>
      <c r="AC84" s="3066"/>
      <c r="AD84" s="1317"/>
      <c r="AE84" s="1318"/>
      <c r="AF84" s="3066" t="s">
        <v>5046</v>
      </c>
      <c r="AG84" s="3066"/>
      <c r="AH84" s="3066"/>
      <c r="AI84" s="3066"/>
      <c r="AJ84" s="3066"/>
      <c r="AK84" s="3066"/>
      <c r="AL84" s="3066"/>
      <c r="AM84" s="3209"/>
      <c r="AN84" s="1317"/>
      <c r="AO84" s="1317"/>
      <c r="AP84" s="1317"/>
      <c r="AQ84" s="1317"/>
      <c r="AR84" s="1317"/>
      <c r="AS84" s="1317"/>
      <c r="AT84" s="1319"/>
      <c r="AU84" s="234"/>
      <c r="AV84" s="488">
        <v>0</v>
      </c>
      <c r="AW84" s="924" t="str">
        <f>IF(OR(AV84=0,AV87=0),"NG",IF(AND(AV84=2,OR(Q85="",S85="",U85="",W85="")),"NG","OK"))</f>
        <v>NG</v>
      </c>
      <c r="AX84" s="618" t="s">
        <v>2077</v>
      </c>
      <c r="BV84" s="7"/>
      <c r="BW84" s="7"/>
      <c r="BX84" s="22"/>
      <c r="BZ84" s="469" t="s">
        <v>2103</v>
      </c>
      <c r="CA84" s="469" t="str">
        <f t="shared" si="20"/>
        <v>9999995</v>
      </c>
      <c r="CB84" s="614" t="s">
        <v>2104</v>
      </c>
      <c r="CD84" s="145"/>
      <c r="CE84" s="145"/>
      <c r="CF84" s="145"/>
      <c r="CG84" s="38"/>
      <c r="CH84" s="77" t="s">
        <v>599</v>
      </c>
      <c r="CI84" s="77"/>
      <c r="CJ84" s="77"/>
      <c r="CK84" s="77"/>
      <c r="CL84" s="77"/>
      <c r="CM84" s="77"/>
      <c r="CN84" s="77"/>
      <c r="CO84" s="13"/>
      <c r="CP84" s="80"/>
      <c r="CQ84" s="10"/>
      <c r="CR84" s="61"/>
      <c r="CS84" s="61"/>
      <c r="CT84" s="61"/>
      <c r="CU84" s="61"/>
      <c r="CV84" s="60"/>
      <c r="CW84" s="9" t="s">
        <v>1976</v>
      </c>
      <c r="CX84" s="9"/>
      <c r="CY84" s="761" t="s">
        <v>624</v>
      </c>
      <c r="CZ84" s="762" t="s">
        <v>1009</v>
      </c>
      <c r="DA84" s="761"/>
      <c r="DB84" s="97" t="str">
        <f t="shared" si="22"/>
        <v>109</v>
      </c>
      <c r="DC84" s="104" t="s">
        <v>1990</v>
      </c>
      <c r="DD84" s="98">
        <f>IF(AV31=TRUE,1,0)</f>
        <v>0</v>
      </c>
      <c r="DE84" s="118"/>
      <c r="DF84" s="90"/>
      <c r="DG84" s="90"/>
      <c r="DH84" s="547" t="s">
        <v>2152</v>
      </c>
      <c r="DI84" s="547" t="s">
        <v>2175</v>
      </c>
      <c r="DJ84" s="772"/>
      <c r="DK84" s="101" t="str">
        <f t="shared" si="15"/>
        <v>93601Q09</v>
      </c>
      <c r="DL84" s="105" t="s">
        <v>2186</v>
      </c>
      <c r="DM84" s="105" t="s">
        <v>2189</v>
      </c>
      <c r="DN84" s="773" t="str">
        <f>IF(AV61="0000","",AV61)</f>
        <v>1500</v>
      </c>
      <c r="DO84" s="41"/>
      <c r="DP84" s="27"/>
      <c r="DQ84" s="466"/>
      <c r="DR84" s="466"/>
      <c r="DS84" s="466"/>
      <c r="DT84" s="466"/>
      <c r="DU84" s="466"/>
      <c r="DV84" s="38"/>
      <c r="DX84" s="115"/>
      <c r="DY84" s="115"/>
    </row>
    <row r="85" spans="1:129" ht="19.5" customHeight="1">
      <c r="A85" s="210"/>
      <c r="B85" s="249"/>
      <c r="C85" s="2125"/>
      <c r="D85" s="2126"/>
      <c r="E85" s="2126"/>
      <c r="F85" s="2126"/>
      <c r="G85" s="2126"/>
      <c r="H85" s="2126"/>
      <c r="I85" s="2127"/>
      <c r="J85" s="2452" t="s">
        <v>5044</v>
      </c>
      <c r="K85" s="2453"/>
      <c r="L85" s="2453"/>
      <c r="M85" s="2453"/>
      <c r="N85" s="2453"/>
      <c r="O85" s="2349" t="s">
        <v>5047</v>
      </c>
      <c r="P85" s="1895"/>
      <c r="Q85" s="1896"/>
      <c r="R85" s="1897"/>
      <c r="S85" s="1897"/>
      <c r="T85" s="1897"/>
      <c r="U85" s="1897"/>
      <c r="V85" s="1897"/>
      <c r="W85" s="1897"/>
      <c r="X85" s="1898"/>
      <c r="Y85" s="1894" t="s">
        <v>5049</v>
      </c>
      <c r="Z85" s="1895"/>
      <c r="AA85" s="1896"/>
      <c r="AB85" s="1897"/>
      <c r="AC85" s="1897"/>
      <c r="AD85" s="1897"/>
      <c r="AE85" s="1897"/>
      <c r="AF85" s="1897"/>
      <c r="AG85" s="1897"/>
      <c r="AH85" s="1898"/>
      <c r="AI85" s="1894" t="s">
        <v>5050</v>
      </c>
      <c r="AJ85" s="1895"/>
      <c r="AK85" s="1896"/>
      <c r="AL85" s="1897"/>
      <c r="AM85" s="1897"/>
      <c r="AN85" s="1897"/>
      <c r="AO85" s="1897"/>
      <c r="AP85" s="1897"/>
      <c r="AQ85" s="1897"/>
      <c r="AR85" s="1898"/>
      <c r="AS85" s="1213"/>
      <c r="AT85" s="1214"/>
      <c r="AU85" s="234"/>
      <c r="BV85" s="7"/>
      <c r="BW85" s="7"/>
      <c r="BX85" s="22"/>
      <c r="BZ85" s="469">
        <v>1626031</v>
      </c>
      <c r="CA85" s="469" t="s">
        <v>2246</v>
      </c>
      <c r="CB85" s="614" t="s">
        <v>2247</v>
      </c>
      <c r="CD85" s="145"/>
      <c r="CE85" s="145"/>
      <c r="CF85" s="145"/>
      <c r="CG85" s="38"/>
      <c r="CH85" s="62" t="s">
        <v>323</v>
      </c>
      <c r="CI85" s="63" t="s">
        <v>586</v>
      </c>
      <c r="CJ85" s="63" t="s">
        <v>321</v>
      </c>
      <c r="CK85" s="62" t="s">
        <v>320</v>
      </c>
      <c r="CL85" s="62" t="s">
        <v>587</v>
      </c>
      <c r="CM85" s="62" t="s">
        <v>326</v>
      </c>
      <c r="CN85" s="62" t="s">
        <v>327</v>
      </c>
      <c r="CO85" s="62" t="s">
        <v>376</v>
      </c>
      <c r="CP85" s="62" t="s">
        <v>377</v>
      </c>
      <c r="CQ85" s="10"/>
      <c r="CR85" s="61"/>
      <c r="CS85" s="61"/>
      <c r="CT85" s="61"/>
      <c r="CU85" s="61"/>
      <c r="CV85" s="60"/>
      <c r="CW85" s="9" t="s">
        <v>1972</v>
      </c>
      <c r="CX85" s="9"/>
      <c r="CY85" s="761" t="s">
        <v>624</v>
      </c>
      <c r="CZ85" s="762" t="s">
        <v>1009</v>
      </c>
      <c r="DA85" s="761"/>
      <c r="DB85" s="97" t="str">
        <f t="shared" si="22"/>
        <v>110</v>
      </c>
      <c r="DC85" s="104" t="s">
        <v>1991</v>
      </c>
      <c r="DD85" s="98">
        <f>IF(AV32=TRUE,1,0)</f>
        <v>0</v>
      </c>
      <c r="DE85" s="118"/>
      <c r="DF85" s="90"/>
      <c r="DG85" s="90"/>
      <c r="DH85" s="547" t="s">
        <v>2152</v>
      </c>
      <c r="DI85" s="547" t="s">
        <v>2176</v>
      </c>
      <c r="DJ85" s="772"/>
      <c r="DK85" s="101" t="str">
        <f t="shared" si="15"/>
        <v>93601Q0A</v>
      </c>
      <c r="DL85" s="105" t="s">
        <v>2186</v>
      </c>
      <c r="DM85" s="105" t="s">
        <v>2190</v>
      </c>
      <c r="DN85" s="773" t="str">
        <f>IF(AV62="0000","",AV62)</f>
        <v>1506</v>
      </c>
      <c r="DO85" s="41"/>
      <c r="DP85" s="27"/>
      <c r="DQ85" s="466"/>
      <c r="DR85" s="466"/>
      <c r="DS85" s="466"/>
      <c r="DT85" s="466"/>
      <c r="DU85" s="466"/>
      <c r="DV85" s="38"/>
      <c r="DX85" s="115"/>
      <c r="DY85" s="115"/>
    </row>
    <row r="86" spans="1:129" s="7" customFormat="1" ht="19.5" customHeight="1">
      <c r="A86" s="210"/>
      <c r="B86" s="249"/>
      <c r="C86" s="2125"/>
      <c r="D86" s="2126"/>
      <c r="E86" s="2126"/>
      <c r="F86" s="2126"/>
      <c r="G86" s="2126"/>
      <c r="H86" s="2126"/>
      <c r="I86" s="2127"/>
      <c r="J86" s="2454"/>
      <c r="K86" s="2453"/>
      <c r="L86" s="2453"/>
      <c r="M86" s="2453"/>
      <c r="N86" s="2453"/>
      <c r="O86" s="2349" t="s">
        <v>5048</v>
      </c>
      <c r="P86" s="1895"/>
      <c r="Q86" s="1896"/>
      <c r="R86" s="1897"/>
      <c r="S86" s="1897"/>
      <c r="T86" s="1897"/>
      <c r="U86" s="1897"/>
      <c r="V86" s="1897"/>
      <c r="W86" s="1897"/>
      <c r="X86" s="1898"/>
      <c r="Y86" s="1894" t="s">
        <v>5052</v>
      </c>
      <c r="Z86" s="1895"/>
      <c r="AA86" s="1896"/>
      <c r="AB86" s="1897"/>
      <c r="AC86" s="1897"/>
      <c r="AD86" s="1897"/>
      <c r="AE86" s="1897"/>
      <c r="AF86" s="1897"/>
      <c r="AG86" s="1897"/>
      <c r="AH86" s="1898"/>
      <c r="AI86" s="1894" t="s">
        <v>5051</v>
      </c>
      <c r="AJ86" s="1895"/>
      <c r="AK86" s="1896"/>
      <c r="AL86" s="1897"/>
      <c r="AM86" s="1897"/>
      <c r="AN86" s="1897"/>
      <c r="AO86" s="1897"/>
      <c r="AP86" s="1897"/>
      <c r="AQ86" s="1897"/>
      <c r="AR86" s="1898"/>
      <c r="AS86" s="1215"/>
      <c r="AT86" s="1216"/>
      <c r="AU86" s="234"/>
      <c r="AV86" s="199"/>
      <c r="AW86" s="200"/>
      <c r="AX86" s="200"/>
      <c r="AY86" s="200"/>
      <c r="AZ86" s="200"/>
      <c r="BA86" s="24"/>
      <c r="BB86" s="24"/>
      <c r="BC86" s="24"/>
      <c r="BD86" s="24"/>
      <c r="BE86" s="24"/>
      <c r="BF86" s="24"/>
      <c r="BG86" s="24"/>
      <c r="BH86" s="24"/>
      <c r="BI86" s="24"/>
      <c r="BJ86" s="24"/>
      <c r="BK86" s="24"/>
      <c r="BL86" s="24"/>
      <c r="BM86" s="24"/>
      <c r="BN86" s="24"/>
      <c r="BO86" s="24"/>
      <c r="BP86" s="24"/>
      <c r="BQ86" s="24"/>
      <c r="BR86" s="24"/>
      <c r="BS86" s="24"/>
      <c r="BT86" s="24"/>
      <c r="BU86" s="15"/>
      <c r="BX86" s="22"/>
      <c r="BY86" s="15"/>
      <c r="BZ86" s="469">
        <v>1626033</v>
      </c>
      <c r="CA86" s="469" t="s">
        <v>2248</v>
      </c>
      <c r="CB86" s="614" t="s">
        <v>2249</v>
      </c>
      <c r="CC86" s="24"/>
      <c r="CD86" s="145"/>
      <c r="CE86" s="145"/>
      <c r="CF86" s="145"/>
      <c r="CG86" s="38"/>
      <c r="CH86" s="65" t="s">
        <v>121</v>
      </c>
      <c r="CI86" s="65" t="s">
        <v>22</v>
      </c>
      <c r="CJ86" s="65">
        <v>40</v>
      </c>
      <c r="CK86" s="65" t="s">
        <v>216</v>
      </c>
      <c r="CL86" s="65" t="s">
        <v>451</v>
      </c>
      <c r="CM86" s="65"/>
      <c r="CN86" s="65"/>
      <c r="CO86" s="66" t="s">
        <v>120</v>
      </c>
      <c r="CP86" s="78" t="str">
        <f>ASC(SUBSTITUTE(SUBSTITUTE(SUBSTITUTE(SUBSTITUTE(記入シート1!I117,"ヴ","ウﾞ"),"・",""),"　","")," ",""))&amp;" "&amp;ASC(SUBSTITUTE(SUBSTITUTE(SUBSTITUTE(SUBSTITUTE(記入シート1!Q117,"ヴ","ウﾞ"),"・",""),"　","")," ",""))</f>
        <v xml:space="preserve"> </v>
      </c>
      <c r="CQ86" s="10"/>
      <c r="CR86" s="61"/>
      <c r="CS86" s="61"/>
      <c r="CT86" s="61"/>
      <c r="CU86" s="61"/>
      <c r="CV86" s="60"/>
      <c r="CW86" s="9" t="s">
        <v>1974</v>
      </c>
      <c r="CX86" s="9"/>
      <c r="CY86" s="761" t="s">
        <v>624</v>
      </c>
      <c r="CZ86" s="762" t="s">
        <v>1009</v>
      </c>
      <c r="DA86" s="761"/>
      <c r="DB86" s="97" t="str">
        <f t="shared" si="22"/>
        <v>111</v>
      </c>
      <c r="DC86" s="104" t="s">
        <v>1992</v>
      </c>
      <c r="DD86" s="98">
        <f>IF(AV33=TRUE,1,0)</f>
        <v>0</v>
      </c>
      <c r="DE86" s="118"/>
      <c r="DF86" s="90"/>
      <c r="DG86" s="90"/>
      <c r="DH86" s="547" t="s">
        <v>2152</v>
      </c>
      <c r="DI86" s="547" t="s">
        <v>2177</v>
      </c>
      <c r="DJ86" s="771" t="s">
        <v>3350</v>
      </c>
      <c r="DK86" s="101" t="str">
        <f t="shared" si="15"/>
        <v>93601Q0B</v>
      </c>
      <c r="DL86" s="105" t="s">
        <v>2186</v>
      </c>
      <c r="DM86" s="105" t="s">
        <v>2191</v>
      </c>
      <c r="DN86" s="773" t="str">
        <f>IF(AV63=1,"0",IF(AV63=2,"1",""))</f>
        <v/>
      </c>
      <c r="DO86" s="27"/>
      <c r="DP86" s="27"/>
      <c r="DQ86" s="466"/>
      <c r="DR86" s="466"/>
      <c r="DS86" s="466"/>
      <c r="DT86" s="466"/>
      <c r="DU86" s="466"/>
      <c r="DV86" s="38"/>
      <c r="DW86" s="22"/>
      <c r="DX86" s="115"/>
      <c r="DY86" s="115"/>
    </row>
    <row r="87" spans="1:129" ht="19.5" customHeight="1">
      <c r="A87" s="1048"/>
      <c r="B87" s="249"/>
      <c r="C87" s="2001"/>
      <c r="D87" s="2002"/>
      <c r="E87" s="2002"/>
      <c r="F87" s="2002"/>
      <c r="G87" s="2002"/>
      <c r="H87" s="2002"/>
      <c r="I87" s="2003"/>
      <c r="J87" s="3063" t="s">
        <v>5043</v>
      </c>
      <c r="K87" s="3064"/>
      <c r="L87" s="3064"/>
      <c r="M87" s="3064"/>
      <c r="N87" s="3065"/>
      <c r="O87" s="1306"/>
      <c r="P87" s="1306"/>
      <c r="Q87" s="3060" t="s">
        <v>4348</v>
      </c>
      <c r="R87" s="3060"/>
      <c r="S87" s="3060"/>
      <c r="T87" s="1306"/>
      <c r="U87" s="1306"/>
      <c r="V87" s="3057" t="s">
        <v>3594</v>
      </c>
      <c r="W87" s="3057"/>
      <c r="X87" s="3058"/>
      <c r="Y87" s="1317"/>
      <c r="Z87" s="1317"/>
      <c r="AA87" s="1317"/>
      <c r="AB87" s="1317"/>
      <c r="AC87" s="1317"/>
      <c r="AD87" s="1317"/>
      <c r="AE87" s="1317"/>
      <c r="AF87" s="1317"/>
      <c r="AG87" s="1320"/>
      <c r="AH87" s="1320"/>
      <c r="AI87" s="1320"/>
      <c r="AJ87" s="1320"/>
      <c r="AK87" s="1320"/>
      <c r="AL87" s="1321"/>
      <c r="AM87" s="1321"/>
      <c r="AN87" s="1321"/>
      <c r="AO87" s="1321"/>
      <c r="AP87" s="1321"/>
      <c r="AQ87" s="1321"/>
      <c r="AR87" s="1321"/>
      <c r="AS87" s="1317"/>
      <c r="AT87" s="1319"/>
      <c r="AU87" s="234"/>
      <c r="AV87" s="199">
        <v>0</v>
      </c>
      <c r="BU87" s="24"/>
      <c r="BV87" s="22"/>
      <c r="BW87" s="22"/>
      <c r="BX87" s="22"/>
      <c r="BY87" s="24"/>
      <c r="BZ87" s="469">
        <v>1626035</v>
      </c>
      <c r="CA87" s="469" t="s">
        <v>2250</v>
      </c>
      <c r="CB87" s="614" t="s">
        <v>2251</v>
      </c>
      <c r="CD87" s="145"/>
      <c r="CE87" s="145"/>
      <c r="CF87" s="145"/>
      <c r="CG87" s="38"/>
      <c r="CH87" s="65" t="s">
        <v>452</v>
      </c>
      <c r="CI87" s="65" t="s">
        <v>21</v>
      </c>
      <c r="CJ87" s="65">
        <v>40</v>
      </c>
      <c r="CK87" s="65" t="s">
        <v>216</v>
      </c>
      <c r="CL87" s="65" t="s">
        <v>451</v>
      </c>
      <c r="CM87" s="65"/>
      <c r="CN87" s="65"/>
      <c r="CO87" s="66" t="s">
        <v>122</v>
      </c>
      <c r="CP87" s="78" t="str">
        <f>T(SUBSTITUTE(SUBSTITUTE(記入シート1!I118,"　","")," ",""))&amp;"　"&amp;T(SUBSTITUTE(SUBSTITUTE(記入シート1!Q118,"　","")," ",""))</f>
        <v>　</v>
      </c>
      <c r="CQ87" s="10"/>
      <c r="CR87" s="61"/>
      <c r="CS87" s="61"/>
      <c r="CT87" s="61"/>
      <c r="CU87" s="61"/>
      <c r="CV87" s="60"/>
      <c r="CW87" s="763" t="s">
        <v>2151</v>
      </c>
      <c r="CX87" s="763"/>
      <c r="CY87" s="761" t="s">
        <v>736</v>
      </c>
      <c r="CZ87" s="762" t="s">
        <v>1112</v>
      </c>
      <c r="DA87" s="761"/>
      <c r="DB87" s="97" t="str">
        <f t="shared" si="22"/>
        <v>931</v>
      </c>
      <c r="DC87" s="764" t="s">
        <v>2160</v>
      </c>
      <c r="DD87" s="98">
        <f>IF(AV45=TRUE,1,0)</f>
        <v>0</v>
      </c>
      <c r="DE87" s="147"/>
      <c r="DF87" s="90"/>
      <c r="DG87" s="90"/>
      <c r="DH87" s="547" t="s">
        <v>2152</v>
      </c>
      <c r="DI87" s="547" t="s">
        <v>2178</v>
      </c>
      <c r="DJ87" s="772"/>
      <c r="DK87" s="101" t="str">
        <f t="shared" si="15"/>
        <v>93601Q0C</v>
      </c>
      <c r="DL87" s="105" t="s">
        <v>2186</v>
      </c>
      <c r="DM87" s="105" t="s">
        <v>2192</v>
      </c>
      <c r="DN87" s="773" t="str">
        <f>ASC(記入シート1!I43)</f>
        <v/>
      </c>
      <c r="DO87" s="27"/>
      <c r="DV87" s="38"/>
      <c r="DX87" s="115"/>
      <c r="DY87" s="115"/>
    </row>
    <row r="88" spans="1:129" ht="19.5" hidden="1" customHeight="1">
      <c r="A88" s="447" t="s">
        <v>1234</v>
      </c>
      <c r="B88" s="249"/>
      <c r="C88" s="2001" t="s">
        <v>3593</v>
      </c>
      <c r="D88" s="2002"/>
      <c r="E88" s="2002"/>
      <c r="F88" s="2002"/>
      <c r="G88" s="2002"/>
      <c r="H88" s="2002"/>
      <c r="I88" s="2002"/>
      <c r="J88" s="2002"/>
      <c r="K88" s="2002"/>
      <c r="L88" s="2002"/>
      <c r="M88" s="2003"/>
      <c r="N88" s="2006" t="s">
        <v>3594</v>
      </c>
      <c r="O88" s="2002"/>
      <c r="P88" s="2002"/>
      <c r="Q88" s="2003"/>
      <c r="R88" s="2006" t="s">
        <v>3595</v>
      </c>
      <c r="S88" s="2002"/>
      <c r="T88" s="2002"/>
      <c r="U88" s="2002"/>
      <c r="V88" s="2002"/>
      <c r="W88" s="2002"/>
      <c r="X88" s="2002"/>
      <c r="Y88" s="2002"/>
      <c r="Z88" s="2002"/>
      <c r="AA88" s="2002"/>
      <c r="AB88" s="2002"/>
      <c r="AC88" s="2002"/>
      <c r="AD88" s="2002"/>
      <c r="AE88" s="2002"/>
      <c r="AF88" s="2002"/>
      <c r="AG88" s="2002"/>
      <c r="AH88" s="2002"/>
      <c r="AI88" s="2002"/>
      <c r="AJ88" s="2002"/>
      <c r="AK88" s="2002"/>
      <c r="AL88" s="2002"/>
      <c r="AM88" s="2002"/>
      <c r="AN88" s="2002"/>
      <c r="AO88" s="2002"/>
      <c r="AP88" s="2002"/>
      <c r="AQ88" s="2002"/>
      <c r="AR88" s="2002"/>
      <c r="AS88" s="2002"/>
      <c r="AT88" s="2439"/>
      <c r="AU88" s="234"/>
      <c r="AW88" s="618" t="str">
        <f>IF(AND(AV15=TRUE,AV28=TRUE),"TRUE","FALSE")</f>
        <v>FALSE</v>
      </c>
      <c r="AX88" s="618" t="s">
        <v>5527</v>
      </c>
      <c r="BV88" s="7"/>
      <c r="BW88" s="7"/>
      <c r="BX88" s="22"/>
      <c r="BZ88" s="469">
        <v>1300134</v>
      </c>
      <c r="CA88" s="469" t="s">
        <v>2252</v>
      </c>
      <c r="CB88" s="614" t="s">
        <v>2253</v>
      </c>
      <c r="CD88" s="145"/>
      <c r="CE88" s="145"/>
      <c r="CF88" s="145"/>
      <c r="CG88" s="38"/>
      <c r="CH88" s="65" t="s">
        <v>462</v>
      </c>
      <c r="CI88" s="65" t="s">
        <v>21</v>
      </c>
      <c r="CJ88" s="65">
        <v>40</v>
      </c>
      <c r="CK88" s="65" t="s">
        <v>432</v>
      </c>
      <c r="CL88" s="65" t="s">
        <v>432</v>
      </c>
      <c r="CM88" s="65"/>
      <c r="CN88" s="65"/>
      <c r="CO88" s="66" t="s">
        <v>117</v>
      </c>
      <c r="CP88" s="78" t="str">
        <f>T(記入シート1!AE117)</f>
        <v/>
      </c>
      <c r="CQ88" s="10"/>
      <c r="CR88" s="61"/>
      <c r="CS88" s="61"/>
      <c r="CT88" s="61"/>
      <c r="CU88" s="61"/>
      <c r="CV88" s="60"/>
      <c r="CW88" s="763" t="s">
        <v>2159</v>
      </c>
      <c r="CX88" s="763"/>
      <c r="CY88" s="761"/>
      <c r="CZ88" s="762"/>
      <c r="DA88" s="761"/>
      <c r="DB88" s="97" t="str">
        <f t="shared" si="22"/>
        <v>931</v>
      </c>
      <c r="DC88" s="764" t="s">
        <v>2161</v>
      </c>
      <c r="DD88" s="768" t="str">
        <f>""</f>
        <v/>
      </c>
      <c r="DE88" s="147"/>
      <c r="DF88" s="90"/>
      <c r="DG88" s="90"/>
      <c r="DH88" s="547" t="s">
        <v>2152</v>
      </c>
      <c r="DI88" s="547" t="s">
        <v>3238</v>
      </c>
      <c r="DJ88" s="772"/>
      <c r="DK88" s="101" t="str">
        <f t="shared" si="15"/>
        <v>93601Q0D</v>
      </c>
      <c r="DL88" s="105" t="s">
        <v>2186</v>
      </c>
      <c r="DM88" s="105" t="s">
        <v>3351</v>
      </c>
      <c r="DN88" s="773" t="str">
        <f>T(記入シート1!I66)</f>
        <v/>
      </c>
      <c r="DO88" s="27"/>
      <c r="DV88" s="38"/>
      <c r="DX88" s="115"/>
      <c r="DY88" s="115"/>
    </row>
    <row r="89" spans="1:129" ht="19.5" customHeight="1" thickBot="1">
      <c r="A89" s="447"/>
      <c r="B89" s="249"/>
      <c r="C89" s="2443" t="s">
        <v>5525</v>
      </c>
      <c r="D89" s="2444"/>
      <c r="E89" s="2444"/>
      <c r="F89" s="2444"/>
      <c r="G89" s="2444"/>
      <c r="H89" s="2444"/>
      <c r="I89" s="2445"/>
      <c r="J89" s="1313"/>
      <c r="K89" s="1314"/>
      <c r="L89" s="3021" t="s">
        <v>4348</v>
      </c>
      <c r="M89" s="3021"/>
      <c r="N89" s="3022"/>
      <c r="O89" s="3023" t="s">
        <v>5526</v>
      </c>
      <c r="P89" s="3024"/>
      <c r="Q89" s="3024"/>
      <c r="R89" s="3024"/>
      <c r="S89" s="3024"/>
      <c r="T89" s="3024"/>
      <c r="U89" s="3024"/>
      <c r="V89" s="3024"/>
      <c r="W89" s="3024"/>
      <c r="X89" s="3024"/>
      <c r="Y89" s="3024"/>
      <c r="Z89" s="3024"/>
      <c r="AA89" s="3024"/>
      <c r="AB89" s="3024"/>
      <c r="AC89" s="3024"/>
      <c r="AD89" s="3024"/>
      <c r="AE89" s="3024"/>
      <c r="AF89" s="3024"/>
      <c r="AG89" s="3024"/>
      <c r="AH89" s="3024"/>
      <c r="AI89" s="3024"/>
      <c r="AJ89" s="3024"/>
      <c r="AK89" s="3024"/>
      <c r="AL89" s="3024"/>
      <c r="AM89" s="3024"/>
      <c r="AN89" s="3024"/>
      <c r="AO89" s="3024"/>
      <c r="AP89" s="3024"/>
      <c r="AQ89" s="3024"/>
      <c r="AR89" s="3024"/>
      <c r="AS89" s="3024"/>
      <c r="AT89" s="3025"/>
      <c r="AU89" s="234"/>
      <c r="AV89" s="199" t="b">
        <v>0</v>
      </c>
      <c r="AW89" s="325" t="s">
        <v>550</v>
      </c>
      <c r="AX89" s="776">
        <v>0</v>
      </c>
      <c r="AY89" s="776">
        <v>0</v>
      </c>
      <c r="AZ89" s="327"/>
      <c r="BA89" s="328" t="s">
        <v>643</v>
      </c>
      <c r="BB89" s="316"/>
      <c r="BC89" s="316"/>
      <c r="BD89" s="315"/>
      <c r="BE89" s="315"/>
      <c r="BF89" s="317"/>
      <c r="BG89" s="318"/>
      <c r="BH89" s="319"/>
      <c r="BI89" s="320"/>
      <c r="BJ89" s="318"/>
      <c r="BK89" s="315"/>
      <c r="BL89" s="293"/>
      <c r="BM89" s="293"/>
      <c r="BN89" s="321"/>
      <c r="BO89" s="321"/>
      <c r="BP89" s="322"/>
      <c r="BR89" s="315"/>
      <c r="BV89" s="7"/>
      <c r="BW89" s="7"/>
      <c r="BX89" s="22"/>
      <c r="BZ89" s="469">
        <v>1301064</v>
      </c>
      <c r="CA89" s="469" t="s">
        <v>2254</v>
      </c>
      <c r="CB89" s="614" t="s">
        <v>2255</v>
      </c>
      <c r="CD89" s="145"/>
      <c r="CE89" s="145"/>
      <c r="CF89" s="145"/>
      <c r="CG89" s="38"/>
      <c r="CH89" s="65" t="s">
        <v>116</v>
      </c>
      <c r="CI89" s="65" t="s">
        <v>22</v>
      </c>
      <c r="CJ89" s="65">
        <v>15</v>
      </c>
      <c r="CK89" s="65" t="s">
        <v>216</v>
      </c>
      <c r="CL89" s="65" t="s">
        <v>90</v>
      </c>
      <c r="CM89" s="84"/>
      <c r="CN89" s="84"/>
      <c r="CO89" s="66" t="s">
        <v>115</v>
      </c>
      <c r="CP89" s="78" t="str">
        <f>ASC(記入シート1!AE118)&amp;"-"&amp;ASC(記入シート1!AK118)&amp;"-"&amp;ASC(記入シート1!AP118)</f>
        <v>--</v>
      </c>
      <c r="CQ89" s="10"/>
      <c r="CR89" s="61"/>
      <c r="CS89" s="61"/>
      <c r="CT89" s="61"/>
      <c r="CU89" s="61"/>
      <c r="CV89" s="60"/>
      <c r="CW89" s="1229" t="s">
        <v>3809</v>
      </c>
      <c r="CX89" s="763"/>
      <c r="CY89" s="761" t="s">
        <v>736</v>
      </c>
      <c r="CZ89" s="762" t="s">
        <v>1112</v>
      </c>
      <c r="DA89" s="761"/>
      <c r="DB89" s="97" t="str">
        <f t="shared" si="22"/>
        <v>932</v>
      </c>
      <c r="DC89" s="1159" t="s">
        <v>2162</v>
      </c>
      <c r="DD89" s="1387">
        <f>CU10</f>
        <v>0</v>
      </c>
      <c r="DE89" s="147"/>
      <c r="DF89" s="90"/>
      <c r="DG89" s="90"/>
      <c r="DH89" s="547" t="s">
        <v>2152</v>
      </c>
      <c r="DI89" s="547" t="s">
        <v>3239</v>
      </c>
      <c r="DJ89" s="771" t="s">
        <v>3348</v>
      </c>
      <c r="DK89" s="101" t="str">
        <f t="shared" si="15"/>
        <v>93601Q0E</v>
      </c>
      <c r="DL89" s="105" t="s">
        <v>2186</v>
      </c>
      <c r="DM89" s="105" t="s">
        <v>3352</v>
      </c>
      <c r="DN89" s="851" t="str">
        <f>""</f>
        <v/>
      </c>
      <c r="DO89" s="27"/>
      <c r="DV89" s="38"/>
      <c r="DX89" s="115"/>
      <c r="DY89" s="115"/>
    </row>
    <row r="90" spans="1:129" ht="19.5" hidden="1" customHeight="1" thickBot="1">
      <c r="A90" s="447" t="s">
        <v>1234</v>
      </c>
      <c r="B90" s="249"/>
      <c r="C90" s="1307"/>
      <c r="D90" s="1308"/>
      <c r="E90" s="1308"/>
      <c r="F90" s="1308"/>
      <c r="G90" s="1308"/>
      <c r="H90" s="1308"/>
      <c r="I90" s="1308"/>
      <c r="J90" s="1308"/>
      <c r="K90" s="1308"/>
      <c r="L90" s="1308"/>
      <c r="M90" s="1308"/>
      <c r="N90" s="1309"/>
      <c r="O90" s="1309"/>
      <c r="P90" s="1309"/>
      <c r="Q90" s="1309"/>
      <c r="R90" s="1310"/>
      <c r="S90" s="1311"/>
      <c r="T90" s="1311"/>
      <c r="U90" s="1311"/>
      <c r="V90" s="1311"/>
      <c r="W90" s="1311"/>
      <c r="X90" s="1311"/>
      <c r="Y90" s="1311"/>
      <c r="Z90" s="1311"/>
      <c r="AA90" s="1311"/>
      <c r="AB90" s="1311"/>
      <c r="AC90" s="1311"/>
      <c r="AD90" s="1311"/>
      <c r="AE90" s="1311"/>
      <c r="AF90" s="1311"/>
      <c r="AG90" s="1311"/>
      <c r="AH90" s="1311"/>
      <c r="AI90" s="1311"/>
      <c r="AJ90" s="1311"/>
      <c r="AK90" s="1311"/>
      <c r="AL90" s="1311"/>
      <c r="AM90" s="1311"/>
      <c r="AN90" s="1311"/>
      <c r="AO90" s="1311"/>
      <c r="AP90" s="1311"/>
      <c r="AQ90" s="1311"/>
      <c r="AR90" s="1311"/>
      <c r="AS90" s="1311"/>
      <c r="AT90" s="1312"/>
      <c r="AU90" s="234"/>
      <c r="AW90" s="325"/>
      <c r="AX90" s="326"/>
      <c r="AY90" s="326"/>
      <c r="AZ90" s="327"/>
      <c r="BA90" s="328"/>
      <c r="BB90" s="316"/>
      <c r="BC90" s="316"/>
      <c r="BD90" s="315"/>
      <c r="BE90" s="315"/>
      <c r="BF90" s="317"/>
      <c r="BG90" s="318"/>
      <c r="BH90" s="319"/>
      <c r="BI90" s="320"/>
      <c r="BJ90" s="318"/>
      <c r="BK90" s="315"/>
      <c r="BL90" s="293"/>
      <c r="BM90" s="293"/>
      <c r="BN90" s="321"/>
      <c r="BO90" s="321"/>
      <c r="BP90" s="322"/>
      <c r="BR90" s="315"/>
      <c r="BU90" s="24"/>
      <c r="BV90" s="22"/>
      <c r="BW90" s="22"/>
      <c r="BX90" s="22"/>
      <c r="BY90" s="24"/>
      <c r="BZ90" s="469">
        <v>1602184</v>
      </c>
      <c r="CA90" s="469" t="s">
        <v>2256</v>
      </c>
      <c r="CB90" s="614" t="s">
        <v>2257</v>
      </c>
      <c r="CD90" s="145"/>
      <c r="CE90" s="145"/>
      <c r="CF90" s="145"/>
      <c r="CG90" s="38"/>
      <c r="CH90" s="65" t="s">
        <v>463</v>
      </c>
      <c r="CI90" s="65" t="s">
        <v>22</v>
      </c>
      <c r="CJ90" s="65">
        <v>128</v>
      </c>
      <c r="CK90" s="65" t="s">
        <v>216</v>
      </c>
      <c r="CL90" s="65" t="s">
        <v>90</v>
      </c>
      <c r="CM90" s="65"/>
      <c r="CN90" s="65"/>
      <c r="CO90" s="66" t="s">
        <v>113</v>
      </c>
      <c r="CP90" s="78" t="str">
        <f>ASC(記入シート1!AE120)</f>
        <v/>
      </c>
      <c r="CQ90" s="10"/>
      <c r="CR90" s="61"/>
      <c r="CS90" s="61"/>
      <c r="CT90" s="61"/>
      <c r="CU90" s="61"/>
      <c r="CV90" s="60"/>
      <c r="CW90" s="763" t="s">
        <v>938</v>
      </c>
      <c r="CX90" s="763"/>
      <c r="CY90" s="761" t="s">
        <v>736</v>
      </c>
      <c r="CZ90" s="762" t="s">
        <v>1112</v>
      </c>
      <c r="DA90" s="761"/>
      <c r="DB90" s="97" t="str">
        <f t="shared" si="22"/>
        <v>935</v>
      </c>
      <c r="DC90" s="764" t="s">
        <v>2163</v>
      </c>
      <c r="DD90" s="98">
        <f>IF(AV47=TRUE,1,0)</f>
        <v>0</v>
      </c>
      <c r="DE90" s="147"/>
      <c r="DF90" s="90"/>
      <c r="DG90" s="90"/>
      <c r="DH90" s="547" t="s">
        <v>2152</v>
      </c>
      <c r="DI90" s="547" t="s">
        <v>3240</v>
      </c>
      <c r="DJ90" s="771" t="s">
        <v>3349</v>
      </c>
      <c r="DK90" s="101" t="str">
        <f t="shared" si="15"/>
        <v>93601Q0F</v>
      </c>
      <c r="DL90" s="105" t="s">
        <v>2186</v>
      </c>
      <c r="DM90" s="105" t="s">
        <v>3353</v>
      </c>
      <c r="DN90" s="773" t="str">
        <f>IF(OR(CP26&gt;=10000000000,記入シート1!I43&gt;=100),"1","2")</f>
        <v>2</v>
      </c>
      <c r="DV90" s="38"/>
      <c r="DX90" s="115"/>
      <c r="DY90" s="115"/>
    </row>
    <row r="91" spans="1:129" ht="24" hidden="1" customHeight="1">
      <c r="A91" s="447" t="s">
        <v>3574</v>
      </c>
      <c r="B91" s="249"/>
      <c r="C91" s="2460" t="s">
        <v>3832</v>
      </c>
      <c r="D91" s="2461"/>
      <c r="E91" s="2461"/>
      <c r="F91" s="2461"/>
      <c r="G91" s="2461"/>
      <c r="H91" s="2461"/>
      <c r="I91" s="2461"/>
      <c r="J91" s="2461"/>
      <c r="K91" s="2461"/>
      <c r="L91" s="2461"/>
      <c r="M91" s="2461"/>
      <c r="N91" s="2464"/>
      <c r="O91" s="2464"/>
      <c r="P91" s="2464"/>
      <c r="Q91" s="2464"/>
      <c r="R91" s="2466" t="s">
        <v>3833</v>
      </c>
      <c r="S91" s="2466"/>
      <c r="T91" s="2466"/>
      <c r="U91" s="2466"/>
      <c r="V91" s="2466"/>
      <c r="W91" s="2466"/>
      <c r="X91" s="2466"/>
      <c r="Y91" s="2466"/>
      <c r="Z91" s="2466"/>
      <c r="AA91" s="2466"/>
      <c r="AB91" s="2466"/>
      <c r="AC91" s="2466"/>
      <c r="AD91" s="2466"/>
      <c r="AE91" s="2466"/>
      <c r="AF91" s="2466"/>
      <c r="AG91" s="2466"/>
      <c r="AH91" s="2466"/>
      <c r="AI91" s="2466"/>
      <c r="AJ91" s="2466"/>
      <c r="AK91" s="2466"/>
      <c r="AL91" s="2466"/>
      <c r="AM91" s="2466"/>
      <c r="AN91" s="2466"/>
      <c r="AO91" s="2466"/>
      <c r="AP91" s="2466"/>
      <c r="AQ91" s="2466"/>
      <c r="AR91" s="2466"/>
      <c r="AS91" s="2466"/>
      <c r="AT91" s="2467"/>
      <c r="AU91" s="234"/>
      <c r="AW91" s="325"/>
      <c r="AX91" s="326"/>
      <c r="AY91" s="326"/>
      <c r="AZ91" s="327"/>
      <c r="BA91" s="328"/>
      <c r="BB91" s="316"/>
      <c r="BC91" s="316"/>
      <c r="BD91" s="315"/>
      <c r="BE91" s="315"/>
      <c r="BF91" s="317"/>
      <c r="BG91" s="318"/>
      <c r="BH91" s="319"/>
      <c r="BI91" s="320"/>
      <c r="BJ91" s="318"/>
      <c r="BK91" s="315"/>
      <c r="BL91" s="293"/>
      <c r="BM91" s="293"/>
      <c r="BN91" s="321"/>
      <c r="BO91" s="321"/>
      <c r="BP91" s="322"/>
      <c r="BR91" s="315"/>
      <c r="BU91" s="24"/>
      <c r="BV91" s="22"/>
      <c r="BW91" s="22"/>
      <c r="BX91" s="22"/>
      <c r="BY91" s="24"/>
      <c r="BZ91" s="469">
        <v>1202896</v>
      </c>
      <c r="CA91" s="469" t="s">
        <v>2258</v>
      </c>
      <c r="CB91" s="614" t="s">
        <v>2259</v>
      </c>
      <c r="CD91" s="145"/>
      <c r="CE91" s="145"/>
      <c r="CF91" s="145"/>
      <c r="CG91" s="38"/>
      <c r="CH91" s="586" t="s">
        <v>114</v>
      </c>
      <c r="CI91" s="586" t="s">
        <v>22</v>
      </c>
      <c r="CJ91" s="586">
        <v>15</v>
      </c>
      <c r="CK91" s="586" t="s">
        <v>216</v>
      </c>
      <c r="CL91" s="586" t="s">
        <v>20</v>
      </c>
      <c r="CM91" s="586"/>
      <c r="CN91" s="586"/>
      <c r="CO91" s="66" t="s">
        <v>544</v>
      </c>
      <c r="CP91" s="67" t="str">
        <f>IF(OR(記入シート1!AE119="",記入シート1!AK119="",記入シート1!AP119=""),"00-0000-0000",ASC(記入シート1!AE119)&amp;"-"&amp;ASC(記入シート1!AK119)&amp;"-"&amp;ASC(記入シート1!AP119))</f>
        <v>00-0000-0000</v>
      </c>
      <c r="CQ91" s="10"/>
      <c r="CR91" s="61"/>
      <c r="CS91" s="61"/>
      <c r="CT91" s="61"/>
      <c r="CU91" s="61"/>
      <c r="CV91" s="60"/>
      <c r="CW91" s="763" t="s">
        <v>2152</v>
      </c>
      <c r="CX91" s="763"/>
      <c r="CY91" s="761" t="s">
        <v>736</v>
      </c>
      <c r="CZ91" s="762" t="s">
        <v>1112</v>
      </c>
      <c r="DA91" s="761"/>
      <c r="DB91" s="97" t="str">
        <f t="shared" si="22"/>
        <v>936</v>
      </c>
      <c r="DC91" s="764" t="s">
        <v>2164</v>
      </c>
      <c r="DD91" s="98">
        <f>IF(AV60=TRUE,1,0)</f>
        <v>0</v>
      </c>
      <c r="DE91" s="147"/>
      <c r="DF91" s="90"/>
      <c r="DG91" s="90"/>
      <c r="DH91" s="547" t="s">
        <v>2152</v>
      </c>
      <c r="DI91" s="547" t="s">
        <v>3241</v>
      </c>
      <c r="DJ91" s="771" t="s">
        <v>3262</v>
      </c>
      <c r="DK91" s="101" t="str">
        <f t="shared" si="15"/>
        <v>93601Q0G</v>
      </c>
      <c r="DL91" s="105" t="s">
        <v>2186</v>
      </c>
      <c r="DM91" s="105" t="s">
        <v>3354</v>
      </c>
      <c r="DN91" s="773" t="str">
        <f>ASC(AY61)</f>
        <v>0</v>
      </c>
      <c r="DV91" s="38"/>
      <c r="DX91" s="115"/>
      <c r="DY91" s="115"/>
    </row>
    <row r="92" spans="1:129" ht="24" hidden="1" customHeight="1" thickBot="1">
      <c r="A92" s="447" t="s">
        <v>3574</v>
      </c>
      <c r="B92" s="249"/>
      <c r="C92" s="2462"/>
      <c r="D92" s="2463"/>
      <c r="E92" s="2463"/>
      <c r="F92" s="2463"/>
      <c r="G92" s="2463"/>
      <c r="H92" s="2463"/>
      <c r="I92" s="2463"/>
      <c r="J92" s="2463"/>
      <c r="K92" s="2463"/>
      <c r="L92" s="2463"/>
      <c r="M92" s="2463"/>
      <c r="N92" s="2465"/>
      <c r="O92" s="2465"/>
      <c r="P92" s="2465"/>
      <c r="Q92" s="2465"/>
      <c r="R92" s="2468"/>
      <c r="S92" s="2468"/>
      <c r="T92" s="2468"/>
      <c r="U92" s="2468"/>
      <c r="V92" s="2468"/>
      <c r="W92" s="2468"/>
      <c r="X92" s="2468"/>
      <c r="Y92" s="2468"/>
      <c r="Z92" s="2468"/>
      <c r="AA92" s="2468"/>
      <c r="AB92" s="2468"/>
      <c r="AC92" s="2468"/>
      <c r="AD92" s="2468"/>
      <c r="AE92" s="2468"/>
      <c r="AF92" s="2468"/>
      <c r="AG92" s="2468"/>
      <c r="AH92" s="2468"/>
      <c r="AI92" s="2468"/>
      <c r="AJ92" s="2468"/>
      <c r="AK92" s="2468"/>
      <c r="AL92" s="2468"/>
      <c r="AM92" s="2468"/>
      <c r="AN92" s="2468"/>
      <c r="AO92" s="2468"/>
      <c r="AP92" s="2468"/>
      <c r="AQ92" s="2468"/>
      <c r="AR92" s="2468"/>
      <c r="AS92" s="2468"/>
      <c r="AT92" s="2469"/>
      <c r="AU92" s="234"/>
      <c r="AW92" s="325"/>
      <c r="AX92" s="326"/>
      <c r="AY92" s="326"/>
      <c r="AZ92" s="327"/>
      <c r="BA92" s="328"/>
      <c r="BB92" s="316"/>
      <c r="BC92" s="316"/>
      <c r="BD92" s="315"/>
      <c r="BE92" s="315"/>
      <c r="BF92" s="317"/>
      <c r="BG92" s="318"/>
      <c r="BH92" s="319"/>
      <c r="BI92" s="320"/>
      <c r="BJ92" s="318"/>
      <c r="BK92" s="315"/>
      <c r="BL92" s="293"/>
      <c r="BM92" s="293"/>
      <c r="BN92" s="321"/>
      <c r="BO92" s="321"/>
      <c r="BP92" s="322"/>
      <c r="BR92" s="315"/>
      <c r="BU92" s="24"/>
      <c r="BV92" s="22"/>
      <c r="BW92" s="22"/>
      <c r="BX92" s="22"/>
      <c r="BY92" s="24"/>
      <c r="BZ92" s="1049" t="s">
        <v>3589</v>
      </c>
      <c r="CA92" s="1049" t="s">
        <v>3590</v>
      </c>
      <c r="CB92" s="1050" t="s">
        <v>3591</v>
      </c>
      <c r="CD92" s="145"/>
      <c r="CE92" s="145"/>
      <c r="CF92" s="145"/>
      <c r="CG92" s="38"/>
      <c r="CH92" s="65" t="s">
        <v>111</v>
      </c>
      <c r="CI92" s="65" t="s">
        <v>22</v>
      </c>
      <c r="CJ92" s="65">
        <v>40</v>
      </c>
      <c r="CK92" s="65" t="s">
        <v>216</v>
      </c>
      <c r="CL92" s="65" t="s">
        <v>90</v>
      </c>
      <c r="CM92" s="65"/>
      <c r="CN92" s="65"/>
      <c r="CO92" s="66" t="s">
        <v>110</v>
      </c>
      <c r="CP92" s="78" t="str">
        <f>ASC(SUBSTITUTE(SUBSTITUTE(記入シート1!I121,"ヴ","ウﾞ"),"・",""))</f>
        <v/>
      </c>
      <c r="CQ92" s="10"/>
      <c r="CR92" s="61"/>
      <c r="CS92" s="61"/>
      <c r="CT92" s="61"/>
      <c r="CU92" s="61"/>
      <c r="CV92" s="60"/>
      <c r="CW92" s="763" t="s">
        <v>2244</v>
      </c>
      <c r="CX92" s="763"/>
      <c r="CY92" s="761" t="s">
        <v>736</v>
      </c>
      <c r="CZ92" s="762" t="s">
        <v>1112</v>
      </c>
      <c r="DA92" s="761"/>
      <c r="DB92" s="97" t="str">
        <f t="shared" si="22"/>
        <v>937</v>
      </c>
      <c r="DC92" s="764" t="s">
        <v>2165</v>
      </c>
      <c r="DD92" s="98">
        <f>IF(AV64=TRUE,1,0)</f>
        <v>0</v>
      </c>
      <c r="DE92" s="147"/>
      <c r="DF92" s="90"/>
      <c r="DG92" s="90"/>
      <c r="DH92" s="547" t="s">
        <v>2244</v>
      </c>
      <c r="DI92" s="547" t="s">
        <v>2173</v>
      </c>
      <c r="DJ92" s="772"/>
      <c r="DK92" s="101" t="str">
        <f t="shared" si="15"/>
        <v>93701Q12</v>
      </c>
      <c r="DL92" s="105" t="s">
        <v>3357</v>
      </c>
      <c r="DM92" s="105" t="s">
        <v>3358</v>
      </c>
      <c r="DN92" s="773" t="str">
        <f>T(記入シート1!I67)</f>
        <v/>
      </c>
      <c r="DV92" s="38"/>
      <c r="DX92" s="115"/>
      <c r="DY92" s="115"/>
    </row>
    <row r="93" spans="1:129" ht="19.5" hidden="1" customHeight="1" thickBot="1">
      <c r="A93" s="447" t="s">
        <v>3574</v>
      </c>
      <c r="B93" s="361"/>
      <c r="C93" s="360"/>
      <c r="D93" s="246"/>
      <c r="E93" s="360"/>
      <c r="F93" s="360"/>
      <c r="G93" s="360"/>
      <c r="H93" s="360"/>
      <c r="I93" s="360"/>
      <c r="J93" s="360"/>
      <c r="K93" s="360"/>
      <c r="L93" s="212"/>
      <c r="M93" s="212"/>
      <c r="N93" s="212"/>
      <c r="O93" s="733"/>
      <c r="P93" s="254"/>
      <c r="Q93" s="213"/>
      <c r="R93" s="213"/>
      <c r="S93" s="213"/>
      <c r="T93" s="213"/>
      <c r="U93" s="213"/>
      <c r="V93" s="213"/>
      <c r="W93" s="213"/>
      <c r="X93" s="213"/>
      <c r="Y93" s="214"/>
      <c r="Z93" s="214"/>
      <c r="AA93" s="214"/>
      <c r="AB93" s="214"/>
      <c r="AC93" s="214"/>
      <c r="AD93" s="214"/>
      <c r="AE93" s="214"/>
      <c r="AF93" s="214"/>
      <c r="AG93" s="213"/>
      <c r="AH93" s="213"/>
      <c r="AI93" s="213"/>
      <c r="AJ93" s="213"/>
      <c r="AK93" s="253"/>
      <c r="AL93" s="253"/>
      <c r="AM93" s="215"/>
      <c r="AN93" s="215"/>
      <c r="AO93" s="253"/>
      <c r="AP93" s="253"/>
      <c r="AQ93" s="253"/>
      <c r="AR93" s="253"/>
      <c r="AS93" s="253"/>
      <c r="AT93" s="253"/>
      <c r="AU93" s="234"/>
      <c r="AW93" s="325"/>
      <c r="AX93" s="326"/>
      <c r="AY93" s="326"/>
      <c r="AZ93" s="327"/>
      <c r="BA93" s="328"/>
      <c r="BB93" s="316"/>
      <c r="BC93" s="316"/>
      <c r="BD93" s="315"/>
      <c r="BE93" s="315"/>
      <c r="BF93" s="317"/>
      <c r="BG93" s="318"/>
      <c r="BH93" s="319"/>
      <c r="BI93" s="320"/>
      <c r="BJ93" s="318"/>
      <c r="BK93" s="315"/>
      <c r="BL93" s="293"/>
      <c r="BM93" s="293"/>
      <c r="BN93" s="321"/>
      <c r="BO93" s="321"/>
      <c r="BP93" s="322"/>
      <c r="BR93" s="315"/>
      <c r="BV93" s="7"/>
      <c r="BW93" s="7"/>
      <c r="BX93" s="7"/>
      <c r="BZ93" s="1049" t="s">
        <v>3599</v>
      </c>
      <c r="CA93" s="1049" t="s">
        <v>3599</v>
      </c>
      <c r="CB93" s="1050" t="s">
        <v>3600</v>
      </c>
      <c r="CD93" s="145"/>
      <c r="CE93" s="145"/>
      <c r="CF93" s="145"/>
      <c r="CG93" s="38"/>
      <c r="CH93" s="65" t="s">
        <v>464</v>
      </c>
      <c r="CI93" s="65" t="s">
        <v>21</v>
      </c>
      <c r="CJ93" s="65">
        <v>40</v>
      </c>
      <c r="CK93" s="65" t="s">
        <v>216</v>
      </c>
      <c r="CL93" s="65" t="s">
        <v>451</v>
      </c>
      <c r="CM93" s="65"/>
      <c r="CN93" s="65"/>
      <c r="CO93" s="66" t="s">
        <v>112</v>
      </c>
      <c r="CP93" s="78" t="str">
        <f>T(記入シート1!I122)</f>
        <v/>
      </c>
      <c r="CQ93" s="10"/>
      <c r="CR93" s="61"/>
      <c r="CS93" s="61"/>
      <c r="CT93" s="61"/>
      <c r="CU93" s="61"/>
      <c r="CV93" s="60"/>
      <c r="CW93" s="763" t="s">
        <v>2153</v>
      </c>
      <c r="CX93" s="763"/>
      <c r="CY93" s="761" t="s">
        <v>736</v>
      </c>
      <c r="CZ93" s="762" t="s">
        <v>1112</v>
      </c>
      <c r="DA93" s="761"/>
      <c r="DB93" s="97" t="str">
        <f t="shared" si="22"/>
        <v>938</v>
      </c>
      <c r="DC93" s="764" t="s">
        <v>2166</v>
      </c>
      <c r="DD93" s="98">
        <f>IF(AV65=TRUE,1,0)</f>
        <v>0</v>
      </c>
      <c r="DE93" s="147"/>
      <c r="DF93" s="90"/>
      <c r="DG93" s="90"/>
      <c r="DH93" s="547" t="s">
        <v>2244</v>
      </c>
      <c r="DI93" s="547" t="s">
        <v>3219</v>
      </c>
      <c r="DJ93" s="772"/>
      <c r="DK93" s="101" t="str">
        <f t="shared" si="15"/>
        <v>93701Q13</v>
      </c>
      <c r="DL93" s="105" t="s">
        <v>3357</v>
      </c>
      <c r="DM93" s="105" t="s">
        <v>3359</v>
      </c>
      <c r="DN93" s="773" t="str">
        <f>ASC(記入シート1!I43)</f>
        <v/>
      </c>
      <c r="DV93" s="38"/>
      <c r="DX93" s="115"/>
      <c r="DY93" s="115"/>
    </row>
    <row r="94" spans="1:129" ht="19.5" hidden="1" customHeight="1" thickTop="1">
      <c r="A94" s="447" t="s">
        <v>1234</v>
      </c>
      <c r="B94" s="249"/>
      <c r="C94" s="2470" t="s">
        <v>976</v>
      </c>
      <c r="D94" s="2471"/>
      <c r="E94" s="2471"/>
      <c r="F94" s="2471"/>
      <c r="G94" s="2471"/>
      <c r="H94" s="2471"/>
      <c r="I94" s="2472"/>
      <c r="J94" s="2473" t="s">
        <v>972</v>
      </c>
      <c r="K94" s="2473"/>
      <c r="L94" s="2475" t="s">
        <v>980</v>
      </c>
      <c r="M94" s="2476"/>
      <c r="N94" s="2476"/>
      <c r="O94" s="2476"/>
      <c r="P94" s="2477"/>
      <c r="Q94" s="2481" t="s">
        <v>951</v>
      </c>
      <c r="R94" s="2481"/>
      <c r="S94" s="2481"/>
      <c r="T94" s="2481"/>
      <c r="U94" s="2481"/>
      <c r="V94" s="2481"/>
      <c r="W94" s="2481"/>
      <c r="X94" s="2481"/>
      <c r="Y94" s="2482" t="s">
        <v>983</v>
      </c>
      <c r="Z94" s="2482"/>
      <c r="AA94" s="2482"/>
      <c r="AB94" s="2482"/>
      <c r="AC94" s="2482"/>
      <c r="AD94" s="2482"/>
      <c r="AE94" s="2482"/>
      <c r="AF94" s="2483"/>
      <c r="AG94" s="2484" t="s">
        <v>850</v>
      </c>
      <c r="AH94" s="2485"/>
      <c r="AI94" s="2485"/>
      <c r="AJ94" s="2485"/>
      <c r="AK94" s="2485"/>
      <c r="AL94" s="2485"/>
      <c r="AM94" s="2485"/>
      <c r="AN94" s="2485"/>
      <c r="AO94" s="2485"/>
      <c r="AP94" s="2485"/>
      <c r="AQ94" s="2485"/>
      <c r="AR94" s="2485"/>
      <c r="AS94" s="2485"/>
      <c r="AT94" s="2486"/>
      <c r="AU94" s="234"/>
      <c r="AW94" s="334">
        <f>IF(AV96=TRUE,AV96*1,0)</f>
        <v>0</v>
      </c>
      <c r="AX94" s="334" t="str">
        <f>IF(AV96=TRUE,"端末登録月額固定費単価","")</f>
        <v/>
      </c>
      <c r="AY94" s="334"/>
      <c r="AZ94" s="334">
        <f>IF(SUM(AW94:AW95)&gt;0,1,0)</f>
        <v>0</v>
      </c>
      <c r="BA94" s="335"/>
      <c r="BB94" s="336" t="str">
        <f>BB23</f>
        <v>15</v>
      </c>
      <c r="BC94" s="336" t="s">
        <v>970</v>
      </c>
      <c r="BD94" s="335">
        <f>ROW(AV96)</f>
        <v>96</v>
      </c>
      <c r="BE94" s="335"/>
      <c r="BF94" s="337" t="str">
        <f>"106"&amp;BC94&amp;6</f>
        <v>106106066</v>
      </c>
      <c r="BG94" s="338"/>
      <c r="BH94" s="339" t="str">
        <f>AX94&amp;"→"</f>
        <v>→</v>
      </c>
      <c r="BI94" s="340">
        <v>10601</v>
      </c>
      <c r="BJ94" s="341">
        <f>AW94</f>
        <v>0</v>
      </c>
      <c r="BK94" s="71">
        <f>AZ94</f>
        <v>0</v>
      </c>
      <c r="BL94" s="2455">
        <v>0</v>
      </c>
      <c r="BM94" s="2455">
        <v>0</v>
      </c>
      <c r="BN94" s="344">
        <v>0</v>
      </c>
      <c r="BO94" s="344">
        <v>0</v>
      </c>
      <c r="BP94" s="342" t="str">
        <f>IF($AW94=0,"",Q96)</f>
        <v/>
      </c>
      <c r="BR94" s="71">
        <v>106</v>
      </c>
      <c r="BV94" s="7"/>
      <c r="BW94" s="7"/>
      <c r="BX94" s="22"/>
      <c r="BZ94" s="1051" t="s">
        <v>3601</v>
      </c>
      <c r="CA94" s="1049" t="s">
        <v>3601</v>
      </c>
      <c r="CB94" s="1050" t="s">
        <v>3602</v>
      </c>
      <c r="CD94" s="145"/>
      <c r="CE94" s="145"/>
      <c r="CF94" s="145"/>
      <c r="CG94" s="38"/>
      <c r="CH94" s="65" t="s">
        <v>107</v>
      </c>
      <c r="CI94" s="65" t="s">
        <v>21</v>
      </c>
      <c r="CJ94" s="65">
        <v>40</v>
      </c>
      <c r="CK94" s="65" t="s">
        <v>83</v>
      </c>
      <c r="CL94" s="65" t="s">
        <v>83</v>
      </c>
      <c r="CM94" s="65"/>
      <c r="CN94" s="65"/>
      <c r="CO94" s="66" t="s">
        <v>106</v>
      </c>
      <c r="CP94" s="78" t="str">
        <f>T(記入シート1!AE121)</f>
        <v/>
      </c>
      <c r="CQ94" s="10"/>
      <c r="CR94" s="61"/>
      <c r="CS94" s="61"/>
      <c r="CT94" s="61"/>
      <c r="CU94" s="61"/>
      <c r="CV94" s="60"/>
      <c r="CW94" s="763" t="s">
        <v>2154</v>
      </c>
      <c r="CX94" s="763"/>
      <c r="CY94" s="761" t="s">
        <v>736</v>
      </c>
      <c r="CZ94" s="762" t="s">
        <v>1112</v>
      </c>
      <c r="DA94" s="761"/>
      <c r="DB94" s="97" t="str">
        <f t="shared" si="22"/>
        <v>939</v>
      </c>
      <c r="DC94" s="764" t="s">
        <v>2167</v>
      </c>
      <c r="DD94" s="98">
        <f>IF(AV67=TRUE,1,0)</f>
        <v>0</v>
      </c>
      <c r="DE94" s="147"/>
      <c r="DF94" s="90"/>
      <c r="DG94" s="90"/>
      <c r="DH94" s="547" t="s">
        <v>2153</v>
      </c>
      <c r="DI94" s="547" t="s">
        <v>3220</v>
      </c>
      <c r="DJ94" s="772"/>
      <c r="DK94" s="101" t="str">
        <f t="shared" si="15"/>
        <v>93801Q22</v>
      </c>
      <c r="DL94" s="105" t="s">
        <v>3360</v>
      </c>
      <c r="DM94" s="105" t="s">
        <v>3361</v>
      </c>
      <c r="DN94" s="773" t="str">
        <f>ASC(AN65)</f>
        <v/>
      </c>
      <c r="DV94" s="38"/>
      <c r="DX94" s="115"/>
      <c r="DY94" s="115"/>
    </row>
    <row r="95" spans="1:129" ht="19.5" hidden="1" customHeight="1">
      <c r="A95" s="447" t="s">
        <v>1234</v>
      </c>
      <c r="B95" s="249"/>
      <c r="C95" s="2432"/>
      <c r="D95" s="2433"/>
      <c r="E95" s="2433"/>
      <c r="F95" s="2433"/>
      <c r="G95" s="2433"/>
      <c r="H95" s="2433"/>
      <c r="I95" s="2434"/>
      <c r="J95" s="2474"/>
      <c r="K95" s="2474"/>
      <c r="L95" s="2478"/>
      <c r="M95" s="2479"/>
      <c r="N95" s="2479"/>
      <c r="O95" s="2479"/>
      <c r="P95" s="2480"/>
      <c r="Q95" s="2456" t="s">
        <v>979</v>
      </c>
      <c r="R95" s="2456"/>
      <c r="S95" s="2456"/>
      <c r="T95" s="2456"/>
      <c r="U95" s="2457" t="s">
        <v>984</v>
      </c>
      <c r="V95" s="2457"/>
      <c r="W95" s="2457"/>
      <c r="X95" s="2457"/>
      <c r="Y95" s="2457" t="s">
        <v>985</v>
      </c>
      <c r="Z95" s="2457"/>
      <c r="AA95" s="2457"/>
      <c r="AB95" s="2457"/>
      <c r="AC95" s="2458" t="s">
        <v>986</v>
      </c>
      <c r="AD95" s="2458"/>
      <c r="AE95" s="2458"/>
      <c r="AF95" s="2459"/>
      <c r="AG95" s="2487"/>
      <c r="AH95" s="2488"/>
      <c r="AI95" s="2488"/>
      <c r="AJ95" s="2488"/>
      <c r="AK95" s="2488"/>
      <c r="AL95" s="2488"/>
      <c r="AM95" s="2488"/>
      <c r="AN95" s="2488"/>
      <c r="AO95" s="2488"/>
      <c r="AP95" s="2488"/>
      <c r="AQ95" s="2488"/>
      <c r="AR95" s="2488"/>
      <c r="AS95" s="2488"/>
      <c r="AT95" s="2489"/>
      <c r="AU95" s="234"/>
      <c r="AW95" s="334">
        <f>$AW$94</f>
        <v>0</v>
      </c>
      <c r="AX95" s="334" t="str">
        <f>IF(AV96=TRUE,"端末登録トランザクション費","")</f>
        <v/>
      </c>
      <c r="AY95" s="334"/>
      <c r="AZ95" s="334">
        <f>AZ94</f>
        <v>0</v>
      </c>
      <c r="BA95" s="335"/>
      <c r="BB95" s="336" t="str">
        <f>BB94</f>
        <v>15</v>
      </c>
      <c r="BC95" s="336" t="s">
        <v>971</v>
      </c>
      <c r="BD95" s="335">
        <f>ROW(AV96)</f>
        <v>96</v>
      </c>
      <c r="BE95" s="335"/>
      <c r="BF95" s="337" t="str">
        <f>"106"&amp;BC95&amp;7</f>
        <v>106106077</v>
      </c>
      <c r="BG95" s="338"/>
      <c r="BH95" s="345" t="str">
        <f>AX95&amp;"→"</f>
        <v>→</v>
      </c>
      <c r="BI95" s="340">
        <v>10601</v>
      </c>
      <c r="BJ95" s="338">
        <f>AW95</f>
        <v>0</v>
      </c>
      <c r="BK95" s="71">
        <f>AZ95</f>
        <v>0</v>
      </c>
      <c r="BL95" s="2455"/>
      <c r="BM95" s="2455"/>
      <c r="BN95" s="344">
        <v>0</v>
      </c>
      <c r="BO95" s="344">
        <v>0</v>
      </c>
      <c r="BP95" s="342" t="str">
        <f>IF($AW95=0,"",Y96)</f>
        <v/>
      </c>
      <c r="BR95" s="71">
        <v>106</v>
      </c>
      <c r="BW95" s="7"/>
      <c r="BX95" s="22"/>
      <c r="BZ95" s="1051" t="s">
        <v>3603</v>
      </c>
      <c r="CA95" s="1051" t="s">
        <v>3603</v>
      </c>
      <c r="CB95" s="1050" t="s">
        <v>3604</v>
      </c>
      <c r="CD95" s="145"/>
      <c r="CE95" s="145"/>
      <c r="CF95" s="145"/>
      <c r="CG95" s="38"/>
      <c r="CH95" s="65" t="s">
        <v>465</v>
      </c>
      <c r="CI95" s="65" t="s">
        <v>22</v>
      </c>
      <c r="CJ95" s="65">
        <v>15</v>
      </c>
      <c r="CK95" s="65" t="s">
        <v>216</v>
      </c>
      <c r="CL95" s="65" t="s">
        <v>387</v>
      </c>
      <c r="CM95" s="65"/>
      <c r="CN95" s="65"/>
      <c r="CO95" s="66" t="s">
        <v>105</v>
      </c>
      <c r="CP95" s="78" t="str">
        <f>IF(OR(記入シート1!AE122="",記入シート1!AK122="",記入シート1!AP122=""),"",ASC(記入シート1!AE122)&amp;"-"&amp;ASC(記入シート1!AK122)&amp;"-"&amp;ASC(記入シート1!AP122))</f>
        <v/>
      </c>
      <c r="CQ95" s="10"/>
      <c r="CR95" s="61"/>
      <c r="CS95" s="61"/>
      <c r="CT95" s="61"/>
      <c r="CU95" s="61"/>
      <c r="CV95" s="60"/>
      <c r="CW95" s="763" t="s">
        <v>3778</v>
      </c>
      <c r="CX95" s="763"/>
      <c r="CY95" s="761" t="s">
        <v>736</v>
      </c>
      <c r="CZ95" s="762" t="s">
        <v>1112</v>
      </c>
      <c r="DA95" s="761"/>
      <c r="DB95" s="97" t="s">
        <v>3779</v>
      </c>
      <c r="DC95" s="1159" t="s">
        <v>4407</v>
      </c>
      <c r="DD95" s="98">
        <f>IF(AV71=TRUE,1,0)</f>
        <v>0</v>
      </c>
      <c r="DE95" s="147"/>
      <c r="DF95" s="90"/>
      <c r="DG95" s="90"/>
      <c r="DH95" s="547" t="s">
        <v>2153</v>
      </c>
      <c r="DI95" s="547" t="s">
        <v>3221</v>
      </c>
      <c r="DJ95" s="772"/>
      <c r="DK95" s="101" t="str">
        <f t="shared" si="15"/>
        <v>93801Q23</v>
      </c>
      <c r="DL95" s="105" t="s">
        <v>3360</v>
      </c>
      <c r="DM95" s="105" t="s">
        <v>3362</v>
      </c>
      <c r="DN95" s="773" t="str">
        <f>UPPER(ASC(記入シート1!AE31))</f>
        <v/>
      </c>
      <c r="DV95" s="38"/>
      <c r="DX95" s="115"/>
      <c r="DY95" s="115"/>
    </row>
    <row r="96" spans="1:129" ht="19.5" hidden="1" customHeight="1">
      <c r="A96" s="447" t="s">
        <v>1234</v>
      </c>
      <c r="B96" s="249"/>
      <c r="C96" s="2129" t="s">
        <v>977</v>
      </c>
      <c r="D96" s="2027"/>
      <c r="E96" s="2027"/>
      <c r="F96" s="2027"/>
      <c r="G96" s="2027"/>
      <c r="H96" s="2027"/>
      <c r="I96" s="2027"/>
      <c r="J96" s="2027"/>
      <c r="K96" s="2027"/>
      <c r="L96" s="2499">
        <v>0</v>
      </c>
      <c r="M96" s="2500"/>
      <c r="N96" s="2500"/>
      <c r="O96" s="2500"/>
      <c r="P96" s="2500"/>
      <c r="Q96" s="2501">
        <v>0</v>
      </c>
      <c r="R96" s="2501"/>
      <c r="S96" s="2501"/>
      <c r="T96" s="2501"/>
      <c r="U96" s="2502">
        <f>Q96*AA126</f>
        <v>0</v>
      </c>
      <c r="V96" s="2502"/>
      <c r="W96" s="2502"/>
      <c r="X96" s="2502"/>
      <c r="Y96" s="2503">
        <v>0</v>
      </c>
      <c r="Z96" s="2504"/>
      <c r="AA96" s="2504"/>
      <c r="AB96" s="2504"/>
      <c r="AC96" s="2504"/>
      <c r="AD96" s="1903" t="s">
        <v>1000</v>
      </c>
      <c r="AE96" s="1903"/>
      <c r="AF96" s="1904"/>
      <c r="AG96" s="1905" t="s">
        <v>1006</v>
      </c>
      <c r="AH96" s="1906"/>
      <c r="AI96" s="1906"/>
      <c r="AJ96" s="1906"/>
      <c r="AK96" s="1906"/>
      <c r="AL96" s="1906"/>
      <c r="AM96" s="1906"/>
      <c r="AN96" s="1906"/>
      <c r="AO96" s="1906"/>
      <c r="AP96" s="1906"/>
      <c r="AQ96" s="1906"/>
      <c r="AR96" s="1906"/>
      <c r="AS96" s="1906"/>
      <c r="AT96" s="1907"/>
      <c r="AU96" s="234"/>
      <c r="AV96" s="199" t="b">
        <v>0</v>
      </c>
      <c r="AW96" s="351">
        <f>IF(AV97=TRUE,AV97*1,0)</f>
        <v>0</v>
      </c>
      <c r="AX96" s="334" t="str">
        <f>IF(AV97=TRUE,"端末登録月額固定費　単価","")</f>
        <v/>
      </c>
      <c r="AY96" s="359" t="str">
        <f>TEXT(BR96,"000")</f>
        <v>707</v>
      </c>
      <c r="AZ96" s="351">
        <f>IF(SUM(AW96:AW97)&gt;0,1,0)</f>
        <v>0</v>
      </c>
      <c r="BA96" s="71"/>
      <c r="BB96" s="142" t="s">
        <v>995</v>
      </c>
      <c r="BC96" s="142" t="s">
        <v>992</v>
      </c>
      <c r="BD96" s="335">
        <f>ROW($AV$97)</f>
        <v>97</v>
      </c>
      <c r="BE96" s="71"/>
      <c r="BF96" s="352" t="str">
        <f>"707"&amp;BC96&amp;8</f>
        <v>707707018</v>
      </c>
      <c r="BG96" s="341"/>
      <c r="BH96" s="339" t="str">
        <f>AX96&amp;"→"</f>
        <v>→</v>
      </c>
      <c r="BI96" s="353">
        <v>70601</v>
      </c>
      <c r="BJ96" s="341">
        <f>AW96</f>
        <v>0</v>
      </c>
      <c r="BK96" s="71">
        <f>AZ96</f>
        <v>0</v>
      </c>
      <c r="BL96" s="2490">
        <v>0</v>
      </c>
      <c r="BM96" s="2490">
        <v>0</v>
      </c>
      <c r="BN96" s="344">
        <v>0</v>
      </c>
      <c r="BO96" s="344">
        <v>0</v>
      </c>
      <c r="BP96" s="342" t="str">
        <f>IF($AW96=0,"",Q97)</f>
        <v/>
      </c>
      <c r="BR96" s="71">
        <v>707</v>
      </c>
      <c r="BW96" s="7"/>
      <c r="BX96" s="22"/>
      <c r="BZ96" s="1049" t="s">
        <v>3605</v>
      </c>
      <c r="CA96" s="1049" t="s">
        <v>3605</v>
      </c>
      <c r="CB96" s="1050" t="s">
        <v>3606</v>
      </c>
      <c r="CD96" s="145"/>
      <c r="CE96" s="145"/>
      <c r="CF96" s="145"/>
      <c r="CG96" s="38"/>
      <c r="CH96" s="65" t="s">
        <v>467</v>
      </c>
      <c r="CI96" s="65" t="s">
        <v>22</v>
      </c>
      <c r="CJ96" s="65">
        <v>128</v>
      </c>
      <c r="CK96" s="65" t="s">
        <v>216</v>
      </c>
      <c r="CL96" s="65" t="s">
        <v>387</v>
      </c>
      <c r="CM96" s="65"/>
      <c r="CN96" s="65"/>
      <c r="CO96" s="66" t="s">
        <v>102</v>
      </c>
      <c r="CP96" s="78" t="str">
        <f>ASC(記入シート1!AE123)</f>
        <v/>
      </c>
      <c r="CQ96" s="10"/>
      <c r="CR96" s="61"/>
      <c r="CS96" s="61"/>
      <c r="CT96" s="61"/>
      <c r="CU96" s="61"/>
      <c r="CV96" s="60"/>
      <c r="CW96" s="763" t="s">
        <v>2156</v>
      </c>
      <c r="CX96" s="763"/>
      <c r="CY96" s="761" t="s">
        <v>736</v>
      </c>
      <c r="CZ96" s="762" t="s">
        <v>1112</v>
      </c>
      <c r="DA96" s="761"/>
      <c r="DB96" s="97" t="str">
        <f t="shared" si="22"/>
        <v>941</v>
      </c>
      <c r="DC96" s="764" t="s">
        <v>3549</v>
      </c>
      <c r="DD96" s="98">
        <f>IF(AV75=TRUE,1,0)</f>
        <v>0</v>
      </c>
      <c r="DE96" s="147"/>
      <c r="DF96" s="90"/>
      <c r="DG96" s="90"/>
      <c r="DH96" s="547" t="s">
        <v>2153</v>
      </c>
      <c r="DI96" s="547" t="s">
        <v>3222</v>
      </c>
      <c r="DJ96" s="772"/>
      <c r="DK96" s="101" t="str">
        <f t="shared" si="15"/>
        <v>93801Q24</v>
      </c>
      <c r="DL96" s="105" t="s">
        <v>3360</v>
      </c>
      <c r="DM96" s="105" t="s">
        <v>3363</v>
      </c>
      <c r="DN96" s="773" t="str">
        <f>IF(OR(AV66="00",AV66=""),"",ASC(AV66))</f>
        <v>28</v>
      </c>
      <c r="DV96" s="38"/>
      <c r="DX96" s="115"/>
      <c r="DY96" s="115"/>
    </row>
    <row r="97" spans="1:129" ht="19.5" hidden="1" customHeight="1" thickBot="1">
      <c r="A97" s="447" t="s">
        <v>1234</v>
      </c>
      <c r="B97" s="249"/>
      <c r="C97" s="2129" t="s">
        <v>987</v>
      </c>
      <c r="D97" s="2027"/>
      <c r="E97" s="2027"/>
      <c r="F97" s="2027"/>
      <c r="G97" s="2027"/>
      <c r="H97" s="2027"/>
      <c r="I97" s="2027"/>
      <c r="J97" s="2027"/>
      <c r="K97" s="2027"/>
      <c r="L97" s="2493">
        <v>0</v>
      </c>
      <c r="M97" s="2494"/>
      <c r="N97" s="2494"/>
      <c r="O97" s="2494"/>
      <c r="P97" s="2494"/>
      <c r="Q97" s="2495">
        <v>0</v>
      </c>
      <c r="R97" s="2495"/>
      <c r="S97" s="2495"/>
      <c r="T97" s="2495"/>
      <c r="U97" s="2496">
        <f>Q97*AA126</f>
        <v>0</v>
      </c>
      <c r="V97" s="2496"/>
      <c r="W97" s="2496"/>
      <c r="X97" s="2496"/>
      <c r="Y97" s="2497">
        <v>0</v>
      </c>
      <c r="Z97" s="2498"/>
      <c r="AA97" s="2498"/>
      <c r="AB97" s="358" t="s">
        <v>1000</v>
      </c>
      <c r="AC97" s="2505">
        <v>0</v>
      </c>
      <c r="AD97" s="2506"/>
      <c r="AE97" s="2506"/>
      <c r="AF97" s="357" t="s">
        <v>1000</v>
      </c>
      <c r="AG97" s="1908"/>
      <c r="AH97" s="1909"/>
      <c r="AI97" s="1909"/>
      <c r="AJ97" s="1909"/>
      <c r="AK97" s="1909"/>
      <c r="AL97" s="1909"/>
      <c r="AM97" s="1909"/>
      <c r="AN97" s="1909"/>
      <c r="AO97" s="1909"/>
      <c r="AP97" s="1909"/>
      <c r="AQ97" s="1909"/>
      <c r="AR97" s="1909"/>
      <c r="AS97" s="1909"/>
      <c r="AT97" s="1910"/>
      <c r="AU97" s="234"/>
      <c r="AV97" s="199" t="b">
        <v>0</v>
      </c>
      <c r="AW97" s="351">
        <f>$AW$96</f>
        <v>0</v>
      </c>
      <c r="AX97" s="334" t="str">
        <f>IF(AV97=TRUE,"端末登録　登録トランザクション費用(正常完了)","")</f>
        <v/>
      </c>
      <c r="AY97" s="351"/>
      <c r="AZ97" s="351">
        <f>AZ96</f>
        <v>0</v>
      </c>
      <c r="BA97" s="71"/>
      <c r="BB97" s="142" t="str">
        <f>BB96</f>
        <v>00</v>
      </c>
      <c r="BC97" s="142" t="s">
        <v>993</v>
      </c>
      <c r="BD97" s="335">
        <f>ROW($AV$97)</f>
        <v>97</v>
      </c>
      <c r="BE97" s="71"/>
      <c r="BF97" s="352" t="str">
        <f>"707"&amp;BC97&amp;9</f>
        <v>707707029</v>
      </c>
      <c r="BG97" s="341"/>
      <c r="BH97" s="339" t="str">
        <f>AX97&amp;"→"</f>
        <v>→</v>
      </c>
      <c r="BI97" s="353">
        <v>70601</v>
      </c>
      <c r="BJ97" s="341">
        <f>AW97</f>
        <v>0</v>
      </c>
      <c r="BK97" s="71">
        <f>AZ97</f>
        <v>0</v>
      </c>
      <c r="BL97" s="2491"/>
      <c r="BM97" s="2491"/>
      <c r="BN97" s="344">
        <v>0</v>
      </c>
      <c r="BO97" s="344">
        <v>0</v>
      </c>
      <c r="BP97" s="342" t="str">
        <f>IF($AW97=0,"",Y97)</f>
        <v/>
      </c>
      <c r="BR97" s="71">
        <v>707</v>
      </c>
      <c r="BX97" s="7"/>
      <c r="BY97" s="2"/>
      <c r="BZ97" s="1051" t="s">
        <v>3607</v>
      </c>
      <c r="CA97" s="1049" t="s">
        <v>3607</v>
      </c>
      <c r="CB97" s="1050" t="s">
        <v>3608</v>
      </c>
      <c r="CD97" s="145"/>
      <c r="CE97" s="145"/>
      <c r="CF97" s="145"/>
      <c r="CG97" s="38"/>
      <c r="CH97" s="65" t="s">
        <v>468</v>
      </c>
      <c r="CI97" s="65" t="s">
        <v>22</v>
      </c>
      <c r="CJ97" s="65">
        <v>40</v>
      </c>
      <c r="CK97" s="65" t="s">
        <v>216</v>
      </c>
      <c r="CL97" s="65" t="s">
        <v>387</v>
      </c>
      <c r="CM97" s="65"/>
      <c r="CN97" s="65"/>
      <c r="CO97" s="66" t="s">
        <v>99</v>
      </c>
      <c r="CP97" s="78" t="str">
        <f>ASC(SUBSTITUTE(SUBSTITUTE(SUBSTITUTE(SUBSTITUTE(記入シート1!I124,"ヴ","ウﾞ"),"・",""),"　","")," ",""))&amp;" "&amp;ASC(SUBSTITUTE(SUBSTITUTE(SUBSTITUTE(SUBSTITUTE(記入シート1!Q124,"ヴ","ウﾞ"),"・",""),"　","")," ",""))</f>
        <v xml:space="preserve"> </v>
      </c>
      <c r="CQ97" s="10"/>
      <c r="CR97" s="61"/>
      <c r="CS97" s="61"/>
      <c r="CT97" s="61"/>
      <c r="CU97" s="61"/>
      <c r="CV97" s="60"/>
      <c r="CW97" s="763" t="s">
        <v>3775</v>
      </c>
      <c r="CX97" s="763"/>
      <c r="CY97" s="761" t="s">
        <v>736</v>
      </c>
      <c r="CZ97" s="762" t="s">
        <v>1112</v>
      </c>
      <c r="DA97" s="761"/>
      <c r="DB97" s="97" t="str">
        <f t="shared" si="22"/>
        <v>943</v>
      </c>
      <c r="DC97" s="764" t="s">
        <v>3780</v>
      </c>
      <c r="DD97" s="98">
        <f>IF(AV50=TRUE,1,0)</f>
        <v>0</v>
      </c>
      <c r="DE97" s="147"/>
      <c r="DF97" s="90"/>
      <c r="DG97" s="90"/>
      <c r="DH97" s="547" t="s">
        <v>2153</v>
      </c>
      <c r="DI97" s="547" t="s">
        <v>3223</v>
      </c>
      <c r="DJ97" s="771" t="s">
        <v>3350</v>
      </c>
      <c r="DK97" s="101" t="str">
        <f t="shared" si="15"/>
        <v>93801Q25</v>
      </c>
      <c r="DL97" s="105" t="s">
        <v>3360</v>
      </c>
      <c r="DM97" s="105" t="s">
        <v>3364</v>
      </c>
      <c r="DN97" s="773" t="str">
        <f>IF(AW66=1,"0","1")</f>
        <v>1</v>
      </c>
      <c r="DV97" s="38"/>
      <c r="DX97" s="115"/>
      <c r="DY97" s="115"/>
    </row>
    <row r="98" spans="1:129" ht="19.5" hidden="1" customHeight="1" thickTop="1">
      <c r="A98" s="447" t="s">
        <v>1234</v>
      </c>
      <c r="B98" s="249"/>
      <c r="C98" s="2507" t="s">
        <v>988</v>
      </c>
      <c r="D98" s="2508"/>
      <c r="E98" s="2508"/>
      <c r="F98" s="2508"/>
      <c r="G98" s="2508"/>
      <c r="H98" s="2513"/>
      <c r="I98" s="2513"/>
      <c r="J98" s="2513"/>
      <c r="K98" s="2514"/>
      <c r="L98" s="2515" t="s">
        <v>998</v>
      </c>
      <c r="M98" s="2516"/>
      <c r="N98" s="2517"/>
      <c r="O98" s="1911" t="s">
        <v>999</v>
      </c>
      <c r="P98" s="2518"/>
      <c r="Q98" s="1911" t="s">
        <v>981</v>
      </c>
      <c r="R98" s="1912"/>
      <c r="S98" s="1912"/>
      <c r="T98" s="1912"/>
      <c r="U98" s="1912"/>
      <c r="V98" s="1912"/>
      <c r="W98" s="1912"/>
      <c r="X98" s="2518"/>
      <c r="Y98" s="1911" t="s">
        <v>978</v>
      </c>
      <c r="Z98" s="1912"/>
      <c r="AA98" s="1912"/>
      <c r="AB98" s="1912"/>
      <c r="AC98" s="1912"/>
      <c r="AD98" s="1912"/>
      <c r="AE98" s="1912"/>
      <c r="AF98" s="2518"/>
      <c r="AG98" s="1911" t="s">
        <v>982</v>
      </c>
      <c r="AH98" s="1912"/>
      <c r="AI98" s="1912"/>
      <c r="AJ98" s="1912"/>
      <c r="AK98" s="1912"/>
      <c r="AL98" s="1912"/>
      <c r="AM98" s="1912"/>
      <c r="AN98" s="1912"/>
      <c r="AO98" s="1912"/>
      <c r="AP98" s="1912"/>
      <c r="AQ98" s="1912"/>
      <c r="AR98" s="1912"/>
      <c r="AS98" s="1912"/>
      <c r="AT98" s="1913"/>
      <c r="AU98" s="234"/>
      <c r="AW98" s="351">
        <f>$AW$96</f>
        <v>0</v>
      </c>
      <c r="AX98" s="351" t="str">
        <f>IF(AV97=TRUE,"端末登録　登録トランザクション費用(未完了)","")</f>
        <v/>
      </c>
      <c r="AY98" s="351"/>
      <c r="AZ98" s="351">
        <f>AZ97</f>
        <v>0</v>
      </c>
      <c r="BA98" s="71"/>
      <c r="BB98" s="142" t="str">
        <f>BB97</f>
        <v>00</v>
      </c>
      <c r="BC98" s="142" t="s">
        <v>994</v>
      </c>
      <c r="BD98" s="71">
        <f>ROW($AV$97)</f>
        <v>97</v>
      </c>
      <c r="BE98" s="71"/>
      <c r="BF98" s="352" t="str">
        <f>"707"&amp;BC98&amp;10</f>
        <v>7077070310</v>
      </c>
      <c r="BG98" s="341"/>
      <c r="BH98" s="339" t="str">
        <f>AX98&amp;"→"</f>
        <v>→</v>
      </c>
      <c r="BI98" s="353">
        <v>70601</v>
      </c>
      <c r="BJ98" s="341">
        <f>AW98</f>
        <v>0</v>
      </c>
      <c r="BK98" s="71">
        <f>AZ98</f>
        <v>0</v>
      </c>
      <c r="BL98" s="2492"/>
      <c r="BM98" s="2492"/>
      <c r="BN98" s="344">
        <v>0</v>
      </c>
      <c r="BO98" s="344">
        <v>0</v>
      </c>
      <c r="BP98" s="342" t="str">
        <f>IF($AW98=0,"",AC97)</f>
        <v/>
      </c>
      <c r="BQ98" s="21"/>
      <c r="BR98" s="71">
        <v>707</v>
      </c>
      <c r="BX98" s="7"/>
      <c r="BZ98" s="1051" t="s">
        <v>3609</v>
      </c>
      <c r="CA98" s="1049" t="s">
        <v>3610</v>
      </c>
      <c r="CB98" s="1050" t="s">
        <v>3611</v>
      </c>
      <c r="CD98" s="145"/>
      <c r="CE98" s="145"/>
      <c r="CF98" s="145"/>
      <c r="CG98" s="38"/>
      <c r="CH98" s="65" t="s">
        <v>101</v>
      </c>
      <c r="CI98" s="65" t="s">
        <v>21</v>
      </c>
      <c r="CJ98" s="65">
        <v>40</v>
      </c>
      <c r="CK98" s="65" t="s">
        <v>216</v>
      </c>
      <c r="CL98" s="65" t="s">
        <v>90</v>
      </c>
      <c r="CM98" s="65"/>
      <c r="CN98" s="65"/>
      <c r="CO98" s="66" t="s">
        <v>100</v>
      </c>
      <c r="CP98" s="78" t="str">
        <f>T(SUBSTITUTE(SUBSTITUTE(記入シート1!I125,"　","")," ",""))&amp;"　"&amp;T(SUBSTITUTE(SUBSTITUTE(記入シート1!Q125,"　","")," ",""))</f>
        <v>　</v>
      </c>
      <c r="CQ98" s="10"/>
      <c r="CR98" s="61"/>
      <c r="CS98" s="61"/>
      <c r="CT98" s="61"/>
      <c r="CU98" s="61"/>
      <c r="CV98" s="60"/>
      <c r="CW98" s="763" t="s">
        <v>3772</v>
      </c>
      <c r="CX98" s="763"/>
      <c r="CY98" s="761" t="s">
        <v>736</v>
      </c>
      <c r="CZ98" s="762" t="s">
        <v>1112</v>
      </c>
      <c r="DA98" s="761"/>
      <c r="DB98" s="97" t="str">
        <f t="shared" si="22"/>
        <v>944</v>
      </c>
      <c r="DC98" s="764" t="s">
        <v>3781</v>
      </c>
      <c r="DD98" s="98">
        <f>IF(AV78=TRUE,1,0)</f>
        <v>0</v>
      </c>
      <c r="DE98" s="147"/>
      <c r="DF98" s="90"/>
      <c r="DG98" s="90"/>
      <c r="DH98" s="547" t="s">
        <v>2154</v>
      </c>
      <c r="DI98" s="547" t="s">
        <v>3224</v>
      </c>
      <c r="DJ98" s="772"/>
      <c r="DK98" s="101" t="str">
        <f t="shared" si="15"/>
        <v>93901Q32</v>
      </c>
      <c r="DL98" s="105" t="s">
        <v>3366</v>
      </c>
      <c r="DM98" s="105" t="s">
        <v>3367</v>
      </c>
      <c r="DN98" s="851" t="str">
        <f>""</f>
        <v/>
      </c>
      <c r="DV98" s="38"/>
      <c r="DX98" s="115"/>
      <c r="DY98" s="115"/>
    </row>
    <row r="99" spans="1:129" ht="19.5" hidden="1" customHeight="1">
      <c r="A99" s="447" t="s">
        <v>1234</v>
      </c>
      <c r="B99" s="249"/>
      <c r="C99" s="2509"/>
      <c r="D99" s="2510"/>
      <c r="E99" s="2510"/>
      <c r="F99" s="2510"/>
      <c r="G99" s="2510"/>
      <c r="H99" s="1914" t="s">
        <v>977</v>
      </c>
      <c r="I99" s="1915"/>
      <c r="J99" s="1915"/>
      <c r="K99" s="1916"/>
      <c r="L99" s="1917"/>
      <c r="M99" s="1917"/>
      <c r="N99" s="1917"/>
      <c r="O99" s="1917"/>
      <c r="P99" s="1917"/>
      <c r="Q99" s="1918"/>
      <c r="R99" s="1918"/>
      <c r="S99" s="1918"/>
      <c r="T99" s="1918"/>
      <c r="U99" s="1918"/>
      <c r="V99" s="1918"/>
      <c r="W99" s="1918"/>
      <c r="X99" s="1918"/>
      <c r="Y99" s="1918"/>
      <c r="Z99" s="1918"/>
      <c r="AA99" s="1918"/>
      <c r="AB99" s="1918"/>
      <c r="AC99" s="1918"/>
      <c r="AD99" s="1918"/>
      <c r="AE99" s="1918"/>
      <c r="AF99" s="1919"/>
      <c r="AG99" s="2522"/>
      <c r="AH99" s="2523"/>
      <c r="AI99" s="2526" t="s">
        <v>990</v>
      </c>
      <c r="AJ99" s="2527"/>
      <c r="AK99" s="2527"/>
      <c r="AL99" s="2527"/>
      <c r="AM99" s="2527"/>
      <c r="AN99" s="2527"/>
      <c r="AO99" s="2527"/>
      <c r="AP99" s="2527"/>
      <c r="AQ99" s="2527"/>
      <c r="AR99" s="2527"/>
      <c r="AS99" s="2527"/>
      <c r="AT99" s="2528"/>
      <c r="AU99" s="234"/>
      <c r="AV99" s="199" t="b">
        <v>0</v>
      </c>
      <c r="AW99" s="314"/>
      <c r="AX99" s="314"/>
      <c r="AY99" s="314"/>
      <c r="AZ99" s="314"/>
      <c r="BA99" s="315"/>
      <c r="BB99" s="316"/>
      <c r="BC99" s="316"/>
      <c r="BD99" s="315"/>
      <c r="BE99" s="315"/>
      <c r="BF99" s="317"/>
      <c r="BG99" s="318"/>
      <c r="BH99" s="319"/>
      <c r="BI99" s="320"/>
      <c r="BJ99" s="318"/>
      <c r="BK99" s="315"/>
      <c r="BL99" s="293"/>
      <c r="BM99" s="293"/>
      <c r="BN99" s="321"/>
      <c r="BO99" s="321"/>
      <c r="BP99" s="322"/>
      <c r="BR99" s="315"/>
      <c r="BX99" s="22"/>
      <c r="BZ99" s="1049" t="s">
        <v>3612</v>
      </c>
      <c r="CA99" s="1049" t="s">
        <v>3612</v>
      </c>
      <c r="CB99" s="1050" t="s">
        <v>3613</v>
      </c>
      <c r="CC99" s="21"/>
      <c r="CD99" s="145"/>
      <c r="CE99" s="145"/>
      <c r="CF99" s="145"/>
      <c r="CG99" s="38"/>
      <c r="CH99" s="65" t="s">
        <v>469</v>
      </c>
      <c r="CI99" s="65" t="s">
        <v>21</v>
      </c>
      <c r="CJ99" s="65">
        <v>40</v>
      </c>
      <c r="CK99" s="65" t="s">
        <v>83</v>
      </c>
      <c r="CL99" s="65" t="s">
        <v>83</v>
      </c>
      <c r="CM99" s="65"/>
      <c r="CN99" s="65"/>
      <c r="CO99" s="66" t="s">
        <v>96</v>
      </c>
      <c r="CP99" s="78" t="str">
        <f>T(記入シート1!AE124)</f>
        <v/>
      </c>
      <c r="CQ99" s="10"/>
      <c r="CR99" s="61"/>
      <c r="CS99" s="61"/>
      <c r="CT99" s="61"/>
      <c r="CU99" s="61"/>
      <c r="CV99" s="60"/>
      <c r="CW99" s="763" t="s">
        <v>3783</v>
      </c>
      <c r="CX99" s="765"/>
      <c r="CY99" s="761" t="s">
        <v>736</v>
      </c>
      <c r="CZ99" s="762" t="s">
        <v>1112</v>
      </c>
      <c r="DA99" s="766"/>
      <c r="DB99" s="97" t="str">
        <f t="shared" si="22"/>
        <v>112</v>
      </c>
      <c r="DC99" s="764" t="s">
        <v>3782</v>
      </c>
      <c r="DD99" s="98">
        <f>IF(AV34=TRUE,1,0)</f>
        <v>0</v>
      </c>
      <c r="DE99" s="147"/>
      <c r="DF99" s="90"/>
      <c r="DG99" s="90"/>
      <c r="DH99" s="547" t="s">
        <v>2154</v>
      </c>
      <c r="DI99" s="547" t="s">
        <v>3225</v>
      </c>
      <c r="DJ99" s="772"/>
      <c r="DK99" s="101" t="str">
        <f t="shared" si="15"/>
        <v>93901Q33</v>
      </c>
      <c r="DL99" s="105" t="s">
        <v>3366</v>
      </c>
      <c r="DM99" s="105" t="s">
        <v>3368</v>
      </c>
      <c r="DN99" s="851" t="str">
        <f>""</f>
        <v/>
      </c>
      <c r="DV99" s="38"/>
      <c r="DX99" s="115"/>
      <c r="DY99" s="115"/>
    </row>
    <row r="100" spans="1:129" ht="19.5" hidden="1" customHeight="1" thickBot="1">
      <c r="A100" s="447" t="s">
        <v>1234</v>
      </c>
      <c r="B100" s="249"/>
      <c r="C100" s="2511"/>
      <c r="D100" s="2512"/>
      <c r="E100" s="2512"/>
      <c r="F100" s="2512"/>
      <c r="G100" s="2512"/>
      <c r="H100" s="2532" t="s">
        <v>989</v>
      </c>
      <c r="I100" s="2533"/>
      <c r="J100" s="2533"/>
      <c r="K100" s="2534"/>
      <c r="L100" s="2519"/>
      <c r="M100" s="2519"/>
      <c r="N100" s="2519"/>
      <c r="O100" s="2519"/>
      <c r="P100" s="2519"/>
      <c r="Q100" s="2520"/>
      <c r="R100" s="2520"/>
      <c r="S100" s="2520"/>
      <c r="T100" s="2520"/>
      <c r="U100" s="2520"/>
      <c r="V100" s="2520"/>
      <c r="W100" s="2520"/>
      <c r="X100" s="2520"/>
      <c r="Y100" s="2520"/>
      <c r="Z100" s="2520"/>
      <c r="AA100" s="2520"/>
      <c r="AB100" s="2520"/>
      <c r="AC100" s="2520"/>
      <c r="AD100" s="2520"/>
      <c r="AE100" s="2520"/>
      <c r="AF100" s="2521"/>
      <c r="AG100" s="2524"/>
      <c r="AH100" s="2525"/>
      <c r="AI100" s="2529"/>
      <c r="AJ100" s="2530"/>
      <c r="AK100" s="2530"/>
      <c r="AL100" s="2530"/>
      <c r="AM100" s="2530"/>
      <c r="AN100" s="2530"/>
      <c r="AO100" s="2530"/>
      <c r="AP100" s="2530"/>
      <c r="AQ100" s="2530"/>
      <c r="AR100" s="2530"/>
      <c r="AS100" s="2530"/>
      <c r="AT100" s="2531"/>
      <c r="AU100" s="234"/>
      <c r="AW100" s="314"/>
      <c r="AX100" s="314"/>
      <c r="AY100" s="314"/>
      <c r="AZ100" s="314"/>
      <c r="BA100" s="315"/>
      <c r="BB100" s="316"/>
      <c r="BC100" s="316"/>
      <c r="BD100" s="315"/>
      <c r="BE100" s="315"/>
      <c r="BF100" s="317"/>
      <c r="BG100" s="318"/>
      <c r="BH100" s="319"/>
      <c r="BI100" s="320"/>
      <c r="BJ100" s="318"/>
      <c r="BK100" s="315"/>
      <c r="BL100" s="293"/>
      <c r="BM100" s="293"/>
      <c r="BN100" s="321"/>
      <c r="BO100" s="321"/>
      <c r="BP100" s="322"/>
      <c r="BR100" s="315"/>
      <c r="BX100" s="22"/>
      <c r="BZ100" s="1051" t="s">
        <v>3614</v>
      </c>
      <c r="CA100" s="1049" t="s">
        <v>3615</v>
      </c>
      <c r="CB100" s="1050" t="s">
        <v>3616</v>
      </c>
      <c r="CC100" s="21"/>
      <c r="CD100" s="145"/>
      <c r="CE100" s="145"/>
      <c r="CF100" s="145"/>
      <c r="CG100" s="38"/>
      <c r="CH100" s="65" t="s">
        <v>470</v>
      </c>
      <c r="CI100" s="65" t="s">
        <v>22</v>
      </c>
      <c r="CJ100" s="65">
        <v>15</v>
      </c>
      <c r="CK100" s="65" t="s">
        <v>216</v>
      </c>
      <c r="CL100" s="65" t="s">
        <v>392</v>
      </c>
      <c r="CM100" s="65"/>
      <c r="CN100" s="65"/>
      <c r="CO100" s="66" t="s">
        <v>95</v>
      </c>
      <c r="CP100" s="78" t="str">
        <f>ASC(記入シート1!AE125)&amp;"-"&amp;ASC(記入シート1!AK125)&amp;"-"&amp;ASC(記入シート1!AP125)</f>
        <v>--</v>
      </c>
      <c r="CQ100" s="10"/>
      <c r="CR100" s="61"/>
      <c r="CS100" s="61"/>
      <c r="CT100" s="61"/>
      <c r="CU100" s="61"/>
      <c r="CV100" s="60"/>
      <c r="CW100" s="1385" t="s">
        <v>5130</v>
      </c>
      <c r="CX100" s="765"/>
      <c r="CY100" s="761" t="s">
        <v>5131</v>
      </c>
      <c r="CZ100" s="762" t="s">
        <v>1112</v>
      </c>
      <c r="DA100" s="766"/>
      <c r="DB100" s="97" t="str">
        <f t="shared" ref="DB100" si="23">LEFT(DC100,3)</f>
        <v>945</v>
      </c>
      <c r="DC100" s="1159" t="s">
        <v>5132</v>
      </c>
      <c r="DD100" s="98">
        <f>IF(AV79=TRUE,1,0)</f>
        <v>0</v>
      </c>
      <c r="DE100" s="147"/>
      <c r="DF100" s="90"/>
      <c r="DG100" s="90"/>
      <c r="DH100" s="547" t="s">
        <v>2154</v>
      </c>
      <c r="DI100" s="547" t="s">
        <v>2173</v>
      </c>
      <c r="DJ100" s="772"/>
      <c r="DK100" s="101" t="str">
        <f t="shared" si="15"/>
        <v>93901Q34</v>
      </c>
      <c r="DL100" s="105" t="s">
        <v>3366</v>
      </c>
      <c r="DM100" s="105" t="s">
        <v>3369</v>
      </c>
      <c r="DN100" s="773" t="str">
        <f>T(記入シート1!I67)</f>
        <v/>
      </c>
      <c r="DV100" s="34"/>
      <c r="DX100" s="115"/>
      <c r="DY100" s="115"/>
    </row>
    <row r="101" spans="1:129" ht="19.5" hidden="1" customHeight="1" thickBot="1">
      <c r="A101" s="447" t="s">
        <v>1234</v>
      </c>
      <c r="B101" s="249"/>
      <c r="C101" s="350"/>
      <c r="D101" s="350"/>
      <c r="E101" s="350"/>
      <c r="F101" s="350"/>
      <c r="G101" s="350"/>
      <c r="H101" s="350"/>
      <c r="I101" s="350"/>
      <c r="J101" s="350"/>
      <c r="K101" s="350"/>
      <c r="L101" s="730" t="str">
        <f>IF(OR(AV96=TRUE,AV97=TRUE),"↑マーチャントID/サービスIDについては、既にオンラインASP決済サービスをご利用の場合のみご記入ください。","")</f>
        <v/>
      </c>
      <c r="M101" s="604"/>
      <c r="N101" s="605"/>
      <c r="O101" s="605"/>
      <c r="P101" s="605"/>
      <c r="Q101" s="605"/>
      <c r="R101" s="605"/>
      <c r="S101" s="605"/>
      <c r="T101" s="605"/>
      <c r="U101" s="605"/>
      <c r="V101" s="347"/>
      <c r="W101" s="347"/>
      <c r="X101" s="347"/>
      <c r="Y101" s="347"/>
      <c r="Z101" s="347"/>
      <c r="AA101" s="347"/>
      <c r="AB101" s="347"/>
      <c r="AC101" s="347"/>
      <c r="AD101" s="347"/>
      <c r="AE101" s="347"/>
      <c r="AF101" s="347"/>
      <c r="AG101" s="731"/>
      <c r="AH101" s="731" t="str">
        <f>IF(AND(OR(AV96=TRUE,AV97=TRUE),AV99=FALSE),"↑端末登録機能における事前確認事項をご確認ください。","")</f>
        <v/>
      </c>
      <c r="AI101" s="347"/>
      <c r="AJ101" s="347"/>
      <c r="AK101" s="347"/>
      <c r="AL101" s="347"/>
      <c r="AM101" s="347"/>
      <c r="AN101" s="347"/>
      <c r="AO101" s="347"/>
      <c r="AP101" s="347"/>
      <c r="AQ101" s="347"/>
      <c r="AR101" s="347"/>
      <c r="AS101" s="347"/>
      <c r="AT101" s="347"/>
      <c r="AU101" s="234"/>
      <c r="AW101" s="314"/>
      <c r="AX101" s="314"/>
      <c r="AY101" s="314"/>
      <c r="AZ101" s="314"/>
      <c r="BA101" s="315"/>
      <c r="BB101" s="316"/>
      <c r="BC101" s="316"/>
      <c r="BD101" s="315"/>
      <c r="BE101" s="315"/>
      <c r="BF101" s="317"/>
      <c r="BG101" s="318"/>
      <c r="BH101" s="319"/>
      <c r="BI101" s="320"/>
      <c r="BJ101" s="318"/>
      <c r="BK101" s="315"/>
      <c r="BL101" s="293"/>
      <c r="BM101" s="293"/>
      <c r="BN101" s="321"/>
      <c r="BO101" s="321"/>
      <c r="BP101" s="322"/>
      <c r="BR101" s="315"/>
      <c r="BX101" s="7"/>
      <c r="BZ101" s="1051" t="s">
        <v>3617</v>
      </c>
      <c r="CA101" s="1049" t="s">
        <v>3618</v>
      </c>
      <c r="CB101" s="1050" t="s">
        <v>3619</v>
      </c>
      <c r="CC101" s="21"/>
      <c r="CD101" s="145"/>
      <c r="CE101" s="145"/>
      <c r="CF101" s="145"/>
      <c r="CG101" s="34"/>
      <c r="CH101" s="65" t="s">
        <v>471</v>
      </c>
      <c r="CI101" s="65" t="s">
        <v>22</v>
      </c>
      <c r="CJ101" s="65">
        <v>128</v>
      </c>
      <c r="CK101" s="65" t="s">
        <v>216</v>
      </c>
      <c r="CL101" s="65" t="s">
        <v>90</v>
      </c>
      <c r="CM101" s="65"/>
      <c r="CN101" s="65"/>
      <c r="CO101" s="66" t="s">
        <v>94</v>
      </c>
      <c r="CP101" s="78" t="str">
        <f>ASC(記入シート1!AE127)</f>
        <v/>
      </c>
      <c r="CQ101" s="10"/>
      <c r="CR101" s="61"/>
      <c r="CS101" s="61"/>
      <c r="CT101" s="61"/>
      <c r="CU101" s="61"/>
      <c r="CV101" s="60"/>
      <c r="CW101" s="1385" t="s">
        <v>5720</v>
      </c>
      <c r="CX101" s="765"/>
      <c r="CY101" s="761" t="s">
        <v>5131</v>
      </c>
      <c r="CZ101" s="762" t="s">
        <v>1112</v>
      </c>
      <c r="DA101" s="766"/>
      <c r="DB101" s="97" t="str">
        <f t="shared" ref="DB101" si="24">LEFT(DC101,3)</f>
        <v>949</v>
      </c>
      <c r="DC101" s="1386" t="s">
        <v>5721</v>
      </c>
      <c r="DD101" s="1387">
        <f>CU24</f>
        <v>0</v>
      </c>
      <c r="DE101" s="147"/>
      <c r="DF101" s="90"/>
      <c r="DG101" s="90"/>
      <c r="DH101" s="547" t="s">
        <v>2154</v>
      </c>
      <c r="DI101" s="547" t="s">
        <v>3219</v>
      </c>
      <c r="DJ101" s="772"/>
      <c r="DK101" s="101" t="str">
        <f t="shared" si="15"/>
        <v>93901Q35</v>
      </c>
      <c r="DL101" s="105" t="s">
        <v>3366</v>
      </c>
      <c r="DM101" s="105" t="s">
        <v>3370</v>
      </c>
      <c r="DN101" s="773" t="str">
        <f>ASC(記入シート1!I43)</f>
        <v/>
      </c>
      <c r="DP101" s="85"/>
      <c r="DV101" s="34"/>
      <c r="DX101" s="115"/>
      <c r="DY101" s="115"/>
    </row>
    <row r="102" spans="1:129" ht="19.5" hidden="1" customHeight="1">
      <c r="A102" s="447" t="s">
        <v>3574</v>
      </c>
      <c r="B102" s="249"/>
      <c r="C102" s="2538" t="s">
        <v>862</v>
      </c>
      <c r="D102" s="2539"/>
      <c r="E102" s="2539"/>
      <c r="F102" s="2539"/>
      <c r="G102" s="2539"/>
      <c r="H102" s="2539"/>
      <c r="I102" s="2539"/>
      <c r="J102" s="2539"/>
      <c r="K102" s="2540"/>
      <c r="L102" s="2547" t="s">
        <v>1404</v>
      </c>
      <c r="M102" s="2548"/>
      <c r="N102" s="2548"/>
      <c r="O102" s="2548"/>
      <c r="P102" s="2548"/>
      <c r="Q102" s="2548"/>
      <c r="R102" s="2548"/>
      <c r="S102" s="2548"/>
      <c r="T102" s="2548"/>
      <c r="U102" s="2548"/>
      <c r="V102" s="2548"/>
      <c r="W102" s="2548"/>
      <c r="X102" s="2548"/>
      <c r="Y102" s="2548"/>
      <c r="Z102" s="2548"/>
      <c r="AA102" s="2548"/>
      <c r="AB102" s="2548"/>
      <c r="AC102" s="2548"/>
      <c r="AD102" s="2548"/>
      <c r="AE102" s="2548"/>
      <c r="AF102" s="2548"/>
      <c r="AG102" s="2548"/>
      <c r="AH102" s="2548"/>
      <c r="AI102" s="2548"/>
      <c r="AJ102" s="2548"/>
      <c r="AK102" s="2548"/>
      <c r="AL102" s="2548"/>
      <c r="AM102" s="2548"/>
      <c r="AN102" s="2548"/>
      <c r="AO102" s="2548"/>
      <c r="AP102" s="2548"/>
      <c r="AQ102" s="2548"/>
      <c r="AR102" s="2548"/>
      <c r="AS102" s="2548"/>
      <c r="AT102" s="2549"/>
      <c r="AU102" s="234"/>
      <c r="BX102" s="7"/>
      <c r="BZ102" s="1051" t="s">
        <v>4865</v>
      </c>
      <c r="CA102" s="1049" t="s">
        <v>4865</v>
      </c>
      <c r="CB102" s="1050" t="s">
        <v>4866</v>
      </c>
      <c r="CC102" s="21"/>
      <c r="CD102" s="145"/>
      <c r="CE102" s="145"/>
      <c r="CF102" s="145"/>
      <c r="CG102" s="34"/>
      <c r="CH102" s="65" t="s">
        <v>472</v>
      </c>
      <c r="CI102" s="65" t="s">
        <v>22</v>
      </c>
      <c r="CJ102" s="65">
        <v>15</v>
      </c>
      <c r="CK102" s="65" t="s">
        <v>216</v>
      </c>
      <c r="CL102" s="65" t="s">
        <v>83</v>
      </c>
      <c r="CM102" s="65"/>
      <c r="CN102" s="65"/>
      <c r="CO102" s="66" t="s">
        <v>86</v>
      </c>
      <c r="CP102" s="78" t="str">
        <f>IF(OR(記入シート1!AE126="",記入シート1!AK126="",記入シート1!AP126=""),"00-0000-0000",ASC(記入シート1!AE126)&amp;"-"&amp;ASC(記入シート1!AK126)&amp;"-"&amp;ASC(記入シート1!AP126))</f>
        <v>00-0000-0000</v>
      </c>
      <c r="CQ102" s="10"/>
      <c r="CR102" s="61"/>
      <c r="CS102" s="61"/>
      <c r="CT102" s="61"/>
      <c r="CU102" s="61"/>
      <c r="CV102" s="60"/>
      <c r="CW102" s="55"/>
      <c r="CX102" s="55"/>
      <c r="CY102" s="56"/>
      <c r="CZ102" s="44"/>
      <c r="DA102" s="56"/>
      <c r="DB102" s="760" t="s">
        <v>583</v>
      </c>
      <c r="DC102" s="43"/>
      <c r="DD102" s="43"/>
      <c r="DE102" s="147"/>
      <c r="DF102" s="90"/>
      <c r="DG102" s="90"/>
      <c r="DH102" s="547" t="s">
        <v>2154</v>
      </c>
      <c r="DI102" s="547" t="s">
        <v>3226</v>
      </c>
      <c r="DJ102" s="771" t="s">
        <v>3392</v>
      </c>
      <c r="DK102" s="101" t="str">
        <f t="shared" si="15"/>
        <v>93901Q36</v>
      </c>
      <c r="DL102" s="105" t="s">
        <v>3366</v>
      </c>
      <c r="DM102" s="105" t="s">
        <v>3371</v>
      </c>
      <c r="DN102" s="851" t="str">
        <f>""</f>
        <v/>
      </c>
      <c r="DP102" s="85"/>
      <c r="DV102" s="34"/>
      <c r="DX102" s="115"/>
      <c r="DY102" s="115"/>
    </row>
    <row r="103" spans="1:129" ht="19.5" hidden="1" customHeight="1">
      <c r="A103" s="447" t="s">
        <v>3574</v>
      </c>
      <c r="B103" s="249"/>
      <c r="C103" s="2541"/>
      <c r="D103" s="2542"/>
      <c r="E103" s="2542"/>
      <c r="F103" s="2542"/>
      <c r="G103" s="2542"/>
      <c r="H103" s="2542"/>
      <c r="I103" s="2542"/>
      <c r="J103" s="2542"/>
      <c r="K103" s="2543"/>
      <c r="L103" s="2550"/>
      <c r="M103" s="2551"/>
      <c r="N103" s="2551"/>
      <c r="O103" s="2551"/>
      <c r="P103" s="2551"/>
      <c r="Q103" s="2551"/>
      <c r="R103" s="2551"/>
      <c r="S103" s="2551"/>
      <c r="T103" s="2551"/>
      <c r="U103" s="2551"/>
      <c r="V103" s="2551"/>
      <c r="W103" s="2551"/>
      <c r="X103" s="2551"/>
      <c r="Y103" s="2551"/>
      <c r="Z103" s="2551"/>
      <c r="AA103" s="2551"/>
      <c r="AB103" s="2551"/>
      <c r="AC103" s="2551"/>
      <c r="AD103" s="2551"/>
      <c r="AE103" s="2551"/>
      <c r="AF103" s="2551"/>
      <c r="AG103" s="2551"/>
      <c r="AH103" s="2551"/>
      <c r="AI103" s="2551"/>
      <c r="AJ103" s="2551"/>
      <c r="AK103" s="2551"/>
      <c r="AL103" s="2551"/>
      <c r="AM103" s="2551"/>
      <c r="AN103" s="2551"/>
      <c r="AO103" s="2551"/>
      <c r="AP103" s="2551"/>
      <c r="AQ103" s="2551"/>
      <c r="AR103" s="2551"/>
      <c r="AS103" s="2551"/>
      <c r="AT103" s="2552"/>
      <c r="AU103" s="234"/>
      <c r="BX103" s="7"/>
      <c r="BZ103" s="1051" t="s">
        <v>5580</v>
      </c>
      <c r="CA103" s="1049" t="s">
        <v>5580</v>
      </c>
      <c r="CB103" s="1050" t="s">
        <v>5581</v>
      </c>
      <c r="CC103" s="21"/>
      <c r="CD103" s="145"/>
      <c r="CE103" s="145"/>
      <c r="CF103" s="145"/>
      <c r="CG103" s="34"/>
      <c r="CH103" s="65" t="s">
        <v>93</v>
      </c>
      <c r="CI103" s="65" t="s">
        <v>22</v>
      </c>
      <c r="CJ103" s="65">
        <v>8</v>
      </c>
      <c r="CK103" s="65" t="s">
        <v>216</v>
      </c>
      <c r="CL103" s="65" t="s">
        <v>90</v>
      </c>
      <c r="CM103" s="65"/>
      <c r="CN103" s="65"/>
      <c r="CO103" s="66" t="s">
        <v>92</v>
      </c>
      <c r="CP103" s="78" t="str">
        <f>IF(記入シート1!AV128=1,記入シート2!CP20,IF(記入シート1!AV128=2,記入シート2!CP49,""))</f>
        <v/>
      </c>
      <c r="CQ103" s="10"/>
      <c r="CR103" s="61"/>
      <c r="CS103" s="61"/>
      <c r="CT103" s="61"/>
      <c r="CU103" s="61"/>
      <c r="CV103" s="60"/>
      <c r="CW103" s="55"/>
      <c r="CX103" s="55"/>
      <c r="CY103" s="56"/>
      <c r="CZ103" s="44"/>
      <c r="DA103" s="56"/>
      <c r="DC103" s="43"/>
      <c r="DD103" s="43"/>
      <c r="DE103" s="147"/>
      <c r="DF103" s="90"/>
      <c r="DG103" s="90"/>
      <c r="DH103" s="547" t="s">
        <v>2154</v>
      </c>
      <c r="DI103" s="547" t="s">
        <v>3227</v>
      </c>
      <c r="DJ103" s="771"/>
      <c r="DK103" s="101" t="str">
        <f t="shared" si="15"/>
        <v>93901Q37</v>
      </c>
      <c r="DL103" s="105" t="s">
        <v>3366</v>
      </c>
      <c r="DM103" s="105" t="s">
        <v>3385</v>
      </c>
      <c r="DN103" s="773" t="str">
        <f>ASC(記入シート1!AE31)</f>
        <v/>
      </c>
      <c r="DP103" s="85"/>
      <c r="DV103" s="34"/>
      <c r="DX103" s="115"/>
      <c r="DY103" s="115"/>
    </row>
    <row r="104" spans="1:129" ht="19.5" hidden="1" customHeight="1" thickBot="1">
      <c r="A104" s="447" t="s">
        <v>1234</v>
      </c>
      <c r="B104" s="249"/>
      <c r="C104" s="2544"/>
      <c r="D104" s="2545"/>
      <c r="E104" s="2545"/>
      <c r="F104" s="2545"/>
      <c r="G104" s="2545"/>
      <c r="H104" s="2545"/>
      <c r="I104" s="2545"/>
      <c r="J104" s="2545"/>
      <c r="K104" s="2546"/>
      <c r="L104" s="2553"/>
      <c r="M104" s="2554"/>
      <c r="N104" s="2554"/>
      <c r="O104" s="2554"/>
      <c r="P104" s="2554"/>
      <c r="Q104" s="2554"/>
      <c r="R104" s="2554"/>
      <c r="S104" s="2554"/>
      <c r="T104" s="2554"/>
      <c r="U104" s="2554"/>
      <c r="V104" s="2554"/>
      <c r="W104" s="2554"/>
      <c r="X104" s="2554"/>
      <c r="Y104" s="2554"/>
      <c r="Z104" s="2554"/>
      <c r="AA104" s="2554"/>
      <c r="AB104" s="2554"/>
      <c r="AC104" s="2554"/>
      <c r="AD104" s="2554"/>
      <c r="AE104" s="2554"/>
      <c r="AF104" s="2554"/>
      <c r="AG104" s="2554"/>
      <c r="AH104" s="2554"/>
      <c r="AI104" s="2554"/>
      <c r="AJ104" s="2554"/>
      <c r="AK104" s="2554"/>
      <c r="AL104" s="2554"/>
      <c r="AM104" s="2554"/>
      <c r="AN104" s="2554"/>
      <c r="AO104" s="2554"/>
      <c r="AP104" s="2554"/>
      <c r="AQ104" s="2554"/>
      <c r="AR104" s="2554"/>
      <c r="AS104" s="2554"/>
      <c r="AT104" s="2555"/>
      <c r="AU104" s="234"/>
      <c r="BX104" s="7"/>
      <c r="BZ104" s="1051" t="s">
        <v>5582</v>
      </c>
      <c r="CA104" s="1049" t="s">
        <v>5582</v>
      </c>
      <c r="CB104" s="1050" t="s">
        <v>5583</v>
      </c>
      <c r="CC104" s="21"/>
      <c r="CD104" s="145"/>
      <c r="CE104" s="145"/>
      <c r="CF104" s="145"/>
      <c r="CG104" s="34"/>
      <c r="CH104" s="65" t="s">
        <v>473</v>
      </c>
      <c r="CI104" s="65" t="s">
        <v>21</v>
      </c>
      <c r="CJ104" s="65">
        <v>255</v>
      </c>
      <c r="CK104" s="65" t="s">
        <v>216</v>
      </c>
      <c r="CL104" s="65" t="s">
        <v>474</v>
      </c>
      <c r="CM104" s="65"/>
      <c r="CN104" s="65"/>
      <c r="CO104" s="66" t="s">
        <v>89</v>
      </c>
      <c r="CP104" s="78" t="str">
        <f>IF(記入シート1!AV128=1,CP21,IF(記入シート1!AV128=2,CP50,""))</f>
        <v/>
      </c>
      <c r="CQ104" s="10"/>
      <c r="CR104" s="61"/>
      <c r="CS104" s="61"/>
      <c r="CT104" s="61"/>
      <c r="CU104" s="61"/>
      <c r="CV104" s="60"/>
      <c r="CW104" s="55"/>
      <c r="CX104" s="55"/>
      <c r="CY104" s="56"/>
      <c r="CZ104" s="44"/>
      <c r="DA104" s="56"/>
      <c r="DC104" s="43"/>
      <c r="DD104" s="43"/>
      <c r="DE104" s="147"/>
      <c r="DF104" s="90"/>
      <c r="DG104" s="90"/>
      <c r="DH104" s="547" t="s">
        <v>2154</v>
      </c>
      <c r="DI104" s="547" t="s">
        <v>3228</v>
      </c>
      <c r="DJ104" s="771"/>
      <c r="DK104" s="101" t="str">
        <f t="shared" si="15"/>
        <v>93901Q38</v>
      </c>
      <c r="DL104" s="105" t="s">
        <v>3366</v>
      </c>
      <c r="DM104" s="105" t="s">
        <v>3386</v>
      </c>
      <c r="DN104" s="773" t="str">
        <f>IF(AV68="0000","",AV68)</f>
        <v/>
      </c>
      <c r="DO104" s="85"/>
      <c r="DP104" s="85"/>
      <c r="DX104" s="115"/>
      <c r="DY104" s="115"/>
    </row>
    <row r="105" spans="1:129" ht="19.5" hidden="1" customHeight="1" thickBot="1">
      <c r="A105" s="447" t="s">
        <v>3574</v>
      </c>
      <c r="B105" s="249"/>
      <c r="C105" s="732"/>
      <c r="D105" s="732"/>
      <c r="E105" s="732"/>
      <c r="F105" s="732"/>
      <c r="G105" s="732"/>
      <c r="H105" s="732"/>
      <c r="I105" s="732"/>
      <c r="J105" s="732"/>
      <c r="K105" s="732"/>
      <c r="L105" s="732"/>
      <c r="M105" s="732"/>
      <c r="N105" s="732"/>
      <c r="O105" s="732"/>
      <c r="P105" s="732"/>
      <c r="Q105" s="732"/>
      <c r="R105" s="732"/>
      <c r="S105" s="732"/>
      <c r="T105" s="732"/>
      <c r="U105" s="732"/>
      <c r="V105" s="732"/>
      <c r="W105" s="732"/>
      <c r="X105" s="732"/>
      <c r="Y105" s="732"/>
      <c r="Z105" s="732"/>
      <c r="AA105" s="732"/>
      <c r="AB105" s="732"/>
      <c r="AC105" s="732"/>
      <c r="AD105" s="732"/>
      <c r="AE105" s="732"/>
      <c r="AF105" s="732"/>
      <c r="AG105" s="732"/>
      <c r="AH105" s="732"/>
      <c r="AI105" s="732"/>
      <c r="AJ105" s="732"/>
      <c r="AK105" s="732"/>
      <c r="AL105" s="732"/>
      <c r="AM105" s="732"/>
      <c r="AN105" s="732"/>
      <c r="AO105" s="732"/>
      <c r="AP105" s="732"/>
      <c r="AQ105" s="732"/>
      <c r="AR105" s="732"/>
      <c r="AS105" s="732"/>
      <c r="AT105" s="732"/>
      <c r="AU105" s="234"/>
      <c r="BX105" s="7"/>
      <c r="BZ105" s="121" t="s">
        <v>5584</v>
      </c>
      <c r="CA105" s="1049" t="s">
        <v>5584</v>
      </c>
      <c r="CB105" s="1050" t="s">
        <v>5585</v>
      </c>
      <c r="CC105" s="21"/>
      <c r="CD105" s="145"/>
      <c r="CE105" s="145"/>
      <c r="CF105" s="145"/>
      <c r="CH105" s="77" t="s">
        <v>637</v>
      </c>
      <c r="CI105" s="77"/>
      <c r="CJ105" s="77"/>
      <c r="CK105" s="77"/>
      <c r="CL105" s="77"/>
      <c r="CM105" s="77"/>
      <c r="CN105" s="77"/>
      <c r="CO105" s="13"/>
      <c r="CP105" s="80"/>
      <c r="CQ105" s="10"/>
      <c r="CR105" s="61"/>
      <c r="CS105" s="61"/>
      <c r="CT105" s="61"/>
      <c r="CU105" s="61"/>
      <c r="CV105" s="60"/>
      <c r="CW105" s="55"/>
      <c r="CX105" s="55"/>
      <c r="CY105" s="56"/>
      <c r="CZ105" s="44"/>
      <c r="DA105" s="56"/>
      <c r="DC105" s="43"/>
      <c r="DD105" s="43"/>
      <c r="DE105" s="147"/>
      <c r="DF105" s="90"/>
      <c r="DG105" s="90"/>
      <c r="DH105" s="547" t="s">
        <v>2154</v>
      </c>
      <c r="DI105" s="547" t="s">
        <v>3229</v>
      </c>
      <c r="DJ105" s="771"/>
      <c r="DK105" s="101" t="str">
        <f t="shared" si="15"/>
        <v>93901Q39</v>
      </c>
      <c r="DL105" s="105" t="s">
        <v>3366</v>
      </c>
      <c r="DM105" s="105" t="s">
        <v>3387</v>
      </c>
      <c r="DN105" s="773" t="str">
        <f>IF(AV69="0000","",AV69)</f>
        <v/>
      </c>
      <c r="DO105" s="85"/>
      <c r="DP105" s="85"/>
      <c r="DX105" s="115"/>
      <c r="DY105" s="115"/>
    </row>
    <row r="106" spans="1:129" ht="19.5" hidden="1" customHeight="1" thickTop="1">
      <c r="A106" s="447" t="s">
        <v>1234</v>
      </c>
      <c r="B106" s="249"/>
      <c r="C106" s="2556" t="s">
        <v>1060</v>
      </c>
      <c r="D106" s="2557"/>
      <c r="E106" s="2557"/>
      <c r="F106" s="2557"/>
      <c r="G106" s="2557"/>
      <c r="H106" s="2557"/>
      <c r="I106" s="2557"/>
      <c r="J106" s="2557"/>
      <c r="K106" s="2557"/>
      <c r="L106" s="2557"/>
      <c r="M106" s="2557"/>
      <c r="N106" s="2557"/>
      <c r="O106" s="2557"/>
      <c r="P106" s="2558"/>
      <c r="Q106" s="2559" t="s">
        <v>2105</v>
      </c>
      <c r="R106" s="2560"/>
      <c r="S106" s="2560"/>
      <c r="T106" s="2560"/>
      <c r="U106" s="2560"/>
      <c r="V106" s="2560" t="s">
        <v>2106</v>
      </c>
      <c r="W106" s="2560"/>
      <c r="X106" s="2560"/>
      <c r="Y106" s="2560"/>
      <c r="Z106" s="2561"/>
      <c r="AA106" s="734"/>
      <c r="AB106" s="735"/>
      <c r="AC106" s="735"/>
      <c r="AD106" s="735"/>
      <c r="AE106" s="735"/>
      <c r="AF106" s="735"/>
      <c r="AG106" s="735"/>
      <c r="AH106" s="735"/>
      <c r="AI106" s="735"/>
      <c r="AJ106" s="735"/>
      <c r="AK106" s="735"/>
      <c r="AL106" s="735"/>
      <c r="AM106" s="735"/>
      <c r="AN106" s="735"/>
      <c r="AO106" s="735"/>
      <c r="AP106" s="735"/>
      <c r="AQ106" s="735"/>
      <c r="AR106" s="735"/>
      <c r="AS106" s="735"/>
      <c r="AT106" s="736"/>
      <c r="AU106" s="234"/>
      <c r="BX106" s="7"/>
      <c r="BZ106" s="121" t="s">
        <v>5586</v>
      </c>
      <c r="CA106" s="1049" t="s">
        <v>5586</v>
      </c>
      <c r="CB106" s="1050" t="s">
        <v>5587</v>
      </c>
      <c r="CC106" s="21"/>
      <c r="CD106" s="145"/>
      <c r="CE106" s="145"/>
      <c r="CF106" s="145"/>
      <c r="CH106" s="62" t="s">
        <v>323</v>
      </c>
      <c r="CI106" s="63" t="s">
        <v>586</v>
      </c>
      <c r="CJ106" s="63" t="s">
        <v>321</v>
      </c>
      <c r="CK106" s="62" t="s">
        <v>320</v>
      </c>
      <c r="CL106" s="62" t="s">
        <v>587</v>
      </c>
      <c r="CM106" s="62" t="s">
        <v>326</v>
      </c>
      <c r="CN106" s="62" t="s">
        <v>327</v>
      </c>
      <c r="CO106" s="62" t="s">
        <v>376</v>
      </c>
      <c r="CP106" s="62" t="s">
        <v>377</v>
      </c>
      <c r="CQ106" s="10"/>
      <c r="CR106" s="61"/>
      <c r="CS106" s="61"/>
      <c r="CT106" s="61"/>
      <c r="CU106" s="61"/>
      <c r="CV106" s="60"/>
      <c r="CW106" s="55"/>
      <c r="CX106" s="55"/>
      <c r="CY106" s="56"/>
      <c r="CZ106" s="44"/>
      <c r="DA106" s="56"/>
      <c r="DC106" s="43"/>
      <c r="DD106" s="43"/>
      <c r="DE106" s="147"/>
      <c r="DF106" s="90"/>
      <c r="DG106" s="90"/>
      <c r="DH106" s="547" t="s">
        <v>2154</v>
      </c>
      <c r="DI106" s="547" t="s">
        <v>3230</v>
      </c>
      <c r="DJ106" s="771" t="s">
        <v>3393</v>
      </c>
      <c r="DK106" s="101" t="str">
        <f t="shared" si="15"/>
        <v>93901Q3A</v>
      </c>
      <c r="DL106" s="105" t="s">
        <v>3366</v>
      </c>
      <c r="DM106" s="105" t="s">
        <v>3388</v>
      </c>
      <c r="DN106" s="851" t="str">
        <f>""</f>
        <v/>
      </c>
      <c r="DO106" s="85"/>
      <c r="DP106" s="85"/>
      <c r="DX106" s="115"/>
      <c r="DY106" s="115"/>
    </row>
    <row r="107" spans="1:129" ht="19.5" hidden="1" customHeight="1">
      <c r="A107" s="447" t="s">
        <v>1234</v>
      </c>
      <c r="B107" s="249"/>
      <c r="C107" s="2562" t="s">
        <v>2107</v>
      </c>
      <c r="D107" s="2563"/>
      <c r="E107" s="2563"/>
      <c r="F107" s="2563"/>
      <c r="G107" s="2563"/>
      <c r="H107" s="2563"/>
      <c r="I107" s="2563"/>
      <c r="J107" s="2563"/>
      <c r="K107" s="2564"/>
      <c r="L107" s="2565" t="s">
        <v>1891</v>
      </c>
      <c r="M107" s="2565"/>
      <c r="N107" s="2565"/>
      <c r="O107" s="2565"/>
      <c r="P107" s="2565"/>
      <c r="Q107" s="2566"/>
      <c r="R107" s="2567"/>
      <c r="S107" s="2567"/>
      <c r="T107" s="2567"/>
      <c r="U107" s="2567"/>
      <c r="V107" s="2568">
        <v>0</v>
      </c>
      <c r="W107" s="2568"/>
      <c r="X107" s="2568"/>
      <c r="Y107" s="2568"/>
      <c r="Z107" s="2569"/>
      <c r="AA107" s="218"/>
      <c r="AB107" s="218"/>
      <c r="AC107" s="218"/>
      <c r="AD107" s="218"/>
      <c r="AE107" s="218"/>
      <c r="AF107" s="218"/>
      <c r="AG107" s="218"/>
      <c r="AH107" s="218"/>
      <c r="AI107" s="218"/>
      <c r="AJ107" s="218"/>
      <c r="AK107" s="218"/>
      <c r="AL107" s="218"/>
      <c r="AM107" s="218"/>
      <c r="AN107" s="218"/>
      <c r="AO107" s="218"/>
      <c r="AP107" s="218"/>
      <c r="AQ107" s="218"/>
      <c r="AR107" s="218"/>
      <c r="AS107" s="218"/>
      <c r="AT107" s="737"/>
      <c r="AU107" s="234"/>
      <c r="BX107" s="7"/>
      <c r="BY107" s="24"/>
      <c r="BZ107" s="121" t="s">
        <v>5588</v>
      </c>
      <c r="CA107" s="1049" t="s">
        <v>5588</v>
      </c>
      <c r="CB107" s="1050" t="s">
        <v>5589</v>
      </c>
      <c r="CC107" s="21"/>
      <c r="CD107" s="145"/>
      <c r="CE107" s="145"/>
      <c r="CF107" s="145"/>
      <c r="CH107" s="196" t="s">
        <v>484</v>
      </c>
      <c r="CI107" s="196" t="s">
        <v>22</v>
      </c>
      <c r="CJ107" s="196">
        <v>128</v>
      </c>
      <c r="CK107" s="196" t="s">
        <v>609</v>
      </c>
      <c r="CL107" s="196" t="s">
        <v>362</v>
      </c>
      <c r="CM107" s="196"/>
      <c r="CN107" s="196"/>
      <c r="CO107" s="197" t="s">
        <v>85</v>
      </c>
      <c r="CP107" s="198"/>
      <c r="CQ107" s="10"/>
      <c r="CR107" s="61"/>
      <c r="CS107" s="61"/>
      <c r="CT107" s="61"/>
      <c r="CU107" s="61"/>
      <c r="CV107" s="60"/>
      <c r="CW107" s="55"/>
      <c r="CX107" s="55"/>
      <c r="CY107" s="56"/>
      <c r="CZ107" s="44"/>
      <c r="DA107" s="56"/>
      <c r="DC107" s="43"/>
      <c r="DD107" s="43"/>
      <c r="DE107" s="147"/>
      <c r="DF107" s="90"/>
      <c r="DG107" s="90"/>
      <c r="DH107" s="547" t="s">
        <v>2154</v>
      </c>
      <c r="DI107" s="547" t="s">
        <v>4071</v>
      </c>
      <c r="DJ107" s="771"/>
      <c r="DK107" s="101" t="str">
        <f t="shared" si="15"/>
        <v>93901Q3E</v>
      </c>
      <c r="DL107" s="105" t="s">
        <v>3366</v>
      </c>
      <c r="DM107" s="105" t="s">
        <v>4074</v>
      </c>
      <c r="DN107" s="773" t="str">
        <f>UPPER(ASC(SUBSTITUTE(SUBSTITUTE(SUBSTITUTE(T(記入シート1!I64),"―","ー"),"－","‐"),"～","ー")))</f>
        <v/>
      </c>
      <c r="DO107" s="85"/>
      <c r="DP107" s="85"/>
      <c r="DX107" s="115"/>
      <c r="DY107" s="115"/>
    </row>
    <row r="108" spans="1:129" ht="19.5" hidden="1" customHeight="1">
      <c r="A108" s="447" t="s">
        <v>1234</v>
      </c>
      <c r="B108" s="249"/>
      <c r="C108" s="2820" t="s">
        <v>1952</v>
      </c>
      <c r="D108" s="2821"/>
      <c r="E108" s="2821"/>
      <c r="F108" s="2821"/>
      <c r="G108" s="2821"/>
      <c r="H108" s="2821"/>
      <c r="I108" s="2821"/>
      <c r="J108" s="2821"/>
      <c r="K108" s="2822"/>
      <c r="L108" s="2823" t="s">
        <v>1891</v>
      </c>
      <c r="M108" s="2823"/>
      <c r="N108" s="2823"/>
      <c r="O108" s="2823"/>
      <c r="P108" s="2823"/>
      <c r="Q108" s="2828"/>
      <c r="R108" s="2568"/>
      <c r="S108" s="2568"/>
      <c r="T108" s="2568"/>
      <c r="U108" s="2568"/>
      <c r="V108" s="2568"/>
      <c r="W108" s="2568"/>
      <c r="X108" s="2568"/>
      <c r="Y108" s="2568"/>
      <c r="Z108" s="2569"/>
      <c r="AA108" s="218"/>
      <c r="AB108" s="218"/>
      <c r="AC108" s="218"/>
      <c r="AD108" s="218"/>
      <c r="AE108" s="218"/>
      <c r="AF108" s="218"/>
      <c r="AG108" s="218"/>
      <c r="AH108" s="218"/>
      <c r="AI108" s="218"/>
      <c r="AJ108" s="218"/>
      <c r="AK108" s="218"/>
      <c r="AL108" s="218"/>
      <c r="AM108" s="218"/>
      <c r="AN108" s="218"/>
      <c r="AO108" s="218"/>
      <c r="AP108" s="218"/>
      <c r="AQ108" s="218"/>
      <c r="AR108" s="218"/>
      <c r="AS108" s="218"/>
      <c r="AT108" s="737"/>
      <c r="AU108" s="234"/>
      <c r="AW108" s="395" t="s">
        <v>1063</v>
      </c>
      <c r="AX108" s="400" t="s">
        <v>1057</v>
      </c>
      <c r="AY108" s="400" t="s">
        <v>1058</v>
      </c>
      <c r="AZ108" s="400"/>
      <c r="BA108" s="395" t="s">
        <v>1063</v>
      </c>
      <c r="BB108" s="399"/>
      <c r="BX108" s="7"/>
      <c r="BY108" s="24"/>
      <c r="BZ108" s="121" t="s">
        <v>5590</v>
      </c>
      <c r="CA108" s="1049" t="s">
        <v>5590</v>
      </c>
      <c r="CB108" s="1050" t="s">
        <v>5591</v>
      </c>
      <c r="CC108" s="21"/>
      <c r="CD108" s="145"/>
      <c r="CE108" s="145"/>
      <c r="CF108" s="145"/>
      <c r="CH108" s="196" t="s">
        <v>485</v>
      </c>
      <c r="CI108" s="196" t="s">
        <v>63</v>
      </c>
      <c r="CJ108" s="196">
        <v>1</v>
      </c>
      <c r="CK108" s="196" t="s">
        <v>216</v>
      </c>
      <c r="CL108" s="196" t="s">
        <v>362</v>
      </c>
      <c r="CM108" s="196" t="s">
        <v>594</v>
      </c>
      <c r="CN108" s="196"/>
      <c r="CO108" s="197" t="s">
        <v>84</v>
      </c>
      <c r="CP108" s="198"/>
      <c r="CQ108" s="10"/>
      <c r="CR108" s="61"/>
      <c r="CS108" s="61"/>
      <c r="CT108" s="61"/>
      <c r="CU108" s="61"/>
      <c r="CV108" s="60"/>
      <c r="CW108" s="55"/>
      <c r="CX108" s="55"/>
      <c r="CY108" s="56"/>
      <c r="CZ108" s="44"/>
      <c r="DA108" s="56"/>
      <c r="DC108" s="43"/>
      <c r="DD108" s="43"/>
      <c r="DE108" s="147"/>
      <c r="DF108" s="90"/>
      <c r="DG108" s="90"/>
      <c r="DH108" s="547" t="s">
        <v>2154</v>
      </c>
      <c r="DI108" s="547" t="s">
        <v>4072</v>
      </c>
      <c r="DJ108" s="771" t="s">
        <v>3394</v>
      </c>
      <c r="DK108" s="101" t="str">
        <f t="shared" si="15"/>
        <v>93901Q3F</v>
      </c>
      <c r="DL108" s="105" t="s">
        <v>3366</v>
      </c>
      <c r="DM108" s="105" t="s">
        <v>4075</v>
      </c>
      <c r="DN108" s="851" t="str">
        <f>""</f>
        <v/>
      </c>
      <c r="DO108" s="85"/>
      <c r="DP108" s="85"/>
      <c r="DX108" s="115"/>
      <c r="DY108" s="115"/>
    </row>
    <row r="109" spans="1:129" ht="19.5" hidden="1" customHeight="1" thickBot="1">
      <c r="A109" s="447" t="s">
        <v>1234</v>
      </c>
      <c r="B109" s="249"/>
      <c r="C109" s="2820" t="s">
        <v>1953</v>
      </c>
      <c r="D109" s="2821"/>
      <c r="E109" s="2821"/>
      <c r="F109" s="2821"/>
      <c r="G109" s="2821"/>
      <c r="H109" s="2821"/>
      <c r="I109" s="2821"/>
      <c r="J109" s="2821"/>
      <c r="K109" s="2822"/>
      <c r="L109" s="2823" t="s">
        <v>1891</v>
      </c>
      <c r="M109" s="2823"/>
      <c r="N109" s="2823"/>
      <c r="O109" s="2823"/>
      <c r="P109" s="2823"/>
      <c r="Q109" s="2535"/>
      <c r="R109" s="2536"/>
      <c r="S109" s="2536"/>
      <c r="T109" s="2536"/>
      <c r="U109" s="2536"/>
      <c r="V109" s="2536"/>
      <c r="W109" s="2536"/>
      <c r="X109" s="2536"/>
      <c r="Y109" s="2536"/>
      <c r="Z109" s="2537"/>
      <c r="AA109" s="2818" t="s">
        <v>1957</v>
      </c>
      <c r="AB109" s="2818"/>
      <c r="AC109" s="2818"/>
      <c r="AD109" s="2819" t="s">
        <v>1958</v>
      </c>
      <c r="AE109" s="2819"/>
      <c r="AF109" s="2819"/>
      <c r="AG109" s="2819"/>
      <c r="AH109" s="218"/>
      <c r="AI109" s="218"/>
      <c r="AJ109" s="218"/>
      <c r="AK109" s="218"/>
      <c r="AL109" s="218"/>
      <c r="AM109" s="218"/>
      <c r="AN109" s="218"/>
      <c r="AO109" s="218"/>
      <c r="AP109" s="218"/>
      <c r="AQ109" s="218"/>
      <c r="AR109" s="218"/>
      <c r="AS109" s="218"/>
      <c r="AT109" s="737"/>
      <c r="AU109" s="234"/>
      <c r="AV109" s="199" t="b">
        <f>IF(L107="申し込む",TRUE,FALSE)</f>
        <v>0</v>
      </c>
      <c r="AW109" s="395"/>
      <c r="AX109" s="396">
        <f>AV109*Q109</f>
        <v>0</v>
      </c>
      <c r="AY109" s="396">
        <f>AV109*U109</f>
        <v>0</v>
      </c>
      <c r="AZ109" s="397">
        <f>AV109*1</f>
        <v>0</v>
      </c>
      <c r="BA109" s="398" t="s">
        <v>1062</v>
      </c>
      <c r="BB109" s="399" t="s">
        <v>1061</v>
      </c>
      <c r="BX109" s="7"/>
      <c r="BY109" s="24"/>
      <c r="BZ109" s="121" t="s">
        <v>5592</v>
      </c>
      <c r="CA109" s="1049" t="s">
        <v>5592</v>
      </c>
      <c r="CB109" s="1050" t="s">
        <v>5593</v>
      </c>
      <c r="CC109" s="21"/>
      <c r="CD109" s="145"/>
      <c r="CE109" s="145"/>
      <c r="CF109" s="145"/>
      <c r="CH109" s="196" t="s">
        <v>486</v>
      </c>
      <c r="CI109" s="196" t="s">
        <v>22</v>
      </c>
      <c r="CJ109" s="196">
        <v>15</v>
      </c>
      <c r="CK109" s="196" t="s">
        <v>362</v>
      </c>
      <c r="CL109" s="196" t="s">
        <v>362</v>
      </c>
      <c r="CM109" s="196"/>
      <c r="CN109" s="284" t="s">
        <v>695</v>
      </c>
      <c r="CO109" s="197" t="s">
        <v>82</v>
      </c>
      <c r="CP109" s="285"/>
      <c r="CQ109" s="10"/>
      <c r="CR109" s="61"/>
      <c r="CS109" s="61"/>
      <c r="CT109" s="61"/>
      <c r="CU109" s="61"/>
      <c r="CV109" s="60"/>
      <c r="CW109" s="55"/>
      <c r="CX109" s="55"/>
      <c r="CY109" s="56"/>
      <c r="CZ109" s="44"/>
      <c r="DA109" s="56"/>
      <c r="DC109" s="43"/>
      <c r="DD109" s="43"/>
      <c r="DE109" s="147"/>
      <c r="DF109" s="90"/>
      <c r="DG109" s="90"/>
      <c r="DH109" s="547" t="s">
        <v>2154</v>
      </c>
      <c r="DI109" s="547" t="s">
        <v>4073</v>
      </c>
      <c r="DJ109" s="771"/>
      <c r="DK109" s="101" t="str">
        <f t="shared" si="15"/>
        <v>93901Q3G</v>
      </c>
      <c r="DL109" s="105" t="s">
        <v>3366</v>
      </c>
      <c r="DM109" s="105" t="s">
        <v>4076</v>
      </c>
      <c r="DN109" s="773" t="str">
        <f>TEXT(Y67*100,"0.00")</f>
        <v>0.00</v>
      </c>
      <c r="DO109" s="85"/>
      <c r="DP109" s="85"/>
      <c r="DX109" s="115"/>
      <c r="DY109" s="115"/>
    </row>
    <row r="110" spans="1:129" ht="19.5" hidden="1" customHeight="1" thickTop="1" thickBot="1">
      <c r="A110" s="447" t="s">
        <v>1234</v>
      </c>
      <c r="B110" s="249"/>
      <c r="C110" s="2820"/>
      <c r="D110" s="2821"/>
      <c r="E110" s="2821"/>
      <c r="F110" s="2821"/>
      <c r="G110" s="2821"/>
      <c r="H110" s="2821"/>
      <c r="I110" s="2821"/>
      <c r="J110" s="2821"/>
      <c r="K110" s="2822"/>
      <c r="L110" s="2823" t="s">
        <v>1891</v>
      </c>
      <c r="M110" s="2823"/>
      <c r="N110" s="2823"/>
      <c r="O110" s="2823"/>
      <c r="P110" s="2823"/>
      <c r="Q110" s="2824"/>
      <c r="R110" s="2825"/>
      <c r="S110" s="2825"/>
      <c r="T110" s="2825"/>
      <c r="U110" s="2825"/>
      <c r="V110" s="2826"/>
      <c r="W110" s="2826"/>
      <c r="X110" s="2826"/>
      <c r="Y110" s="2826"/>
      <c r="Z110" s="2827"/>
      <c r="AA110" s="218"/>
      <c r="AB110" s="218"/>
      <c r="AC110" s="218"/>
      <c r="AD110" s="218"/>
      <c r="AE110" s="218"/>
      <c r="AF110" s="218"/>
      <c r="AG110" s="218"/>
      <c r="AH110" s="218"/>
      <c r="AI110" s="218"/>
      <c r="AJ110" s="218"/>
      <c r="AK110" s="218"/>
      <c r="AL110" s="218"/>
      <c r="AM110" s="218"/>
      <c r="AN110" s="218"/>
      <c r="AO110" s="218"/>
      <c r="AP110" s="218"/>
      <c r="AQ110" s="218"/>
      <c r="AR110" s="218"/>
      <c r="AS110" s="218"/>
      <c r="AT110" s="738"/>
      <c r="AU110" s="234"/>
      <c r="AV110" s="199" t="b">
        <f>IF(L108="申し込む",TRUE,FALSE)</f>
        <v>0</v>
      </c>
      <c r="BX110" s="7"/>
      <c r="BY110" s="24"/>
      <c r="BZ110" s="121" t="s">
        <v>5594</v>
      </c>
      <c r="CA110" s="1049" t="s">
        <v>5594</v>
      </c>
      <c r="CB110" s="1050" t="s">
        <v>5595</v>
      </c>
      <c r="CC110" s="21"/>
      <c r="CD110" s="145"/>
      <c r="CE110" s="145"/>
      <c r="CF110" s="145"/>
      <c r="CH110" s="196" t="s">
        <v>487</v>
      </c>
      <c r="CI110" s="196" t="s">
        <v>22</v>
      </c>
      <c r="CJ110" s="196">
        <v>128</v>
      </c>
      <c r="CK110" s="196" t="s">
        <v>362</v>
      </c>
      <c r="CL110" s="196" t="s">
        <v>362</v>
      </c>
      <c r="CM110" s="196"/>
      <c r="CN110" s="284" t="s">
        <v>696</v>
      </c>
      <c r="CO110" s="286" t="s">
        <v>81</v>
      </c>
      <c r="CP110" s="285"/>
      <c r="CQ110" s="10"/>
      <c r="CR110" s="61"/>
      <c r="CS110" s="61"/>
      <c r="CT110" s="61"/>
      <c r="CU110" s="61"/>
      <c r="CV110" s="60"/>
      <c r="CW110" s="55"/>
      <c r="CX110" s="55"/>
      <c r="CY110" s="56"/>
      <c r="CZ110" s="44"/>
      <c r="DA110" s="56"/>
      <c r="DC110" s="43"/>
      <c r="DD110" s="43"/>
      <c r="DE110" s="118"/>
      <c r="DF110" s="90"/>
      <c r="DG110" s="90"/>
      <c r="DH110" s="1027" t="s">
        <v>3778</v>
      </c>
      <c r="DI110" s="1027" t="s">
        <v>2173</v>
      </c>
      <c r="DJ110" s="1028"/>
      <c r="DK110" s="101" t="str">
        <f t="shared" ref="DK110:DK173" si="25">DL110&amp;DM110</f>
        <v>94001Q44</v>
      </c>
      <c r="DL110" s="105" t="s">
        <v>3787</v>
      </c>
      <c r="DM110" s="105" t="s">
        <v>3788</v>
      </c>
      <c r="DN110" s="773" t="str">
        <f>T(記入シート1!I67)</f>
        <v/>
      </c>
      <c r="DO110" s="85"/>
      <c r="DP110" s="85"/>
      <c r="DX110" s="115"/>
      <c r="DY110" s="115"/>
    </row>
    <row r="111" spans="1:129" ht="19.5" customHeight="1" thickBot="1">
      <c r="A111" s="447"/>
      <c r="B111" s="249"/>
      <c r="AU111" s="234"/>
      <c r="AV111" s="199" t="b">
        <f>IF(L109="申し込む",TRUE,FALSE)</f>
        <v>0</v>
      </c>
      <c r="AW111" s="200">
        <f>IF(AD109="docomo",1,IF(AD109="SoftBank",2,0))</f>
        <v>1</v>
      </c>
      <c r="BX111" s="7"/>
      <c r="BY111" s="24"/>
      <c r="BZ111" s="121" t="s">
        <v>5596</v>
      </c>
      <c r="CA111" s="1049" t="s">
        <v>5596</v>
      </c>
      <c r="CB111" s="1050" t="s">
        <v>5597</v>
      </c>
      <c r="CC111" s="21"/>
      <c r="CD111" s="145"/>
      <c r="CE111" s="145"/>
      <c r="CF111" s="145"/>
      <c r="CH111" s="196" t="s">
        <v>488</v>
      </c>
      <c r="CI111" s="196" t="s">
        <v>63</v>
      </c>
      <c r="CJ111" s="196">
        <v>1</v>
      </c>
      <c r="CK111" s="196" t="s">
        <v>83</v>
      </c>
      <c r="CL111" s="196" t="s">
        <v>362</v>
      </c>
      <c r="CM111" s="196" t="s">
        <v>489</v>
      </c>
      <c r="CN111" s="196" t="s">
        <v>610</v>
      </c>
      <c r="CO111" s="197" t="s">
        <v>80</v>
      </c>
      <c r="CP111" s="198"/>
      <c r="CQ111" s="10"/>
      <c r="CR111" s="61"/>
      <c r="CS111" s="61"/>
      <c r="CT111" s="61"/>
      <c r="CU111" s="61"/>
      <c r="CV111" s="60"/>
      <c r="CW111" s="55"/>
      <c r="CX111" s="55"/>
      <c r="CY111" s="56"/>
      <c r="CZ111" s="44"/>
      <c r="DA111" s="56"/>
      <c r="DC111" s="43"/>
      <c r="DD111" s="43"/>
      <c r="DE111" s="118"/>
      <c r="DF111" s="90"/>
      <c r="DG111" s="90"/>
      <c r="DH111" s="1027" t="s">
        <v>3778</v>
      </c>
      <c r="DI111" s="1027" t="s">
        <v>3238</v>
      </c>
      <c r="DJ111" s="1028"/>
      <c r="DK111" s="101" t="str">
        <f t="shared" si="25"/>
        <v>94001Q45</v>
      </c>
      <c r="DL111" s="105" t="s">
        <v>3787</v>
      </c>
      <c r="DM111" s="105" t="s">
        <v>3789</v>
      </c>
      <c r="DN111" s="773" t="str">
        <f>T(記入シート1!I66)</f>
        <v/>
      </c>
      <c r="DO111" s="85"/>
      <c r="DP111" s="85"/>
      <c r="DX111" s="115"/>
      <c r="DY111" s="115"/>
    </row>
    <row r="112" spans="1:129" ht="19.5" customHeight="1" thickTop="1">
      <c r="A112" s="447"/>
      <c r="B112" s="249"/>
      <c r="C112" s="2556" t="s">
        <v>1970</v>
      </c>
      <c r="D112" s="2557"/>
      <c r="E112" s="2557"/>
      <c r="F112" s="2557"/>
      <c r="G112" s="2557"/>
      <c r="H112" s="2557"/>
      <c r="I112" s="2557"/>
      <c r="J112" s="1204"/>
      <c r="K112" s="2557"/>
      <c r="L112" s="2557"/>
      <c r="M112" s="2557"/>
      <c r="N112" s="2557"/>
      <c r="O112" s="2557"/>
      <c r="P112" s="2557"/>
      <c r="Q112" s="2557"/>
      <c r="R112" s="2557"/>
      <c r="S112" s="2557"/>
      <c r="T112" s="2557"/>
      <c r="U112" s="2557"/>
      <c r="V112" s="3018" t="s">
        <v>5060</v>
      </c>
      <c r="W112" s="3019"/>
      <c r="X112" s="3019"/>
      <c r="Y112" s="3019"/>
      <c r="Z112" s="3019"/>
      <c r="AA112" s="3019"/>
      <c r="AB112" s="3020"/>
      <c r="AC112" s="486"/>
      <c r="AD112" s="486"/>
      <c r="AE112" s="486"/>
      <c r="AF112" s="486"/>
      <c r="AG112" s="486"/>
      <c r="AH112" s="486"/>
      <c r="AI112" s="486"/>
      <c r="AJ112" s="486"/>
      <c r="AK112" s="486"/>
      <c r="AL112" s="486"/>
      <c r="AM112" s="486"/>
      <c r="AN112" s="486"/>
      <c r="AO112" s="486"/>
      <c r="AP112" s="486"/>
      <c r="AQ112" s="486"/>
      <c r="AR112" s="486"/>
      <c r="AS112" s="486"/>
      <c r="AT112" s="1087"/>
      <c r="AU112" s="234"/>
      <c r="BX112" s="7"/>
      <c r="BY112" s="24"/>
      <c r="BZ112" s="121" t="s">
        <v>5598</v>
      </c>
      <c r="CA112" s="1049" t="s">
        <v>5598</v>
      </c>
      <c r="CB112" s="1050" t="s">
        <v>5599</v>
      </c>
      <c r="CC112" s="21"/>
      <c r="CD112" s="145"/>
      <c r="CE112" s="145"/>
      <c r="CF112" s="145"/>
      <c r="CH112" s="196" t="s">
        <v>490</v>
      </c>
      <c r="CI112" s="196" t="s">
        <v>21</v>
      </c>
      <c r="CJ112" s="196">
        <v>60</v>
      </c>
      <c r="CK112" s="196" t="s">
        <v>83</v>
      </c>
      <c r="CL112" s="196" t="s">
        <v>83</v>
      </c>
      <c r="CM112" s="196"/>
      <c r="CN112" s="196" t="s">
        <v>611</v>
      </c>
      <c r="CO112" s="197" t="s">
        <v>79</v>
      </c>
      <c r="CP112" s="198"/>
      <c r="CQ112" s="10"/>
      <c r="CR112" s="61"/>
      <c r="CS112" s="61"/>
      <c r="CT112" s="61"/>
      <c r="CU112" s="61"/>
      <c r="CV112" s="60"/>
      <c r="CW112" s="55"/>
      <c r="CX112" s="55"/>
      <c r="CY112" s="56"/>
      <c r="CZ112" s="44"/>
      <c r="DA112" s="56"/>
      <c r="DC112" s="43"/>
      <c r="DD112" s="43"/>
      <c r="DE112" s="118"/>
      <c r="DF112" s="90"/>
      <c r="DG112" s="90"/>
      <c r="DH112" s="1027" t="s">
        <v>3778</v>
      </c>
      <c r="DI112" s="1027" t="s">
        <v>3784</v>
      </c>
      <c r="DJ112" s="1028"/>
      <c r="DK112" s="101" t="str">
        <f t="shared" si="25"/>
        <v>94001Q46</v>
      </c>
      <c r="DL112" s="105" t="s">
        <v>3787</v>
      </c>
      <c r="DM112" s="105" t="s">
        <v>3790</v>
      </c>
      <c r="DN112" s="773" t="str">
        <f>IF(OR(AV72="00",AV72=""),"",ASC(AV72))</f>
        <v>15</v>
      </c>
      <c r="DO112" s="85"/>
      <c r="DP112" s="85"/>
      <c r="DX112" s="115"/>
      <c r="DY112" s="115"/>
    </row>
    <row r="113" spans="1:129" ht="19.5" hidden="1" customHeight="1">
      <c r="A113" s="1048" t="s">
        <v>1234</v>
      </c>
      <c r="B113" s="249"/>
      <c r="C113" s="2129" t="s">
        <v>4875</v>
      </c>
      <c r="D113" s="2570"/>
      <c r="E113" s="2570"/>
      <c r="F113" s="2570"/>
      <c r="G113" s="2570"/>
      <c r="H113" s="2570"/>
      <c r="I113" s="2570"/>
      <c r="J113" s="1220"/>
      <c r="K113" s="1221"/>
      <c r="L113" s="1207"/>
      <c r="M113" s="1207"/>
      <c r="N113" s="1207"/>
      <c r="O113" s="1207"/>
      <c r="P113" s="1207"/>
      <c r="Q113" s="1207"/>
      <c r="R113" s="1207"/>
      <c r="S113" s="1207"/>
      <c r="T113" s="1207"/>
      <c r="U113" s="1207"/>
      <c r="V113" s="2571">
        <v>0</v>
      </c>
      <c r="W113" s="2572"/>
      <c r="X113" s="2572"/>
      <c r="Y113" s="2572"/>
      <c r="Z113" s="2119"/>
      <c r="AA113" s="3054"/>
      <c r="AB113" s="3055"/>
      <c r="AC113" s="1047"/>
      <c r="AD113" s="1047"/>
      <c r="AE113" s="1223"/>
      <c r="AF113" s="1047"/>
      <c r="AG113" s="670"/>
      <c r="AH113" s="670"/>
      <c r="AI113" s="670"/>
      <c r="AJ113" s="670"/>
      <c r="AK113" s="670"/>
      <c r="AL113" s="222"/>
      <c r="AM113" s="222"/>
      <c r="AN113" s="222"/>
      <c r="AO113" s="222"/>
      <c r="AP113" s="222"/>
      <c r="AQ113" s="222"/>
      <c r="AR113" s="222"/>
      <c r="AS113" s="1047"/>
      <c r="AT113" s="324"/>
      <c r="AU113" s="234"/>
      <c r="BX113" s="7"/>
      <c r="BY113" s="24"/>
      <c r="BZ113" s="121" t="s">
        <v>5600</v>
      </c>
      <c r="CA113" s="1049" t="s">
        <v>5600</v>
      </c>
      <c r="CB113" s="1050" t="s">
        <v>5601</v>
      </c>
      <c r="CC113" s="21"/>
      <c r="CD113" s="145"/>
      <c r="CE113" s="145"/>
      <c r="CF113" s="145"/>
      <c r="CH113" s="196" t="s">
        <v>491</v>
      </c>
      <c r="CI113" s="196" t="s">
        <v>21</v>
      </c>
      <c r="CJ113" s="196">
        <v>255</v>
      </c>
      <c r="CK113" s="196" t="s">
        <v>432</v>
      </c>
      <c r="CL113" s="196" t="s">
        <v>432</v>
      </c>
      <c r="CM113" s="196"/>
      <c r="CN113" s="196" t="s">
        <v>611</v>
      </c>
      <c r="CO113" s="197" t="s">
        <v>78</v>
      </c>
      <c r="CP113" s="198"/>
      <c r="CQ113" s="10"/>
      <c r="CR113" s="61"/>
      <c r="CS113" s="61"/>
      <c r="CT113" s="61"/>
      <c r="CU113" s="61"/>
      <c r="CV113" s="60"/>
      <c r="CW113" s="55"/>
      <c r="CX113" s="55"/>
      <c r="CY113" s="56"/>
      <c r="CZ113" s="44"/>
      <c r="DA113" s="56"/>
      <c r="DC113" s="43"/>
      <c r="DD113" s="43"/>
      <c r="DE113" s="118"/>
      <c r="DF113" s="90"/>
      <c r="DG113" s="90"/>
      <c r="DH113" s="1027" t="s">
        <v>3778</v>
      </c>
      <c r="DI113" s="1027" t="s">
        <v>3785</v>
      </c>
      <c r="DJ113" s="1028" t="s">
        <v>3786</v>
      </c>
      <c r="DK113" s="101" t="str">
        <f t="shared" si="25"/>
        <v>94001Q47</v>
      </c>
      <c r="DL113" s="105" t="s">
        <v>3787</v>
      </c>
      <c r="DM113" s="105" t="s">
        <v>3791</v>
      </c>
      <c r="DN113" s="773" t="str">
        <f>IF(AW72=1,"1",IF(AW72=2,"2","3"))</f>
        <v>3</v>
      </c>
      <c r="DO113" s="85"/>
      <c r="DP113" s="85"/>
      <c r="DX113" s="115"/>
      <c r="DY113" s="115"/>
    </row>
    <row r="114" spans="1:129" ht="19.5" customHeight="1">
      <c r="A114" s="447"/>
      <c r="B114" s="249"/>
      <c r="C114" s="2409" t="s">
        <v>5053</v>
      </c>
      <c r="D114" s="2410"/>
      <c r="E114" s="2410"/>
      <c r="F114" s="2410"/>
      <c r="G114" s="2410"/>
      <c r="H114" s="2410"/>
      <c r="I114" s="2410"/>
      <c r="J114" s="2574" t="s">
        <v>5054</v>
      </c>
      <c r="K114" s="2574"/>
      <c r="L114" s="2574"/>
      <c r="M114" s="2574"/>
      <c r="N114" s="2574"/>
      <c r="O114" s="2574"/>
      <c r="P114" s="2574"/>
      <c r="Q114" s="2574"/>
      <c r="R114" s="2574"/>
      <c r="S114" s="2574"/>
      <c r="T114" s="2574"/>
      <c r="U114" s="2575"/>
      <c r="V114" s="2576">
        <v>980</v>
      </c>
      <c r="W114" s="2577"/>
      <c r="X114" s="2577"/>
      <c r="Y114" s="2577"/>
      <c r="Z114" s="2577"/>
      <c r="AA114" s="2453" t="s">
        <v>5091</v>
      </c>
      <c r="AB114" s="2582"/>
      <c r="AC114" s="670"/>
      <c r="AD114" s="670"/>
      <c r="AE114" s="670"/>
      <c r="AF114" s="670"/>
      <c r="AG114" s="670"/>
      <c r="AH114" s="670"/>
      <c r="AI114" s="670"/>
      <c r="AJ114" s="670"/>
      <c r="AK114" s="670"/>
      <c r="AL114" s="222"/>
      <c r="AM114" s="222"/>
      <c r="AN114" s="222"/>
      <c r="AO114" s="222"/>
      <c r="AP114" s="222"/>
      <c r="AQ114" s="222"/>
      <c r="AR114" s="222"/>
      <c r="AS114" s="222"/>
      <c r="AT114" s="1153"/>
      <c r="AU114" s="234"/>
      <c r="AV114" s="651">
        <f>IF(OR(AV158=1,AV158=3),V114,0)</f>
        <v>0</v>
      </c>
      <c r="AW114" s="200" t="s">
        <v>5086</v>
      </c>
      <c r="BX114" s="7"/>
      <c r="BY114" s="24"/>
      <c r="BZ114" s="121" t="s">
        <v>5602</v>
      </c>
      <c r="CA114" s="1049" t="s">
        <v>5602</v>
      </c>
      <c r="CB114" s="1050" t="s">
        <v>5603</v>
      </c>
      <c r="CC114" s="21"/>
      <c r="CD114" s="145"/>
      <c r="CE114" s="145"/>
      <c r="CF114" s="145"/>
      <c r="CH114" s="196" t="s">
        <v>492</v>
      </c>
      <c r="CI114" s="196" t="s">
        <v>21</v>
      </c>
      <c r="CJ114" s="196">
        <v>255</v>
      </c>
      <c r="CK114" s="196" t="s">
        <v>362</v>
      </c>
      <c r="CL114" s="196" t="s">
        <v>362</v>
      </c>
      <c r="CM114" s="196"/>
      <c r="CN114" s="196" t="s">
        <v>610</v>
      </c>
      <c r="CO114" s="197" t="s">
        <v>77</v>
      </c>
      <c r="CP114" s="198"/>
      <c r="CQ114" s="10"/>
      <c r="CR114" s="61"/>
      <c r="CS114" s="61"/>
      <c r="CT114" s="61"/>
      <c r="CU114" s="61"/>
      <c r="CV114" s="60"/>
      <c r="CW114" s="55"/>
      <c r="CX114" s="55"/>
      <c r="CY114" s="56"/>
      <c r="CZ114" s="44"/>
      <c r="DA114" s="56"/>
      <c r="DC114" s="43"/>
      <c r="DD114" s="43"/>
      <c r="DE114" s="118"/>
      <c r="DF114" s="90"/>
      <c r="DG114" s="90"/>
      <c r="DH114" s="882" t="s">
        <v>3629</v>
      </c>
      <c r="DI114" s="882" t="s">
        <v>2173</v>
      </c>
      <c r="DJ114" s="544"/>
      <c r="DK114" s="101" t="str">
        <f t="shared" si="25"/>
        <v>93501PZB</v>
      </c>
      <c r="DL114" s="105" t="s">
        <v>2183</v>
      </c>
      <c r="DM114" s="105" t="s">
        <v>3630</v>
      </c>
      <c r="DN114" s="773" t="str">
        <f>T(記入シート1!I67)</f>
        <v/>
      </c>
      <c r="DO114" s="85"/>
      <c r="DP114" s="85"/>
      <c r="DX114" s="115"/>
      <c r="DY114" s="115"/>
    </row>
    <row r="115" spans="1:129" ht="19.5" customHeight="1">
      <c r="A115" s="447"/>
      <c r="B115" s="249"/>
      <c r="C115" s="2412"/>
      <c r="D115" s="2413"/>
      <c r="E115" s="2413"/>
      <c r="F115" s="2413"/>
      <c r="G115" s="2413"/>
      <c r="H115" s="2413"/>
      <c r="I115" s="2413"/>
      <c r="J115" s="2574" t="s">
        <v>5055</v>
      </c>
      <c r="K115" s="2574"/>
      <c r="L115" s="2574"/>
      <c r="M115" s="2574"/>
      <c r="N115" s="2574"/>
      <c r="O115" s="2574"/>
      <c r="P115" s="2574"/>
      <c r="Q115" s="2574"/>
      <c r="R115" s="2574"/>
      <c r="S115" s="2574"/>
      <c r="T115" s="2574"/>
      <c r="U115" s="2575"/>
      <c r="V115" s="2578">
        <v>980</v>
      </c>
      <c r="W115" s="2579"/>
      <c r="X115" s="2579"/>
      <c r="Y115" s="2579"/>
      <c r="Z115" s="2579"/>
      <c r="AA115" s="2453" t="s">
        <v>5092</v>
      </c>
      <c r="AB115" s="2582"/>
      <c r="AC115" s="670"/>
      <c r="AD115" s="670"/>
      <c r="AE115" s="670"/>
      <c r="AF115" s="670"/>
      <c r="AG115" s="670"/>
      <c r="AH115" s="670"/>
      <c r="AI115" s="670"/>
      <c r="AJ115" s="670"/>
      <c r="AK115" s="670"/>
      <c r="AL115" s="222"/>
      <c r="AM115" s="222"/>
      <c r="AN115" s="222"/>
      <c r="AO115" s="222"/>
      <c r="AP115" s="222"/>
      <c r="AQ115" s="222"/>
      <c r="AR115" s="222"/>
      <c r="AS115" s="222"/>
      <c r="AT115" s="1153"/>
      <c r="AU115" s="234"/>
      <c r="AV115" s="651">
        <f>IF(AV158=2,V115,0)</f>
        <v>980</v>
      </c>
      <c r="AW115" s="200" t="s">
        <v>5086</v>
      </c>
      <c r="BX115" s="7"/>
      <c r="BZ115" s="121" t="s">
        <v>5604</v>
      </c>
      <c r="CA115" s="1051" t="s">
        <v>5604</v>
      </c>
      <c r="CB115" s="1050" t="s">
        <v>5605</v>
      </c>
      <c r="CC115" s="21"/>
      <c r="CD115" s="145"/>
      <c r="CE115" s="145"/>
      <c r="CF115" s="145"/>
      <c r="CH115" s="196" t="s">
        <v>493</v>
      </c>
      <c r="CI115" s="196" t="s">
        <v>21</v>
      </c>
      <c r="CJ115" s="196">
        <v>40</v>
      </c>
      <c r="CK115" s="196" t="s">
        <v>494</v>
      </c>
      <c r="CL115" s="196" t="s">
        <v>494</v>
      </c>
      <c r="CM115" s="196"/>
      <c r="CN115" s="196" t="s">
        <v>612</v>
      </c>
      <c r="CO115" s="197" t="s">
        <v>495</v>
      </c>
      <c r="CP115" s="198"/>
      <c r="CQ115" s="10"/>
      <c r="CR115" s="61"/>
      <c r="CS115" s="61"/>
      <c r="CT115" s="61"/>
      <c r="CU115" s="61"/>
      <c r="CV115" s="60"/>
      <c r="CW115" s="55"/>
      <c r="CX115" s="55"/>
      <c r="CY115" s="56"/>
      <c r="CZ115" s="44"/>
      <c r="DA115" s="56"/>
      <c r="DC115" s="43"/>
      <c r="DD115" s="43"/>
      <c r="DE115" s="118"/>
      <c r="DF115" s="90"/>
      <c r="DG115" s="90"/>
      <c r="DH115" s="882" t="s">
        <v>2153</v>
      </c>
      <c r="DI115" s="882" t="s">
        <v>2173</v>
      </c>
      <c r="DJ115" s="544"/>
      <c r="DK115" s="101" t="str">
        <f t="shared" si="25"/>
        <v>93801Q26</v>
      </c>
      <c r="DL115" s="105" t="s">
        <v>3360</v>
      </c>
      <c r="DM115" s="105" t="s">
        <v>3631</v>
      </c>
      <c r="DN115" s="773" t="str">
        <f>T(記入シート1!I67)</f>
        <v/>
      </c>
      <c r="DO115" s="85"/>
      <c r="DP115" s="85"/>
      <c r="DX115" s="115"/>
      <c r="DY115" s="115"/>
    </row>
    <row r="116" spans="1:129" ht="19.5" customHeight="1">
      <c r="A116" s="447"/>
      <c r="B116" s="249"/>
      <c r="C116" s="2412"/>
      <c r="D116" s="2413"/>
      <c r="E116" s="2413"/>
      <c r="F116" s="2413"/>
      <c r="G116" s="2413"/>
      <c r="H116" s="2413"/>
      <c r="I116" s="2413"/>
      <c r="J116" s="2580" t="s">
        <v>5056</v>
      </c>
      <c r="K116" s="2580"/>
      <c r="L116" s="2580"/>
      <c r="M116" s="2580"/>
      <c r="N116" s="2580"/>
      <c r="O116" s="2580"/>
      <c r="P116" s="2580"/>
      <c r="Q116" s="2580"/>
      <c r="R116" s="2580"/>
      <c r="S116" s="2580"/>
      <c r="T116" s="2580"/>
      <c r="U116" s="2581"/>
      <c r="V116" s="2576">
        <v>1000</v>
      </c>
      <c r="W116" s="2577"/>
      <c r="X116" s="2577"/>
      <c r="Y116" s="2577"/>
      <c r="Z116" s="2577"/>
      <c r="AA116" s="2583" t="s">
        <v>5090</v>
      </c>
      <c r="AB116" s="2584"/>
      <c r="AC116" s="1224"/>
      <c r="AD116" s="1225"/>
      <c r="AE116" s="1225"/>
      <c r="AF116" s="1225"/>
      <c r="AG116" s="1226"/>
      <c r="AH116" s="1226"/>
      <c r="AI116" s="1226"/>
      <c r="AJ116" s="1226"/>
      <c r="AK116" s="1226"/>
      <c r="AL116" s="1226"/>
      <c r="AM116" s="1226"/>
      <c r="AN116" s="1226"/>
      <c r="AO116" s="1226"/>
      <c r="AP116" s="1226"/>
      <c r="AQ116" s="1226"/>
      <c r="AR116" s="1226"/>
      <c r="AS116" s="1226"/>
      <c r="AT116" s="1227"/>
      <c r="AU116" s="234"/>
      <c r="AV116" s="651">
        <f>IF(AV28=TRUE,V116,0)</f>
        <v>0</v>
      </c>
      <c r="AW116" s="200" t="s">
        <v>5086</v>
      </c>
      <c r="BY116" s="7"/>
      <c r="BZ116" s="121" t="s">
        <v>5606</v>
      </c>
      <c r="CA116" s="1051" t="s">
        <v>5606</v>
      </c>
      <c r="CB116" s="1050" t="s">
        <v>5607</v>
      </c>
      <c r="CC116" s="21"/>
      <c r="CD116" s="145"/>
      <c r="CE116" s="145"/>
      <c r="CF116" s="145"/>
      <c r="CH116" s="196" t="s">
        <v>496</v>
      </c>
      <c r="CI116" s="196" t="s">
        <v>63</v>
      </c>
      <c r="CJ116" s="196">
        <v>1</v>
      </c>
      <c r="CK116" s="196" t="s">
        <v>362</v>
      </c>
      <c r="CL116" s="196" t="s">
        <v>362</v>
      </c>
      <c r="CM116" s="196" t="s">
        <v>497</v>
      </c>
      <c r="CN116" s="196" t="s">
        <v>610</v>
      </c>
      <c r="CO116" s="197" t="s">
        <v>76</v>
      </c>
      <c r="CP116" s="198"/>
      <c r="CQ116" s="10"/>
      <c r="CR116" s="61"/>
      <c r="CS116" s="61"/>
      <c r="CT116" s="61"/>
      <c r="CU116" s="61"/>
      <c r="CV116" s="60"/>
      <c r="CW116" s="55"/>
      <c r="CX116" s="55"/>
      <c r="CY116" s="56"/>
      <c r="CZ116" s="44"/>
      <c r="DA116" s="56"/>
      <c r="DC116" s="43"/>
      <c r="DD116" s="43"/>
      <c r="DE116" s="118"/>
      <c r="DF116" s="90"/>
      <c r="DG116" s="90"/>
      <c r="DH116" s="882" t="s">
        <v>2156</v>
      </c>
      <c r="DI116" s="882" t="s">
        <v>2173</v>
      </c>
      <c r="DJ116" s="544"/>
      <c r="DK116" s="101" t="str">
        <f t="shared" si="25"/>
        <v>94101Q52</v>
      </c>
      <c r="DL116" s="105" t="s">
        <v>3556</v>
      </c>
      <c r="DM116" s="105" t="s">
        <v>3557</v>
      </c>
      <c r="DN116" s="773" t="str">
        <f>T(記入シート1!I67)</f>
        <v/>
      </c>
      <c r="DO116" s="85"/>
      <c r="DP116" s="85"/>
      <c r="DX116" s="115"/>
      <c r="DY116" s="115"/>
    </row>
    <row r="117" spans="1:129" ht="19.5" customHeight="1">
      <c r="A117" s="447"/>
      <c r="B117" s="249"/>
      <c r="C117" s="2412"/>
      <c r="D117" s="2413"/>
      <c r="E117" s="2413"/>
      <c r="F117" s="2413"/>
      <c r="G117" s="2413"/>
      <c r="H117" s="2413"/>
      <c r="I117" s="2413"/>
      <c r="J117" s="2580" t="s">
        <v>5057</v>
      </c>
      <c r="K117" s="2580"/>
      <c r="L117" s="2580"/>
      <c r="M117" s="2580"/>
      <c r="N117" s="2580"/>
      <c r="O117" s="2580"/>
      <c r="P117" s="2580"/>
      <c r="Q117" s="2580"/>
      <c r="R117" s="2580"/>
      <c r="S117" s="2580"/>
      <c r="T117" s="2580"/>
      <c r="U117" s="2581"/>
      <c r="V117" s="2576">
        <v>0</v>
      </c>
      <c r="W117" s="2577"/>
      <c r="X117" s="2577"/>
      <c r="Y117" s="2577"/>
      <c r="Z117" s="2577"/>
      <c r="AA117" s="2585" t="s">
        <v>5088</v>
      </c>
      <c r="AB117" s="2586"/>
      <c r="AC117" s="1129"/>
      <c r="AD117" s="1129"/>
      <c r="AE117" s="1129"/>
      <c r="AF117" s="1129"/>
      <c r="AG117" s="1129"/>
      <c r="AH117" s="1129"/>
      <c r="AI117" s="1129"/>
      <c r="AJ117" s="1129"/>
      <c r="AK117" s="1129"/>
      <c r="AL117" s="1129"/>
      <c r="AM117" s="1129"/>
      <c r="AN117" s="1129"/>
      <c r="AO117" s="1129"/>
      <c r="AP117" s="1129"/>
      <c r="AQ117" s="1129"/>
      <c r="AR117" s="1129"/>
      <c r="AS117" s="1129"/>
      <c r="AT117" s="1228"/>
      <c r="AU117" s="234"/>
      <c r="AV117" s="651">
        <f>IF(OR(AV84=2,AV84=3),V117,0)</f>
        <v>0</v>
      </c>
      <c r="AW117" s="200" t="s">
        <v>5086</v>
      </c>
      <c r="BY117" s="7"/>
      <c r="BZ117" s="121" t="s">
        <v>5608</v>
      </c>
      <c r="CA117" s="1051" t="s">
        <v>5608</v>
      </c>
      <c r="CB117" s="1050" t="s">
        <v>5609</v>
      </c>
      <c r="CC117" s="21"/>
      <c r="CD117" s="145"/>
      <c r="CE117" s="145"/>
      <c r="CF117" s="145"/>
      <c r="CH117" s="196" t="s">
        <v>498</v>
      </c>
      <c r="CI117" s="196" t="s">
        <v>21</v>
      </c>
      <c r="CJ117" s="196">
        <v>255</v>
      </c>
      <c r="CK117" s="196" t="s">
        <v>362</v>
      </c>
      <c r="CL117" s="196" t="s">
        <v>362</v>
      </c>
      <c r="CM117" s="196"/>
      <c r="CN117" s="196" t="s">
        <v>613</v>
      </c>
      <c r="CO117" s="197" t="s">
        <v>75</v>
      </c>
      <c r="CP117" s="198"/>
      <c r="CQ117" s="10"/>
      <c r="CR117" s="61"/>
      <c r="CS117" s="61"/>
      <c r="CT117" s="61"/>
      <c r="CU117" s="61"/>
      <c r="CV117" s="60"/>
      <c r="CW117" s="55"/>
      <c r="CX117" s="55"/>
      <c r="CY117" s="56"/>
      <c r="CZ117" s="44"/>
      <c r="DA117" s="56"/>
      <c r="DC117" s="43"/>
      <c r="DD117" s="43"/>
      <c r="DE117" s="118"/>
      <c r="DF117" s="90"/>
      <c r="DG117" s="90"/>
      <c r="DH117" s="882" t="s">
        <v>2156</v>
      </c>
      <c r="DI117" s="882" t="s">
        <v>3238</v>
      </c>
      <c r="DJ117" s="544"/>
      <c r="DK117" s="101" t="str">
        <f t="shared" si="25"/>
        <v>94101Q53</v>
      </c>
      <c r="DL117" s="105" t="s">
        <v>3556</v>
      </c>
      <c r="DM117" s="105" t="s">
        <v>3558</v>
      </c>
      <c r="DN117" s="773" t="str">
        <f>T(記入シート1!I66)</f>
        <v/>
      </c>
      <c r="DO117" s="85"/>
      <c r="DP117" s="85"/>
      <c r="DX117" s="115"/>
      <c r="DY117" s="115"/>
    </row>
    <row r="118" spans="1:129" ht="19.5" customHeight="1" thickBot="1">
      <c r="A118" s="447"/>
      <c r="B118" s="249"/>
      <c r="C118" s="2412"/>
      <c r="D118" s="2413"/>
      <c r="E118" s="2413"/>
      <c r="F118" s="2413"/>
      <c r="G118" s="2413"/>
      <c r="H118" s="2413"/>
      <c r="I118" s="2413"/>
      <c r="J118" s="2785" t="s">
        <v>5058</v>
      </c>
      <c r="K118" s="2785"/>
      <c r="L118" s="2785"/>
      <c r="M118" s="2785"/>
      <c r="N118" s="2785"/>
      <c r="O118" s="2785"/>
      <c r="P118" s="2785"/>
      <c r="Q118" s="2785"/>
      <c r="R118" s="2785"/>
      <c r="S118" s="2785"/>
      <c r="T118" s="2785"/>
      <c r="U118" s="2786"/>
      <c r="V118" s="2787">
        <v>0</v>
      </c>
      <c r="W118" s="2788"/>
      <c r="X118" s="2788"/>
      <c r="Y118" s="2788"/>
      <c r="Z118" s="2788"/>
      <c r="AA118" s="2587" t="s">
        <v>5093</v>
      </c>
      <c r="AB118" s="2588"/>
      <c r="AC118" s="739"/>
      <c r="AD118" s="739"/>
      <c r="AE118" s="739"/>
      <c r="AF118" s="739"/>
      <c r="AG118" s="740"/>
      <c r="AH118" s="740"/>
      <c r="AI118" s="740"/>
      <c r="AJ118" s="740"/>
      <c r="AK118" s="740"/>
      <c r="AL118" s="740"/>
      <c r="AM118" s="740"/>
      <c r="AN118" s="740"/>
      <c r="AO118" s="740"/>
      <c r="AP118" s="740"/>
      <c r="AQ118" s="740"/>
      <c r="AR118" s="740"/>
      <c r="AS118" s="740"/>
      <c r="AT118" s="741"/>
      <c r="AU118" s="234"/>
      <c r="AV118" s="651">
        <f>IF(AV42=TRUE,V118,0)</f>
        <v>0</v>
      </c>
      <c r="AW118" s="200" t="s">
        <v>5086</v>
      </c>
      <c r="BY118" s="7"/>
      <c r="BZ118" s="121" t="s">
        <v>5610</v>
      </c>
      <c r="CA118" s="1051" t="s">
        <v>5610</v>
      </c>
      <c r="CB118" s="1050" t="s">
        <v>5611</v>
      </c>
      <c r="CC118" s="21"/>
      <c r="CD118" s="145"/>
      <c r="CE118" s="145"/>
      <c r="CF118" s="145"/>
      <c r="CH118" s="196" t="s">
        <v>499</v>
      </c>
      <c r="CI118" s="196" t="s">
        <v>63</v>
      </c>
      <c r="CJ118" s="196">
        <v>1</v>
      </c>
      <c r="CK118" s="196" t="s">
        <v>500</v>
      </c>
      <c r="CL118" s="196" t="s">
        <v>500</v>
      </c>
      <c r="CM118" s="196" t="s">
        <v>501</v>
      </c>
      <c r="CN118" s="196" t="s">
        <v>610</v>
      </c>
      <c r="CO118" s="197" t="s">
        <v>74</v>
      </c>
      <c r="CP118" s="198"/>
      <c r="CQ118" s="10"/>
      <c r="CR118" s="61"/>
      <c r="CS118" s="61"/>
      <c r="CT118" s="61"/>
      <c r="CU118" s="61"/>
      <c r="CV118" s="60"/>
      <c r="CW118" s="55"/>
      <c r="CX118" s="55"/>
      <c r="CY118" s="56"/>
      <c r="CZ118" s="44"/>
      <c r="DA118" s="56"/>
      <c r="DC118" s="43"/>
      <c r="DD118" s="43"/>
      <c r="DE118" s="118"/>
      <c r="DF118" s="90"/>
      <c r="DG118" s="90"/>
      <c r="DH118" s="882" t="s">
        <v>2156</v>
      </c>
      <c r="DI118" s="882" t="s">
        <v>3550</v>
      </c>
      <c r="DJ118" s="544"/>
      <c r="DK118" s="101" t="str">
        <f t="shared" si="25"/>
        <v>94101Q54</v>
      </c>
      <c r="DL118" s="105" t="s">
        <v>3556</v>
      </c>
      <c r="DM118" s="105" t="s">
        <v>3559</v>
      </c>
      <c r="DN118" s="773" t="str">
        <f>IF(OR(AV76="0000",AV76=""),"",ASC(AV76))</f>
        <v>1800</v>
      </c>
      <c r="DO118" s="85"/>
      <c r="DP118" s="85"/>
      <c r="DV118" s="30"/>
      <c r="DX118" s="115"/>
      <c r="DY118" s="115"/>
    </row>
    <row r="119" spans="1:129" ht="19.5" customHeight="1">
      <c r="A119" s="447"/>
      <c r="B119" s="249"/>
      <c r="C119" s="2412"/>
      <c r="D119" s="2413"/>
      <c r="E119" s="2413"/>
      <c r="F119" s="2413"/>
      <c r="G119" s="2413"/>
      <c r="H119" s="2413"/>
      <c r="I119" s="2413"/>
      <c r="J119" s="2789" t="s">
        <v>5528</v>
      </c>
      <c r="K119" s="2789"/>
      <c r="L119" s="2789"/>
      <c r="M119" s="2789"/>
      <c r="N119" s="2789"/>
      <c r="O119" s="2789"/>
      <c r="P119" s="2789"/>
      <c r="Q119" s="2789"/>
      <c r="R119" s="2789"/>
      <c r="S119" s="2789"/>
      <c r="T119" s="2789"/>
      <c r="U119" s="2790"/>
      <c r="V119" s="2791">
        <f>SUM(AV114:AV118)</f>
        <v>980</v>
      </c>
      <c r="W119" s="2792"/>
      <c r="X119" s="2792"/>
      <c r="Y119" s="2792"/>
      <c r="Z119" s="2793"/>
      <c r="AA119" s="1322"/>
      <c r="AB119" s="1323"/>
      <c r="AC119" s="1326"/>
      <c r="AD119" s="1327"/>
      <c r="AE119" s="1327"/>
      <c r="AF119" s="1327"/>
      <c r="AG119" s="740"/>
      <c r="AH119" s="740"/>
      <c r="AI119" s="740"/>
      <c r="AJ119" s="740"/>
      <c r="AK119" s="740"/>
      <c r="AL119" s="740"/>
      <c r="AM119" s="740"/>
      <c r="AN119" s="740"/>
      <c r="AO119" s="740"/>
      <c r="AP119" s="740"/>
      <c r="AQ119" s="740"/>
      <c r="AR119" s="740"/>
      <c r="AS119" s="740"/>
      <c r="AT119" s="741"/>
      <c r="AU119" s="234"/>
      <c r="BY119" s="7"/>
      <c r="BZ119" s="121" t="s">
        <v>5612</v>
      </c>
      <c r="CA119" s="1051" t="s">
        <v>5612</v>
      </c>
      <c r="CB119" s="1050" t="s">
        <v>5613</v>
      </c>
      <c r="CC119" s="21"/>
      <c r="CD119" s="145"/>
      <c r="CE119" s="145"/>
      <c r="CF119" s="145"/>
      <c r="CG119" s="30"/>
      <c r="CH119" s="196" t="s">
        <v>502</v>
      </c>
      <c r="CI119" s="196" t="s">
        <v>21</v>
      </c>
      <c r="CJ119" s="196">
        <v>255</v>
      </c>
      <c r="CK119" s="196" t="s">
        <v>83</v>
      </c>
      <c r="CL119" s="196" t="s">
        <v>83</v>
      </c>
      <c r="CM119" s="196"/>
      <c r="CN119" s="196" t="s">
        <v>613</v>
      </c>
      <c r="CO119" s="197" t="s">
        <v>73</v>
      </c>
      <c r="CP119" s="198"/>
      <c r="CQ119" s="10"/>
      <c r="CR119" s="61"/>
      <c r="CS119" s="61"/>
      <c r="CT119" s="61"/>
      <c r="CU119" s="61"/>
      <c r="CV119" s="60"/>
      <c r="CW119" s="55"/>
      <c r="CX119" s="55"/>
      <c r="CY119" s="56"/>
      <c r="CZ119" s="44"/>
      <c r="DA119" s="56"/>
      <c r="DC119" s="43"/>
      <c r="DD119" s="43"/>
      <c r="DE119" s="118"/>
      <c r="DF119" s="90"/>
      <c r="DG119" s="90"/>
      <c r="DH119" s="882" t="s">
        <v>2156</v>
      </c>
      <c r="DI119" s="882" t="s">
        <v>3551</v>
      </c>
      <c r="DJ119" s="544"/>
      <c r="DK119" s="101" t="str">
        <f t="shared" si="25"/>
        <v>94101Q55</v>
      </c>
      <c r="DL119" s="105" t="s">
        <v>3556</v>
      </c>
      <c r="DM119" s="105" t="s">
        <v>3560</v>
      </c>
      <c r="DN119" s="773" t="str">
        <f>IF(OR(AV77="0000",AV77=""),"",ASC(AV77))</f>
        <v>1801</v>
      </c>
      <c r="DO119" s="85"/>
      <c r="DP119" s="85"/>
      <c r="DV119" s="30"/>
      <c r="DX119" s="115"/>
      <c r="DY119" s="115"/>
    </row>
    <row r="120" spans="1:129" ht="19.5" customHeight="1" thickBot="1">
      <c r="A120" s="447"/>
      <c r="B120" s="249"/>
      <c r="C120" s="2811"/>
      <c r="D120" s="2812"/>
      <c r="E120" s="2812"/>
      <c r="F120" s="2812"/>
      <c r="G120" s="2812"/>
      <c r="H120" s="2812"/>
      <c r="I120" s="2812"/>
      <c r="J120" s="2813" t="s">
        <v>5059</v>
      </c>
      <c r="K120" s="2813"/>
      <c r="L120" s="2813"/>
      <c r="M120" s="2813"/>
      <c r="N120" s="2813"/>
      <c r="O120" s="2813"/>
      <c r="P120" s="2813"/>
      <c r="Q120" s="2813"/>
      <c r="R120" s="2813"/>
      <c r="S120" s="2813"/>
      <c r="T120" s="2813"/>
      <c r="U120" s="2814"/>
      <c r="V120" s="2815">
        <f>IF(AA126=0,V119,((AV114+AV115+AV116+AV118)*AA126)+AV117)</f>
        <v>980</v>
      </c>
      <c r="W120" s="2816"/>
      <c r="X120" s="2816"/>
      <c r="Y120" s="2816"/>
      <c r="Z120" s="2817"/>
      <c r="AA120" s="1324"/>
      <c r="AB120" s="1325"/>
      <c r="AC120" s="1328"/>
      <c r="AD120" s="1329"/>
      <c r="AE120" s="1329"/>
      <c r="AF120" s="1329"/>
      <c r="AG120" s="1329"/>
      <c r="AH120" s="1329"/>
      <c r="AI120" s="1329"/>
      <c r="AJ120" s="1329"/>
      <c r="AK120" s="1329"/>
      <c r="AL120" s="1329"/>
      <c r="AM120" s="1329"/>
      <c r="AN120" s="1329"/>
      <c r="AO120" s="1329"/>
      <c r="AP120" s="1329"/>
      <c r="AQ120" s="1329"/>
      <c r="AR120" s="1329"/>
      <c r="AS120" s="1329"/>
      <c r="AT120" s="1330"/>
      <c r="AU120" s="234"/>
      <c r="BY120" s="7"/>
      <c r="BZ120" s="121" t="s">
        <v>5614</v>
      </c>
      <c r="CA120" s="1049" t="s">
        <v>5614</v>
      </c>
      <c r="CB120" s="729" t="s">
        <v>5615</v>
      </c>
      <c r="CC120" s="21"/>
      <c r="CD120" s="145"/>
      <c r="CE120" s="145"/>
      <c r="CF120" s="145"/>
      <c r="CG120" s="30"/>
      <c r="CH120" s="196" t="s">
        <v>503</v>
      </c>
      <c r="CI120" s="196" t="s">
        <v>63</v>
      </c>
      <c r="CJ120" s="196">
        <v>1</v>
      </c>
      <c r="CK120" s="196" t="s">
        <v>83</v>
      </c>
      <c r="CL120" s="196" t="s">
        <v>83</v>
      </c>
      <c r="CM120" s="196" t="s">
        <v>504</v>
      </c>
      <c r="CN120" s="196" t="s">
        <v>610</v>
      </c>
      <c r="CO120" s="286" t="s">
        <v>72</v>
      </c>
      <c r="CP120" s="198"/>
      <c r="CQ120" s="10"/>
      <c r="CR120" s="61"/>
      <c r="CS120" s="61"/>
      <c r="CT120" s="61"/>
      <c r="CU120" s="61"/>
      <c r="CV120" s="60"/>
      <c r="CW120" s="55"/>
      <c r="CX120" s="55"/>
      <c r="CY120" s="56"/>
      <c r="CZ120" s="44"/>
      <c r="DA120" s="56"/>
      <c r="DC120" s="43"/>
      <c r="DD120" s="43"/>
      <c r="DE120" s="118"/>
      <c r="DF120" s="90"/>
      <c r="DH120" s="882" t="s">
        <v>2156</v>
      </c>
      <c r="DI120" s="882" t="s">
        <v>2174</v>
      </c>
      <c r="DJ120" s="544" t="s">
        <v>3552</v>
      </c>
      <c r="DK120" s="101" t="str">
        <f t="shared" si="25"/>
        <v>94101Q56</v>
      </c>
      <c r="DL120" s="105" t="s">
        <v>3556</v>
      </c>
      <c r="DM120" s="105" t="s">
        <v>3564</v>
      </c>
      <c r="DN120" s="773" t="str">
        <f>"1"</f>
        <v>1</v>
      </c>
      <c r="DO120" s="85"/>
      <c r="DP120" s="85"/>
      <c r="DV120" s="30"/>
      <c r="DX120" s="115"/>
      <c r="DY120" s="115"/>
    </row>
    <row r="121" spans="1:129" ht="19.5" customHeight="1">
      <c r="A121" s="447"/>
      <c r="B121" s="249"/>
      <c r="C121" s="595"/>
      <c r="D121" s="595"/>
      <c r="E121" s="595"/>
      <c r="F121" s="595"/>
      <c r="G121" s="595"/>
      <c r="H121" s="595"/>
      <c r="I121" s="595"/>
      <c r="J121" s="595"/>
      <c r="K121" s="595"/>
      <c r="L121" s="595"/>
      <c r="M121" s="595"/>
      <c r="N121" s="595"/>
      <c r="O121" s="595"/>
      <c r="P121" s="595"/>
      <c r="Q121" s="687"/>
      <c r="R121" s="687"/>
      <c r="S121" s="687"/>
      <c r="T121" s="687"/>
      <c r="U121" s="687"/>
      <c r="V121" s="687"/>
      <c r="W121" s="687"/>
      <c r="X121" s="687"/>
      <c r="Y121" s="687"/>
      <c r="Z121" s="687"/>
      <c r="AA121" s="687"/>
      <c r="AB121" s="687"/>
      <c r="AC121" s="687"/>
      <c r="AD121" s="687"/>
      <c r="AE121" s="687"/>
      <c r="AF121" s="687"/>
      <c r="AG121" s="687"/>
      <c r="AH121" s="687"/>
      <c r="AI121" s="687"/>
      <c r="AJ121" s="687"/>
      <c r="AK121" s="687"/>
      <c r="AL121" s="687"/>
      <c r="AM121" s="687"/>
      <c r="AN121" s="687"/>
      <c r="AO121" s="687"/>
      <c r="AP121" s="687"/>
      <c r="AQ121" s="687"/>
      <c r="AR121" s="687"/>
      <c r="AS121" s="687"/>
      <c r="AT121" s="687"/>
      <c r="AU121" s="234"/>
      <c r="BY121" s="7"/>
      <c r="BZ121" s="121" t="s">
        <v>5616</v>
      </c>
      <c r="CA121" s="1049" t="s">
        <v>5616</v>
      </c>
      <c r="CB121" s="729" t="s">
        <v>5617</v>
      </c>
      <c r="CC121" s="21"/>
      <c r="CD121" s="145"/>
      <c r="CE121" s="145"/>
      <c r="CF121" s="145"/>
      <c r="CG121" s="30"/>
      <c r="CH121" s="196" t="s">
        <v>505</v>
      </c>
      <c r="CI121" s="196" t="s">
        <v>63</v>
      </c>
      <c r="CJ121" s="196">
        <v>1</v>
      </c>
      <c r="CK121" s="196" t="s">
        <v>83</v>
      </c>
      <c r="CL121" s="196" t="s">
        <v>83</v>
      </c>
      <c r="CM121" s="196" t="s">
        <v>504</v>
      </c>
      <c r="CN121" s="196" t="s">
        <v>610</v>
      </c>
      <c r="CO121" s="286" t="s">
        <v>71</v>
      </c>
      <c r="CP121" s="198"/>
      <c r="CQ121" s="10"/>
      <c r="CR121" s="61"/>
      <c r="CS121" s="61"/>
      <c r="CT121" s="61"/>
      <c r="CU121" s="61"/>
      <c r="CV121" s="60"/>
      <c r="CW121" s="55"/>
      <c r="CX121" s="55"/>
      <c r="CY121" s="56"/>
      <c r="CZ121" s="44"/>
      <c r="DA121" s="56"/>
      <c r="DC121" s="43"/>
      <c r="DD121" s="43"/>
      <c r="DE121" s="118"/>
      <c r="DF121" s="90"/>
      <c r="DH121" s="882" t="s">
        <v>2156</v>
      </c>
      <c r="DI121" s="882" t="s">
        <v>3553</v>
      </c>
      <c r="DJ121" s="544" t="s">
        <v>3554</v>
      </c>
      <c r="DK121" s="101" t="str">
        <f t="shared" si="25"/>
        <v>94101Q57</v>
      </c>
      <c r="DL121" s="105" t="s">
        <v>3556</v>
      </c>
      <c r="DM121" s="105" t="s">
        <v>3561</v>
      </c>
      <c r="DN121" s="773" t="str">
        <f>ASC(AX77)</f>
        <v>0</v>
      </c>
      <c r="DO121" s="85"/>
      <c r="DP121" s="85"/>
      <c r="DV121" s="30"/>
      <c r="DX121" s="115"/>
      <c r="DY121" s="115"/>
    </row>
    <row r="122" spans="1:129" ht="19.5" customHeight="1">
      <c r="A122" s="210"/>
      <c r="B122" s="249"/>
      <c r="C122" s="360"/>
      <c r="D122" s="360"/>
      <c r="E122" s="360"/>
      <c r="F122" s="360"/>
      <c r="G122" s="360"/>
      <c r="H122" s="360"/>
      <c r="I122" s="360"/>
      <c r="J122" s="360"/>
      <c r="K122" s="360"/>
      <c r="L122" s="212"/>
      <c r="M122" s="1395"/>
      <c r="N122" s="1474"/>
      <c r="O122" s="1474"/>
      <c r="P122" s="1474"/>
      <c r="Q122" s="1474"/>
      <c r="R122" s="1474"/>
      <c r="S122" s="1474"/>
      <c r="T122" s="1474"/>
      <c r="U122" s="1474"/>
      <c r="V122" s="1474"/>
      <c r="W122" s="1474"/>
      <c r="X122" s="1474"/>
      <c r="Y122" s="1474"/>
      <c r="Z122" s="1474"/>
      <c r="AA122" s="1474"/>
      <c r="AB122" s="1474"/>
      <c r="AC122" s="1474"/>
      <c r="AD122" s="1474"/>
      <c r="AE122" s="1474"/>
      <c r="AF122" s="1474"/>
      <c r="AG122" s="1474"/>
      <c r="AH122" s="1474"/>
      <c r="AI122" s="1474"/>
      <c r="AJ122" s="1474"/>
      <c r="AK122" s="1474"/>
      <c r="AL122" s="1474"/>
      <c r="AM122" s="1474"/>
      <c r="AN122" s="1474"/>
      <c r="AO122" s="1474"/>
      <c r="AP122" s="1474"/>
      <c r="AQ122" s="1474"/>
      <c r="AR122" s="1474"/>
      <c r="AS122" s="1474"/>
      <c r="AT122" s="1474"/>
      <c r="AU122" s="234"/>
      <c r="AW122" s="199"/>
      <c r="BY122" s="7"/>
      <c r="BZ122" s="121" t="s">
        <v>5618</v>
      </c>
      <c r="CA122" s="1049" t="s">
        <v>5618</v>
      </c>
      <c r="CB122" s="729" t="s">
        <v>5619</v>
      </c>
      <c r="CC122" s="22"/>
      <c r="CD122" s="145"/>
      <c r="CE122" s="145"/>
      <c r="CF122" s="145"/>
      <c r="CG122" s="30"/>
      <c r="CH122" s="196" t="s">
        <v>506</v>
      </c>
      <c r="CI122" s="196" t="s">
        <v>63</v>
      </c>
      <c r="CJ122" s="196">
        <v>1</v>
      </c>
      <c r="CK122" s="196" t="s">
        <v>507</v>
      </c>
      <c r="CL122" s="196" t="s">
        <v>507</v>
      </c>
      <c r="CM122" s="196" t="s">
        <v>508</v>
      </c>
      <c r="CN122" s="196" t="s">
        <v>610</v>
      </c>
      <c r="CO122" s="286" t="s">
        <v>70</v>
      </c>
      <c r="CP122" s="198"/>
      <c r="CQ122" s="10"/>
      <c r="CR122" s="61"/>
      <c r="CS122" s="61"/>
      <c r="CT122" s="61"/>
      <c r="CU122" s="61"/>
      <c r="CV122" s="60"/>
      <c r="CW122" s="55"/>
      <c r="CX122" s="55"/>
      <c r="CY122" s="56"/>
      <c r="CZ122" s="44"/>
      <c r="DA122" s="56"/>
      <c r="DC122" s="43"/>
      <c r="DD122" s="43"/>
      <c r="DE122" s="118"/>
      <c r="DF122" s="90"/>
      <c r="DH122" s="882" t="s">
        <v>2156</v>
      </c>
      <c r="DI122" s="882" t="s">
        <v>3555</v>
      </c>
      <c r="DJ122" s="544" t="s">
        <v>3394</v>
      </c>
      <c r="DK122" s="101" t="str">
        <f t="shared" si="25"/>
        <v>94101Q58</v>
      </c>
      <c r="DL122" s="105" t="s">
        <v>3556</v>
      </c>
      <c r="DM122" s="105" t="s">
        <v>3562</v>
      </c>
      <c r="DN122" s="773" t="str">
        <f>IF(AY77=1,"1","0")</f>
        <v>0</v>
      </c>
      <c r="DO122" s="85"/>
      <c r="DP122" s="85"/>
      <c r="DV122" s="30"/>
      <c r="DX122" s="115"/>
      <c r="DY122" s="115"/>
    </row>
    <row r="123" spans="1:129" ht="19.5" customHeight="1" thickBot="1">
      <c r="A123" s="210"/>
      <c r="B123" s="249"/>
      <c r="C123" s="360"/>
      <c r="D123" s="360"/>
      <c r="E123" s="360"/>
      <c r="F123" s="360"/>
      <c r="G123" s="360"/>
      <c r="H123" s="360"/>
      <c r="I123" s="360"/>
      <c r="J123" s="360"/>
      <c r="K123" s="360"/>
      <c r="L123" s="212"/>
      <c r="M123" s="1474"/>
      <c r="N123" s="1474"/>
      <c r="O123" s="1474"/>
      <c r="P123" s="1474"/>
      <c r="Q123" s="1474"/>
      <c r="R123" s="1474"/>
      <c r="S123" s="1474"/>
      <c r="T123" s="1474"/>
      <c r="U123" s="1474"/>
      <c r="V123" s="1474"/>
      <c r="W123" s="1474"/>
      <c r="X123" s="1474"/>
      <c r="Y123" s="1474"/>
      <c r="Z123" s="1474"/>
      <c r="AA123" s="1474"/>
      <c r="AB123" s="1474"/>
      <c r="AC123" s="1474"/>
      <c r="AD123" s="1474"/>
      <c r="AE123" s="1474"/>
      <c r="AF123" s="1475"/>
      <c r="AG123" s="1475"/>
      <c r="AH123" s="1475"/>
      <c r="AI123" s="1475"/>
      <c r="AJ123" s="1475"/>
      <c r="AK123" s="1475"/>
      <c r="AL123" s="1475"/>
      <c r="AM123" s="1475"/>
      <c r="AN123" s="1475"/>
      <c r="AO123" s="1475"/>
      <c r="AP123" s="1475"/>
      <c r="AQ123" s="1475"/>
      <c r="AR123" s="1475"/>
      <c r="AS123" s="1475"/>
      <c r="AT123" s="1475"/>
      <c r="AU123" s="234"/>
      <c r="BY123" s="7"/>
      <c r="BZ123" s="121" t="s">
        <v>5620</v>
      </c>
      <c r="CA123" s="1049" t="s">
        <v>5620</v>
      </c>
      <c r="CB123" s="729" t="s">
        <v>5621</v>
      </c>
      <c r="CC123" s="22"/>
      <c r="CD123" s="145"/>
      <c r="CE123" s="145"/>
      <c r="CF123" s="145"/>
      <c r="CG123" s="30"/>
      <c r="CH123" s="196" t="s">
        <v>509</v>
      </c>
      <c r="CI123" s="196" t="s">
        <v>21</v>
      </c>
      <c r="CJ123" s="196">
        <v>255</v>
      </c>
      <c r="CK123" s="196" t="s">
        <v>510</v>
      </c>
      <c r="CL123" s="196" t="s">
        <v>510</v>
      </c>
      <c r="CM123" s="196"/>
      <c r="CN123" s="196" t="s">
        <v>613</v>
      </c>
      <c r="CO123" s="286" t="s">
        <v>69</v>
      </c>
      <c r="CP123" s="198"/>
      <c r="CQ123" s="10"/>
      <c r="CR123" s="61"/>
      <c r="CS123" s="61"/>
      <c r="CT123" s="61"/>
      <c r="CU123" s="61"/>
      <c r="CV123" s="60"/>
      <c r="CW123" s="55"/>
      <c r="CX123" s="55"/>
      <c r="CY123" s="56"/>
      <c r="CZ123" s="44"/>
      <c r="DA123" s="56"/>
      <c r="DC123" s="43"/>
      <c r="DD123" s="43"/>
      <c r="DE123" s="118"/>
      <c r="DF123" s="90"/>
      <c r="DH123" s="1029" t="s">
        <v>3775</v>
      </c>
      <c r="DI123" s="1029" t="s">
        <v>2173</v>
      </c>
      <c r="DJ123" s="1030"/>
      <c r="DK123" s="101" t="str">
        <f t="shared" si="25"/>
        <v>94301Q72</v>
      </c>
      <c r="DL123" s="1031" t="s">
        <v>3795</v>
      </c>
      <c r="DM123" s="1031" t="s">
        <v>3796</v>
      </c>
      <c r="DN123" s="1032" t="str">
        <f>T(記入シート1!I67)</f>
        <v/>
      </c>
      <c r="DO123" s="85"/>
      <c r="DP123" s="85"/>
      <c r="DV123" s="30"/>
      <c r="DX123" s="115"/>
      <c r="DY123" s="115"/>
    </row>
    <row r="124" spans="1:129" ht="19.5" customHeight="1" thickTop="1">
      <c r="A124" s="210"/>
      <c r="B124" s="249"/>
      <c r="C124" s="2597"/>
      <c r="D124" s="2598"/>
      <c r="E124" s="2598"/>
      <c r="F124" s="2598"/>
      <c r="G124" s="2598"/>
      <c r="H124" s="2598"/>
      <c r="I124" s="2598"/>
      <c r="J124" s="2598"/>
      <c r="K124" s="2598"/>
      <c r="L124" s="2598"/>
      <c r="M124" s="2598"/>
      <c r="N124" s="2598"/>
      <c r="O124" s="2598"/>
      <c r="P124" s="2598"/>
      <c r="Q124" s="2598"/>
      <c r="R124" s="2598"/>
      <c r="S124" s="2598"/>
      <c r="T124" s="2598"/>
      <c r="U124" s="2599"/>
      <c r="V124" s="2603" t="s">
        <v>3773</v>
      </c>
      <c r="W124" s="2604"/>
      <c r="X124" s="2604"/>
      <c r="Y124" s="2604"/>
      <c r="Z124" s="2605"/>
      <c r="AA124" s="2608" t="s">
        <v>847</v>
      </c>
      <c r="AB124" s="2608"/>
      <c r="AC124" s="2608"/>
      <c r="AD124" s="2609"/>
      <c r="AE124" s="1933" t="s">
        <v>3774</v>
      </c>
      <c r="AF124" s="1933"/>
      <c r="AG124" s="1933"/>
      <c r="AH124" s="1933"/>
      <c r="AI124" s="1933"/>
      <c r="AJ124" s="1934"/>
      <c r="AK124" s="1937" t="s">
        <v>850</v>
      </c>
      <c r="AL124" s="1938"/>
      <c r="AM124" s="1938"/>
      <c r="AN124" s="1938"/>
      <c r="AO124" s="1938"/>
      <c r="AP124" s="1938"/>
      <c r="AQ124" s="1938"/>
      <c r="AR124" s="1938"/>
      <c r="AS124" s="1938"/>
      <c r="AT124" s="1939"/>
      <c r="AU124" s="234"/>
      <c r="BY124" s="7"/>
      <c r="BZ124" s="121" t="s">
        <v>5622</v>
      </c>
      <c r="CA124" s="1049" t="s">
        <v>5622</v>
      </c>
      <c r="CB124" s="1050" t="s">
        <v>5623</v>
      </c>
      <c r="CC124" s="22"/>
      <c r="CD124" s="145"/>
      <c r="CE124" s="145"/>
      <c r="CF124" s="145"/>
      <c r="CG124" s="30"/>
      <c r="CH124" s="196" t="s">
        <v>511</v>
      </c>
      <c r="CI124" s="196" t="s">
        <v>21</v>
      </c>
      <c r="CJ124" s="196">
        <v>255</v>
      </c>
      <c r="CK124" s="196" t="s">
        <v>432</v>
      </c>
      <c r="CL124" s="196" t="s">
        <v>432</v>
      </c>
      <c r="CM124" s="196"/>
      <c r="CN124" s="196"/>
      <c r="CO124" s="197" t="s">
        <v>68</v>
      </c>
      <c r="CP124" s="198"/>
      <c r="CQ124" s="10"/>
      <c r="CR124" s="61"/>
      <c r="CS124" s="61"/>
      <c r="CT124" s="61"/>
      <c r="CU124" s="61"/>
      <c r="CV124" s="60"/>
      <c r="CW124" s="55"/>
      <c r="CX124" s="55"/>
      <c r="CY124" s="56"/>
      <c r="CZ124" s="44"/>
      <c r="DA124" s="56"/>
      <c r="DC124" s="43"/>
      <c r="DD124" s="43"/>
      <c r="DE124" s="118"/>
      <c r="DF124" s="90"/>
      <c r="DH124" s="1029" t="s">
        <v>3775</v>
      </c>
      <c r="DI124" s="1029" t="s">
        <v>3238</v>
      </c>
      <c r="DJ124" s="1030"/>
      <c r="DK124" s="101" t="str">
        <f t="shared" si="25"/>
        <v>94301Q73</v>
      </c>
      <c r="DL124" s="1031" t="s">
        <v>3795</v>
      </c>
      <c r="DM124" s="1031" t="s">
        <v>3797</v>
      </c>
      <c r="DN124" s="1032" t="str">
        <f>T(記入シート1!I66)</f>
        <v/>
      </c>
      <c r="DO124" s="85"/>
      <c r="DP124" s="85"/>
      <c r="DV124" s="30"/>
      <c r="DX124" s="115"/>
      <c r="DY124" s="115"/>
    </row>
    <row r="125" spans="1:129" ht="19.5" customHeight="1">
      <c r="A125" s="210"/>
      <c r="B125" s="249"/>
      <c r="C125" s="2600"/>
      <c r="D125" s="2601"/>
      <c r="E125" s="2601"/>
      <c r="F125" s="2601"/>
      <c r="G125" s="2601"/>
      <c r="H125" s="2601"/>
      <c r="I125" s="2601"/>
      <c r="J125" s="2601"/>
      <c r="K125" s="2601"/>
      <c r="L125" s="2601"/>
      <c r="M125" s="2601"/>
      <c r="N125" s="2601"/>
      <c r="O125" s="2601"/>
      <c r="P125" s="2601"/>
      <c r="Q125" s="2601"/>
      <c r="R125" s="2601"/>
      <c r="S125" s="2601"/>
      <c r="T125" s="2601"/>
      <c r="U125" s="3056"/>
      <c r="V125" s="2606"/>
      <c r="W125" s="1935"/>
      <c r="X125" s="1935"/>
      <c r="Y125" s="1935"/>
      <c r="Z125" s="2607"/>
      <c r="AA125" s="2610"/>
      <c r="AB125" s="2611"/>
      <c r="AC125" s="2611"/>
      <c r="AD125" s="2612"/>
      <c r="AE125" s="1935"/>
      <c r="AF125" s="1935"/>
      <c r="AG125" s="1935"/>
      <c r="AH125" s="1935"/>
      <c r="AI125" s="1935"/>
      <c r="AJ125" s="1936"/>
      <c r="AK125" s="1940"/>
      <c r="AL125" s="1941"/>
      <c r="AM125" s="1941"/>
      <c r="AN125" s="1941"/>
      <c r="AO125" s="1941"/>
      <c r="AP125" s="1941"/>
      <c r="AQ125" s="1941"/>
      <c r="AR125" s="1941"/>
      <c r="AS125" s="1941"/>
      <c r="AT125" s="1942"/>
      <c r="AU125" s="234"/>
      <c r="BY125" s="7"/>
      <c r="BZ125" s="121" t="s">
        <v>5624</v>
      </c>
      <c r="CA125" s="1049" t="s">
        <v>5624</v>
      </c>
      <c r="CB125" s="1050" t="s">
        <v>5625</v>
      </c>
      <c r="CC125" s="22"/>
      <c r="CD125" s="145"/>
      <c r="CE125" s="145"/>
      <c r="CF125" s="145"/>
      <c r="CG125" s="30">
        <v>5077</v>
      </c>
      <c r="CH125" s="196" t="s">
        <v>512</v>
      </c>
      <c r="CI125" s="196" t="s">
        <v>63</v>
      </c>
      <c r="CJ125" s="196">
        <v>1</v>
      </c>
      <c r="CK125" s="196" t="s">
        <v>83</v>
      </c>
      <c r="CL125" s="196" t="s">
        <v>83</v>
      </c>
      <c r="CM125" s="196" t="s">
        <v>513</v>
      </c>
      <c r="CN125" s="196" t="s">
        <v>610</v>
      </c>
      <c r="CO125" s="197" t="s">
        <v>67</v>
      </c>
      <c r="CP125" s="198"/>
      <c r="CQ125" s="10"/>
      <c r="CR125" s="61"/>
      <c r="CS125" s="61"/>
      <c r="CT125" s="61"/>
      <c r="CU125" s="61"/>
      <c r="CV125" s="60"/>
      <c r="CW125" s="55"/>
      <c r="CX125" s="55"/>
      <c r="CY125" s="56"/>
      <c r="CZ125" s="44"/>
      <c r="DA125" s="56"/>
      <c r="DC125" s="43"/>
      <c r="DD125" s="43"/>
      <c r="DE125" s="118"/>
      <c r="DF125" s="90"/>
      <c r="DH125" s="1029" t="s">
        <v>3775</v>
      </c>
      <c r="DI125" s="1029" t="s">
        <v>2171</v>
      </c>
      <c r="DJ125" s="1030"/>
      <c r="DK125" s="101" t="str">
        <f t="shared" si="25"/>
        <v>94301Q74</v>
      </c>
      <c r="DL125" s="1031" t="s">
        <v>3795</v>
      </c>
      <c r="DM125" s="1031" t="s">
        <v>3798</v>
      </c>
      <c r="DN125" s="1032" t="str">
        <f>"9"</f>
        <v>9</v>
      </c>
      <c r="DO125" s="85"/>
      <c r="DP125" s="85"/>
      <c r="DV125" s="30"/>
      <c r="DX125" s="115"/>
      <c r="DY125" s="115"/>
    </row>
    <row r="126" spans="1:129" ht="19.5" customHeight="1">
      <c r="A126" s="210"/>
      <c r="B126" s="249"/>
      <c r="C126" s="2613" t="s">
        <v>851</v>
      </c>
      <c r="D126" s="2614"/>
      <c r="E126" s="2614"/>
      <c r="F126" s="2614"/>
      <c r="G126" s="2614"/>
      <c r="H126" s="2614"/>
      <c r="I126" s="2615"/>
      <c r="J126" s="3050" t="s">
        <v>5087</v>
      </c>
      <c r="K126" s="3051"/>
      <c r="L126" s="3051"/>
      <c r="M126" s="3051"/>
      <c r="N126" s="3051"/>
      <c r="O126" s="3051"/>
      <c r="P126" s="3051"/>
      <c r="Q126" s="3051"/>
      <c r="R126" s="3051"/>
      <c r="S126" s="3051"/>
      <c r="T126" s="3051"/>
      <c r="U126" s="2581"/>
      <c r="V126" s="1943">
        <v>71800</v>
      </c>
      <c r="W126" s="1944"/>
      <c r="X126" s="1944"/>
      <c r="Y126" s="1944"/>
      <c r="Z126" s="1080" t="s">
        <v>5089</v>
      </c>
      <c r="AA126" s="2595"/>
      <c r="AB126" s="2596"/>
      <c r="AC126" s="2596"/>
      <c r="AD126" s="1015" t="s">
        <v>5037</v>
      </c>
      <c r="AE126" s="1945">
        <f>IF(V126="","",V126*AA126)</f>
        <v>0</v>
      </c>
      <c r="AF126" s="1946"/>
      <c r="AG126" s="1946"/>
      <c r="AH126" s="1946"/>
      <c r="AI126" s="1946"/>
      <c r="AJ126" s="1947"/>
      <c r="AK126" s="1948"/>
      <c r="AL126" s="1949"/>
      <c r="AM126" s="1949"/>
      <c r="AN126" s="1949"/>
      <c r="AO126" s="1949"/>
      <c r="AP126" s="1949"/>
      <c r="AQ126" s="1949"/>
      <c r="AR126" s="1949"/>
      <c r="AS126" s="1949"/>
      <c r="AT126" s="1950"/>
      <c r="AU126" s="234"/>
      <c r="AV126" s="497" t="str">
        <f>IF(AA126="","NG","OK")</f>
        <v>NG</v>
      </c>
      <c r="AW126" s="200" t="s">
        <v>4867</v>
      </c>
      <c r="BY126" s="7"/>
      <c r="BZ126" s="121" t="s">
        <v>5626</v>
      </c>
      <c r="CA126" s="1049" t="s">
        <v>5626</v>
      </c>
      <c r="CB126" s="1050" t="s">
        <v>5627</v>
      </c>
      <c r="CC126" s="22"/>
      <c r="CD126" s="145"/>
      <c r="CE126" s="145"/>
      <c r="CF126" s="145"/>
      <c r="CG126" s="30"/>
      <c r="CH126" s="196" t="s">
        <v>514</v>
      </c>
      <c r="CI126" s="196" t="s">
        <v>21</v>
      </c>
      <c r="CJ126" s="196">
        <v>255</v>
      </c>
      <c r="CK126" s="196" t="s">
        <v>507</v>
      </c>
      <c r="CL126" s="196" t="s">
        <v>507</v>
      </c>
      <c r="CM126" s="196"/>
      <c r="CN126" s="196" t="s">
        <v>613</v>
      </c>
      <c r="CO126" s="197" t="s">
        <v>66</v>
      </c>
      <c r="CP126" s="198"/>
      <c r="CQ126" s="10"/>
      <c r="CR126" s="61"/>
      <c r="CS126" s="61"/>
      <c r="CT126" s="61"/>
      <c r="CU126" s="61"/>
      <c r="CV126" s="60"/>
      <c r="CW126" s="55"/>
      <c r="CX126" s="55"/>
      <c r="CY126" s="56"/>
      <c r="CZ126" s="44"/>
      <c r="DA126" s="56"/>
      <c r="DC126" s="43"/>
      <c r="DD126" s="43"/>
      <c r="DE126" s="118"/>
      <c r="DF126" s="90"/>
      <c r="DH126" s="1029" t="s">
        <v>3775</v>
      </c>
      <c r="DI126" s="1029" t="s">
        <v>2172</v>
      </c>
      <c r="DJ126" s="1030"/>
      <c r="DK126" s="101" t="str">
        <f t="shared" si="25"/>
        <v>94301Q75</v>
      </c>
      <c r="DL126" s="1031" t="s">
        <v>3795</v>
      </c>
      <c r="DM126" s="1031" t="s">
        <v>3799</v>
      </c>
      <c r="DN126" s="1032" t="str">
        <f>ASC(記入シート1!AW73)</f>
        <v/>
      </c>
      <c r="DO126" s="85"/>
      <c r="DP126" s="85"/>
      <c r="DV126" s="30"/>
      <c r="DX126" s="115"/>
      <c r="DY126" s="115"/>
    </row>
    <row r="127" spans="1:129" ht="19.5" customHeight="1">
      <c r="A127" s="447"/>
      <c r="B127" s="249"/>
      <c r="C127" s="2616"/>
      <c r="D127" s="2617"/>
      <c r="E127" s="2617"/>
      <c r="F127" s="2617"/>
      <c r="G127" s="2617"/>
      <c r="H127" s="2617"/>
      <c r="I127" s="2618"/>
      <c r="J127" s="3050" t="s">
        <v>5032</v>
      </c>
      <c r="K127" s="3051"/>
      <c r="L127" s="3051"/>
      <c r="M127" s="3051"/>
      <c r="N127" s="3051"/>
      <c r="O127" s="3051"/>
      <c r="P127" s="3051"/>
      <c r="Q127" s="3051"/>
      <c r="R127" s="3051"/>
      <c r="S127" s="3051"/>
      <c r="T127" s="3051"/>
      <c r="U127" s="2581"/>
      <c r="V127" s="1943">
        <v>9000</v>
      </c>
      <c r="W127" s="1944"/>
      <c r="X127" s="1944"/>
      <c r="Y127" s="1944"/>
      <c r="Z127" s="1080" t="s">
        <v>5036</v>
      </c>
      <c r="AA127" s="2595"/>
      <c r="AB127" s="2596"/>
      <c r="AC127" s="2596"/>
      <c r="AD127" s="1015" t="s">
        <v>5037</v>
      </c>
      <c r="AE127" s="1945">
        <f t="shared" ref="AE127:AE144" si="26">IF(V127="","",V127*AA127)</f>
        <v>0</v>
      </c>
      <c r="AF127" s="1946"/>
      <c r="AG127" s="1946"/>
      <c r="AH127" s="1946"/>
      <c r="AI127" s="1946"/>
      <c r="AJ127" s="1947"/>
      <c r="AK127" s="1948"/>
      <c r="AL127" s="1949"/>
      <c r="AM127" s="1949"/>
      <c r="AN127" s="1949"/>
      <c r="AO127" s="1949"/>
      <c r="AP127" s="1949"/>
      <c r="AQ127" s="1949"/>
      <c r="AR127" s="1949"/>
      <c r="AS127" s="1949"/>
      <c r="AT127" s="1950"/>
      <c r="AU127" s="234"/>
      <c r="AW127" s="200" t="s">
        <v>4868</v>
      </c>
      <c r="BY127" s="7"/>
      <c r="BZ127" s="121" t="s">
        <v>5628</v>
      </c>
      <c r="CA127" s="1049" t="s">
        <v>5628</v>
      </c>
      <c r="CB127" s="1050" t="s">
        <v>5629</v>
      </c>
      <c r="CC127" s="22"/>
      <c r="CD127" s="145"/>
      <c r="CE127" s="145"/>
      <c r="CF127" s="145"/>
      <c r="CG127" s="30">
        <v>3108</v>
      </c>
      <c r="CH127" s="196" t="s">
        <v>515</v>
      </c>
      <c r="CI127" s="196" t="s">
        <v>21</v>
      </c>
      <c r="CJ127" s="196">
        <v>120</v>
      </c>
      <c r="CK127" s="196" t="s">
        <v>432</v>
      </c>
      <c r="CL127" s="196" t="s">
        <v>432</v>
      </c>
      <c r="CM127" s="196"/>
      <c r="CN127" s="196" t="s">
        <v>610</v>
      </c>
      <c r="CO127" s="286" t="s">
        <v>65</v>
      </c>
      <c r="CP127" s="198"/>
      <c r="CQ127" s="10"/>
      <c r="CR127" s="61"/>
      <c r="CS127" s="61"/>
      <c r="CT127" s="61"/>
      <c r="CU127" s="61"/>
      <c r="CV127" s="60"/>
      <c r="CW127" s="55"/>
      <c r="CX127" s="55"/>
      <c r="CY127" s="56"/>
      <c r="CZ127" s="44"/>
      <c r="DA127" s="56"/>
      <c r="DC127" s="43"/>
      <c r="DD127" s="43"/>
      <c r="DE127" s="118"/>
      <c r="DF127" s="90"/>
      <c r="DH127" s="1029" t="s">
        <v>3775</v>
      </c>
      <c r="DI127" s="1029" t="s">
        <v>3251</v>
      </c>
      <c r="DJ127" s="1030"/>
      <c r="DK127" s="101" t="str">
        <f t="shared" si="25"/>
        <v>94301Q76</v>
      </c>
      <c r="DL127" s="1031" t="s">
        <v>3795</v>
      </c>
      <c r="DM127" s="1031" t="s">
        <v>3800</v>
      </c>
      <c r="DN127" s="1032" t="str">
        <f>ASC(AX51)</f>
        <v>7011</v>
      </c>
      <c r="DO127" s="85"/>
      <c r="DP127" s="85"/>
      <c r="DV127" s="30"/>
      <c r="DX127" s="115"/>
      <c r="DY127" s="115"/>
    </row>
    <row r="128" spans="1:129" ht="19.5" customHeight="1">
      <c r="A128" s="447"/>
      <c r="B128" s="249"/>
      <c r="C128" s="2616"/>
      <c r="D128" s="2617"/>
      <c r="E128" s="2617"/>
      <c r="F128" s="2617"/>
      <c r="G128" s="2617"/>
      <c r="H128" s="2617"/>
      <c r="I128" s="2618"/>
      <c r="J128" s="3050" t="s">
        <v>5033</v>
      </c>
      <c r="K128" s="3051"/>
      <c r="L128" s="3051"/>
      <c r="M128" s="3051"/>
      <c r="N128" s="3051"/>
      <c r="O128" s="3051"/>
      <c r="P128" s="3051"/>
      <c r="Q128" s="3051"/>
      <c r="R128" s="3051"/>
      <c r="S128" s="3051"/>
      <c r="T128" s="3051"/>
      <c r="U128" s="2581"/>
      <c r="V128" s="1943">
        <v>7000</v>
      </c>
      <c r="W128" s="1944"/>
      <c r="X128" s="1944"/>
      <c r="Y128" s="1944"/>
      <c r="Z128" s="1080" t="s">
        <v>5036</v>
      </c>
      <c r="AA128" s="3029">
        <f>AA126</f>
        <v>0</v>
      </c>
      <c r="AB128" s="2626"/>
      <c r="AC128" s="2626"/>
      <c r="AD128" s="1015" t="s">
        <v>5037</v>
      </c>
      <c r="AE128" s="1945">
        <f t="shared" si="26"/>
        <v>0</v>
      </c>
      <c r="AF128" s="1946"/>
      <c r="AG128" s="1946"/>
      <c r="AH128" s="1946"/>
      <c r="AI128" s="1946"/>
      <c r="AJ128" s="1947"/>
      <c r="AK128" s="1948"/>
      <c r="AL128" s="1949"/>
      <c r="AM128" s="1949"/>
      <c r="AN128" s="1949"/>
      <c r="AO128" s="1949"/>
      <c r="AP128" s="1949"/>
      <c r="AQ128" s="1949"/>
      <c r="AR128" s="1949"/>
      <c r="AS128" s="1949"/>
      <c r="AT128" s="1950"/>
      <c r="AU128" s="234"/>
      <c r="AW128" s="200" t="s">
        <v>4869</v>
      </c>
      <c r="AX128" s="489"/>
      <c r="BY128" s="7"/>
      <c r="BZ128" s="121" t="s">
        <v>5630</v>
      </c>
      <c r="CA128" s="1049" t="s">
        <v>5630</v>
      </c>
      <c r="CB128" s="1050" t="s">
        <v>5631</v>
      </c>
      <c r="CC128" s="22"/>
      <c r="CD128" s="145"/>
      <c r="CE128" s="145"/>
      <c r="CF128" s="145"/>
      <c r="CG128" s="30"/>
      <c r="CH128" s="196" t="s">
        <v>516</v>
      </c>
      <c r="CI128" s="196" t="s">
        <v>21</v>
      </c>
      <c r="CJ128" s="196">
        <v>120</v>
      </c>
      <c r="CK128" s="196" t="s">
        <v>362</v>
      </c>
      <c r="CL128" s="196" t="s">
        <v>362</v>
      </c>
      <c r="CM128" s="196"/>
      <c r="CN128" s="196" t="s">
        <v>610</v>
      </c>
      <c r="CO128" s="286" t="s">
        <v>64</v>
      </c>
      <c r="CP128" s="198"/>
      <c r="CQ128" s="10"/>
      <c r="CR128" s="61"/>
      <c r="CS128" s="61"/>
      <c r="CT128" s="61"/>
      <c r="CU128" s="61"/>
      <c r="CV128" s="60"/>
      <c r="CW128" s="55"/>
      <c r="CX128" s="55"/>
      <c r="CY128" s="56"/>
      <c r="CZ128" s="44"/>
      <c r="DA128" s="56"/>
      <c r="DC128" s="43"/>
      <c r="DD128" s="43"/>
      <c r="DE128" s="118"/>
      <c r="DF128" s="90"/>
      <c r="DH128" s="1029" t="s">
        <v>3775</v>
      </c>
      <c r="DI128" s="1029" t="s">
        <v>3793</v>
      </c>
      <c r="DJ128" s="1030"/>
      <c r="DK128" s="101" t="str">
        <f t="shared" si="25"/>
        <v>94301Q77</v>
      </c>
      <c r="DL128" s="1031" t="s">
        <v>3795</v>
      </c>
      <c r="DM128" s="1031" t="s">
        <v>3801</v>
      </c>
      <c r="DN128" s="1032" t="str">
        <f>IF(OR(AV51="0000",AV51=""),"",ASC(AV51))</f>
        <v>5000</v>
      </c>
      <c r="DO128" s="85"/>
      <c r="DP128" s="85"/>
      <c r="DV128" s="30"/>
      <c r="DX128" s="115"/>
      <c r="DY128" s="115"/>
    </row>
    <row r="129" spans="1:129" ht="19.5" customHeight="1">
      <c r="A129" s="447"/>
      <c r="B129" s="249"/>
      <c r="C129" s="2616"/>
      <c r="D129" s="2617"/>
      <c r="E129" s="2617"/>
      <c r="F129" s="2617"/>
      <c r="G129" s="2617"/>
      <c r="H129" s="2617"/>
      <c r="I129" s="2618"/>
      <c r="J129" s="3050" t="s">
        <v>5034</v>
      </c>
      <c r="K129" s="3051"/>
      <c r="L129" s="3051"/>
      <c r="M129" s="3051"/>
      <c r="N129" s="3051"/>
      <c r="O129" s="3051"/>
      <c r="P129" s="3051"/>
      <c r="Q129" s="3051"/>
      <c r="R129" s="3051"/>
      <c r="S129" s="3051"/>
      <c r="T129" s="3051"/>
      <c r="U129" s="2581"/>
      <c r="V129" s="1943">
        <v>12000</v>
      </c>
      <c r="W129" s="1944"/>
      <c r="X129" s="1944"/>
      <c r="Y129" s="1944"/>
      <c r="Z129" s="1080" t="s">
        <v>5036</v>
      </c>
      <c r="AA129" s="3029">
        <f>IF(AV28=TRUE,AA126,0)</f>
        <v>0</v>
      </c>
      <c r="AB129" s="2626"/>
      <c r="AC129" s="2626"/>
      <c r="AD129" s="1015" t="s">
        <v>5038</v>
      </c>
      <c r="AE129" s="1945">
        <f t="shared" si="26"/>
        <v>0</v>
      </c>
      <c r="AF129" s="1946"/>
      <c r="AG129" s="1946"/>
      <c r="AH129" s="1946"/>
      <c r="AI129" s="1946"/>
      <c r="AJ129" s="1947"/>
      <c r="AK129" s="1948"/>
      <c r="AL129" s="1949"/>
      <c r="AM129" s="1949"/>
      <c r="AN129" s="1949"/>
      <c r="AO129" s="1949"/>
      <c r="AP129" s="1949"/>
      <c r="AQ129" s="1949"/>
      <c r="AR129" s="1949"/>
      <c r="AS129" s="1949"/>
      <c r="AT129" s="1950"/>
      <c r="AU129" s="234"/>
      <c r="AW129" s="200" t="s">
        <v>4870</v>
      </c>
      <c r="AX129" s="489"/>
      <c r="BY129" s="7"/>
      <c r="BZ129" s="121" t="s">
        <v>5632</v>
      </c>
      <c r="CA129" s="1049" t="s">
        <v>5632</v>
      </c>
      <c r="CB129" s="1050" t="s">
        <v>5633</v>
      </c>
      <c r="CC129" s="22"/>
      <c r="CD129" s="145"/>
      <c r="CE129" s="145"/>
      <c r="CF129" s="145"/>
      <c r="CG129" s="30"/>
      <c r="CH129" s="196" t="s">
        <v>517</v>
      </c>
      <c r="CI129" s="196" t="s">
        <v>63</v>
      </c>
      <c r="CJ129" s="196">
        <v>1</v>
      </c>
      <c r="CK129" s="196" t="s">
        <v>83</v>
      </c>
      <c r="CL129" s="196" t="s">
        <v>83</v>
      </c>
      <c r="CM129" s="196" t="s">
        <v>518</v>
      </c>
      <c r="CN129" s="196" t="s">
        <v>610</v>
      </c>
      <c r="CO129" s="197" t="s">
        <v>62</v>
      </c>
      <c r="CP129" s="198"/>
      <c r="CQ129" s="10"/>
      <c r="CR129" s="61"/>
      <c r="CS129" s="61"/>
      <c r="CT129" s="61"/>
      <c r="CU129" s="61"/>
      <c r="CV129" s="60"/>
      <c r="CW129" s="55"/>
      <c r="CX129" s="55"/>
      <c r="CY129" s="56"/>
      <c r="CZ129" s="44"/>
      <c r="DA129" s="56"/>
      <c r="DC129" s="43"/>
      <c r="DD129" s="43"/>
      <c r="DE129" s="118"/>
      <c r="DF129" s="90"/>
      <c r="DH129" s="1029" t="s">
        <v>3775</v>
      </c>
      <c r="DI129" s="1029" t="s">
        <v>3794</v>
      </c>
      <c r="DJ129" s="1030"/>
      <c r="DK129" s="101" t="str">
        <f t="shared" si="25"/>
        <v>94301Q78</v>
      </c>
      <c r="DL129" s="1031" t="s">
        <v>3795</v>
      </c>
      <c r="DM129" s="1031" t="s">
        <v>3802</v>
      </c>
      <c r="DN129" s="1032" t="str">
        <f>IF(OR(AW51="0000",AW51=""),"",ASC(AW51))</f>
        <v>5001</v>
      </c>
      <c r="DO129" s="85"/>
      <c r="DP129" s="85"/>
      <c r="DV129" s="30"/>
      <c r="DX129" s="115"/>
      <c r="DY129" s="115"/>
    </row>
    <row r="130" spans="1:129" ht="19.5" customHeight="1">
      <c r="A130" s="447"/>
      <c r="B130" s="249"/>
      <c r="C130" s="2616"/>
      <c r="D130" s="2617"/>
      <c r="E130" s="2617"/>
      <c r="F130" s="2617"/>
      <c r="G130" s="2617"/>
      <c r="H130" s="2617"/>
      <c r="I130" s="2618"/>
      <c r="J130" s="3050" t="s">
        <v>5035</v>
      </c>
      <c r="K130" s="3051"/>
      <c r="L130" s="3051"/>
      <c r="M130" s="3051"/>
      <c r="N130" s="3051"/>
      <c r="O130" s="3051"/>
      <c r="P130" s="3051"/>
      <c r="Q130" s="3051"/>
      <c r="R130" s="3051"/>
      <c r="S130" s="3051"/>
      <c r="T130" s="3051"/>
      <c r="U130" s="2581"/>
      <c r="V130" s="1943">
        <v>3000</v>
      </c>
      <c r="W130" s="1944"/>
      <c r="X130" s="1944"/>
      <c r="Y130" s="1944"/>
      <c r="Z130" s="1080" t="s">
        <v>5095</v>
      </c>
      <c r="AA130" s="2595">
        <v>0</v>
      </c>
      <c r="AB130" s="2619"/>
      <c r="AC130" s="2619"/>
      <c r="AD130" s="1015" t="s">
        <v>1409</v>
      </c>
      <c r="AE130" s="2633">
        <f>IF(V130="","",V130*AA130)</f>
        <v>0</v>
      </c>
      <c r="AF130" s="2633"/>
      <c r="AG130" s="2633"/>
      <c r="AH130" s="2633"/>
      <c r="AI130" s="2633"/>
      <c r="AJ130" s="2634"/>
      <c r="AK130" s="2635"/>
      <c r="AL130" s="2636"/>
      <c r="AM130" s="2636"/>
      <c r="AN130" s="2636"/>
      <c r="AO130" s="2636"/>
      <c r="AP130" s="2636"/>
      <c r="AQ130" s="2636"/>
      <c r="AR130" s="2636"/>
      <c r="AS130" s="2636"/>
      <c r="AT130" s="2637"/>
      <c r="AU130" s="234"/>
      <c r="AW130" s="200" t="s">
        <v>4871</v>
      </c>
      <c r="AX130" s="489"/>
      <c r="BY130" s="14"/>
      <c r="BZ130" s="121" t="s">
        <v>5731</v>
      </c>
      <c r="CA130" s="1049" t="s">
        <v>5731</v>
      </c>
      <c r="CB130" s="1050" t="s">
        <v>5732</v>
      </c>
      <c r="CC130" s="22"/>
      <c r="CD130" s="145"/>
      <c r="CE130" s="145"/>
      <c r="CF130" s="145"/>
      <c r="CG130" s="30"/>
      <c r="CH130" s="196" t="s">
        <v>519</v>
      </c>
      <c r="CI130" s="196" t="s">
        <v>21</v>
      </c>
      <c r="CJ130" s="196">
        <v>255</v>
      </c>
      <c r="CK130" s="196" t="s">
        <v>83</v>
      </c>
      <c r="CL130" s="196" t="s">
        <v>83</v>
      </c>
      <c r="CM130" s="196"/>
      <c r="CN130" s="196" t="s">
        <v>613</v>
      </c>
      <c r="CO130" s="197" t="s">
        <v>61</v>
      </c>
      <c r="CP130" s="198"/>
      <c r="CQ130" s="10"/>
      <c r="CR130" s="61"/>
      <c r="CS130" s="61"/>
      <c r="CT130" s="61"/>
      <c r="CU130" s="61"/>
      <c r="CV130" s="60"/>
      <c r="CW130" s="55"/>
      <c r="CX130" s="55"/>
      <c r="CY130" s="56"/>
      <c r="CZ130" s="44"/>
      <c r="DA130" s="56"/>
      <c r="DC130" s="43"/>
      <c r="DD130" s="43"/>
      <c r="DE130" s="118"/>
      <c r="DF130" s="90"/>
      <c r="DH130" s="1029" t="s">
        <v>3775</v>
      </c>
      <c r="DI130" s="1029" t="s">
        <v>3247</v>
      </c>
      <c r="DJ130" s="1030"/>
      <c r="DK130" s="101" t="str">
        <f t="shared" si="25"/>
        <v>94301Q79</v>
      </c>
      <c r="DL130" s="1031" t="s">
        <v>3795</v>
      </c>
      <c r="DM130" s="1031" t="s">
        <v>3803</v>
      </c>
      <c r="DN130" s="1032" t="str">
        <f>T(記入シート1!AB67)</f>
        <v/>
      </c>
      <c r="DO130" s="85"/>
      <c r="DP130" s="85"/>
      <c r="DV130" s="30"/>
      <c r="DX130" s="115"/>
      <c r="DY130" s="115"/>
    </row>
    <row r="131" spans="1:129" ht="19.5" hidden="1" customHeight="1">
      <c r="A131" s="1048" t="s">
        <v>1234</v>
      </c>
      <c r="B131" s="249"/>
      <c r="C131" s="2616"/>
      <c r="D131" s="2617"/>
      <c r="E131" s="2617"/>
      <c r="F131" s="2617"/>
      <c r="G131" s="2617"/>
      <c r="H131" s="2617"/>
      <c r="I131" s="2618"/>
      <c r="J131" s="3050" t="s">
        <v>5097</v>
      </c>
      <c r="K131" s="3051"/>
      <c r="L131" s="3051"/>
      <c r="M131" s="3051"/>
      <c r="N131" s="3051"/>
      <c r="O131" s="3051"/>
      <c r="P131" s="3051"/>
      <c r="Q131" s="3051"/>
      <c r="R131" s="3051"/>
      <c r="S131" s="3051"/>
      <c r="T131" s="3051"/>
      <c r="U131" s="2581"/>
      <c r="V131" s="1943">
        <v>2300</v>
      </c>
      <c r="W131" s="1944"/>
      <c r="X131" s="1944"/>
      <c r="Y131" s="1944"/>
      <c r="Z131" s="1080" t="s">
        <v>5096</v>
      </c>
      <c r="AA131" s="2595">
        <v>0</v>
      </c>
      <c r="AB131" s="2619"/>
      <c r="AC131" s="2619"/>
      <c r="AD131" s="1015" t="s">
        <v>849</v>
      </c>
      <c r="AE131" s="2633">
        <f>IF(V131="","",V131*AA131)</f>
        <v>0</v>
      </c>
      <c r="AF131" s="2633"/>
      <c r="AG131" s="2633"/>
      <c r="AH131" s="2633"/>
      <c r="AI131" s="2633"/>
      <c r="AJ131" s="2634"/>
      <c r="AK131" s="2635"/>
      <c r="AL131" s="2636"/>
      <c r="AM131" s="2636"/>
      <c r="AN131" s="2636"/>
      <c r="AO131" s="2636"/>
      <c r="AP131" s="2636"/>
      <c r="AQ131" s="2636"/>
      <c r="AR131" s="2636"/>
      <c r="AS131" s="2636"/>
      <c r="AT131" s="2637"/>
      <c r="AU131" s="234"/>
      <c r="AW131" s="200" t="s">
        <v>5031</v>
      </c>
      <c r="AX131" s="489"/>
      <c r="BY131" s="14"/>
      <c r="BZ131" s="121" t="s">
        <v>5746</v>
      </c>
      <c r="CA131" s="1049" t="s">
        <v>5746</v>
      </c>
      <c r="CB131" s="1050" t="s">
        <v>5747</v>
      </c>
      <c r="CC131" s="22"/>
      <c r="CD131" s="145"/>
      <c r="CE131" s="145"/>
      <c r="CF131" s="145"/>
      <c r="CG131" s="30"/>
      <c r="CH131" s="196" t="s">
        <v>520</v>
      </c>
      <c r="CI131" s="196" t="s">
        <v>21</v>
      </c>
      <c r="CJ131" s="196">
        <v>120</v>
      </c>
      <c r="CK131" s="196" t="s">
        <v>432</v>
      </c>
      <c r="CL131" s="196" t="s">
        <v>432</v>
      </c>
      <c r="CM131" s="196"/>
      <c r="CN131" s="196" t="s">
        <v>610</v>
      </c>
      <c r="CO131" s="286" t="s">
        <v>60</v>
      </c>
      <c r="CP131" s="198"/>
      <c r="CQ131" s="10"/>
      <c r="CR131" s="61"/>
      <c r="CS131" s="61"/>
      <c r="CT131" s="61"/>
      <c r="CU131" s="61"/>
      <c r="CV131" s="60"/>
      <c r="CW131" s="55"/>
      <c r="CX131" s="55"/>
      <c r="CY131" s="56"/>
      <c r="CZ131" s="44"/>
      <c r="DA131" s="56"/>
      <c r="DC131" s="43"/>
      <c r="DD131" s="43"/>
      <c r="DE131" s="118"/>
      <c r="DF131" s="90"/>
      <c r="DH131" s="1029" t="s">
        <v>3772</v>
      </c>
      <c r="DI131" s="1029" t="s">
        <v>2173</v>
      </c>
      <c r="DJ131" s="1030"/>
      <c r="DK131" s="101" t="str">
        <f t="shared" si="25"/>
        <v>94401Q82</v>
      </c>
      <c r="DL131" s="1031" t="s">
        <v>3804</v>
      </c>
      <c r="DM131" s="1031" t="s">
        <v>3805</v>
      </c>
      <c r="DN131" s="1032" t="str">
        <f>T(記入シート1!I67)</f>
        <v/>
      </c>
      <c r="DO131" s="85"/>
      <c r="DP131" s="85"/>
      <c r="DV131" s="30"/>
      <c r="DX131" s="115"/>
      <c r="DY131" s="115"/>
    </row>
    <row r="132" spans="1:129" ht="19.5" hidden="1" customHeight="1">
      <c r="A132" s="447" t="s">
        <v>1234</v>
      </c>
      <c r="B132" s="249"/>
      <c r="C132" s="2616"/>
      <c r="D132" s="2617"/>
      <c r="E132" s="2617"/>
      <c r="F132" s="2617"/>
      <c r="G132" s="2617"/>
      <c r="H132" s="2617"/>
      <c r="I132" s="2618"/>
      <c r="J132" s="2620"/>
      <c r="K132" s="2621"/>
      <c r="L132" s="2621"/>
      <c r="M132" s="2621"/>
      <c r="N132" s="2621"/>
      <c r="O132" s="2621"/>
      <c r="P132" s="2621"/>
      <c r="Q132" s="2621"/>
      <c r="R132" s="2621"/>
      <c r="S132" s="2621"/>
      <c r="T132" s="2621"/>
      <c r="U132" s="3031"/>
      <c r="V132" s="1943">
        <v>0</v>
      </c>
      <c r="W132" s="1944"/>
      <c r="X132" s="1944"/>
      <c r="Y132" s="1944"/>
      <c r="Z132" s="1020" t="str">
        <f t="shared" ref="Z132:Z144" si="27">IF(V132="","","/"&amp;AD132)</f>
        <v>/</v>
      </c>
      <c r="AA132" s="3029">
        <v>0</v>
      </c>
      <c r="AB132" s="2626"/>
      <c r="AC132" s="2626"/>
      <c r="AD132" s="498"/>
      <c r="AE132" s="2633">
        <v>0</v>
      </c>
      <c r="AF132" s="2633"/>
      <c r="AG132" s="2633"/>
      <c r="AH132" s="2633"/>
      <c r="AI132" s="2633"/>
      <c r="AJ132" s="2634"/>
      <c r="AK132" s="2638"/>
      <c r="AL132" s="2639"/>
      <c r="AM132" s="2639"/>
      <c r="AN132" s="2639"/>
      <c r="AO132" s="2639"/>
      <c r="AP132" s="2639"/>
      <c r="AQ132" s="2639"/>
      <c r="AR132" s="2639"/>
      <c r="AS132" s="2639"/>
      <c r="AT132" s="2637"/>
      <c r="AU132" s="234"/>
      <c r="AX132" s="489"/>
      <c r="BY132" s="14"/>
      <c r="BZ132" s="121"/>
      <c r="CA132" s="120"/>
      <c r="CC132" s="22"/>
      <c r="CD132" s="145"/>
      <c r="CE132" s="145"/>
      <c r="CF132" s="145"/>
      <c r="CG132" s="30"/>
      <c r="CH132" s="196" t="s">
        <v>521</v>
      </c>
      <c r="CI132" s="196" t="s">
        <v>21</v>
      </c>
      <c r="CJ132" s="196">
        <v>120</v>
      </c>
      <c r="CK132" s="196" t="s">
        <v>83</v>
      </c>
      <c r="CL132" s="196" t="s">
        <v>83</v>
      </c>
      <c r="CM132" s="196"/>
      <c r="CN132" s="196" t="s">
        <v>610</v>
      </c>
      <c r="CO132" s="286" t="s">
        <v>59</v>
      </c>
      <c r="CP132" s="198"/>
      <c r="CQ132" s="10"/>
      <c r="CR132" s="61"/>
      <c r="CS132" s="61"/>
      <c r="CT132" s="61"/>
      <c r="CU132" s="61"/>
      <c r="CV132" s="60"/>
      <c r="CW132" s="55"/>
      <c r="CX132" s="55"/>
      <c r="CY132" s="56"/>
      <c r="CZ132" s="44"/>
      <c r="DA132" s="56"/>
      <c r="DC132" s="43"/>
      <c r="DD132" s="43"/>
      <c r="DE132" s="118"/>
      <c r="DF132" s="90"/>
      <c r="DH132" s="1029" t="s">
        <v>3772</v>
      </c>
      <c r="DI132" s="1029" t="s">
        <v>3238</v>
      </c>
      <c r="DJ132" s="1030"/>
      <c r="DK132" s="101" t="str">
        <f t="shared" si="25"/>
        <v>94401Q83</v>
      </c>
      <c r="DL132" s="1031" t="s">
        <v>3804</v>
      </c>
      <c r="DM132" s="1031" t="s">
        <v>3806</v>
      </c>
      <c r="DN132" s="1032" t="str">
        <f>T(記入シート1!I66)</f>
        <v/>
      </c>
      <c r="DO132" s="85"/>
      <c r="DP132" s="85"/>
      <c r="DV132" s="30"/>
      <c r="DX132" s="115"/>
      <c r="DY132" s="115"/>
    </row>
    <row r="133" spans="1:129" ht="19.5" hidden="1" customHeight="1">
      <c r="A133" s="447" t="s">
        <v>3574</v>
      </c>
      <c r="B133" s="249"/>
      <c r="C133" s="2616"/>
      <c r="D133" s="2617"/>
      <c r="E133" s="2617"/>
      <c r="F133" s="2617"/>
      <c r="G133" s="2617"/>
      <c r="H133" s="2617"/>
      <c r="I133" s="2618"/>
      <c r="J133" s="2620"/>
      <c r="K133" s="2621"/>
      <c r="L133" s="2621"/>
      <c r="M133" s="2621"/>
      <c r="N133" s="2621"/>
      <c r="O133" s="2621"/>
      <c r="P133" s="2621"/>
      <c r="Q133" s="2621"/>
      <c r="R133" s="2621"/>
      <c r="S133" s="2621"/>
      <c r="T133" s="2621"/>
      <c r="U133" s="3031"/>
      <c r="V133" s="1943">
        <v>0</v>
      </c>
      <c r="W133" s="1944"/>
      <c r="X133" s="1944"/>
      <c r="Y133" s="1944"/>
      <c r="Z133" s="1020" t="str">
        <f t="shared" si="27"/>
        <v>/</v>
      </c>
      <c r="AA133" s="2595">
        <v>0</v>
      </c>
      <c r="AB133" s="2596"/>
      <c r="AC133" s="2596"/>
      <c r="AD133" s="1015"/>
      <c r="AE133" s="2633">
        <f t="shared" si="26"/>
        <v>0</v>
      </c>
      <c r="AF133" s="2633"/>
      <c r="AG133" s="2633"/>
      <c r="AH133" s="2633"/>
      <c r="AI133" s="2633"/>
      <c r="AJ133" s="2634"/>
      <c r="AK133" s="2638"/>
      <c r="AL133" s="2639"/>
      <c r="AM133" s="2639"/>
      <c r="AN133" s="2639"/>
      <c r="AO133" s="2639"/>
      <c r="AP133" s="2639"/>
      <c r="AQ133" s="2639"/>
      <c r="AR133" s="2639"/>
      <c r="AS133" s="2639"/>
      <c r="AT133" s="2637"/>
      <c r="AU133" s="234"/>
      <c r="AX133" s="489"/>
      <c r="BY133" s="14"/>
      <c r="BZ133" s="121"/>
      <c r="CA133" s="120"/>
      <c r="CC133" s="22"/>
      <c r="CD133" s="145"/>
      <c r="CE133" s="145"/>
      <c r="CF133" s="145"/>
      <c r="CG133" s="30"/>
      <c r="CH133" s="196" t="s">
        <v>522</v>
      </c>
      <c r="CI133" s="196" t="s">
        <v>21</v>
      </c>
      <c r="CJ133" s="196">
        <v>120</v>
      </c>
      <c r="CK133" s="196" t="s">
        <v>523</v>
      </c>
      <c r="CL133" s="196" t="s">
        <v>523</v>
      </c>
      <c r="CM133" s="196"/>
      <c r="CN133" s="196" t="s">
        <v>610</v>
      </c>
      <c r="CO133" s="197" t="s">
        <v>58</v>
      </c>
      <c r="CP133" s="198"/>
      <c r="CQ133" s="10"/>
      <c r="CR133" s="61"/>
      <c r="CS133" s="61"/>
      <c r="CT133" s="61"/>
      <c r="CU133" s="61"/>
      <c r="CV133" s="60"/>
      <c r="CW133" s="55"/>
      <c r="CX133" s="55"/>
      <c r="CY133" s="56"/>
      <c r="CZ133" s="44"/>
      <c r="DA133" s="56"/>
      <c r="DC133" s="43"/>
      <c r="DD133" s="43"/>
      <c r="DE133" s="118"/>
      <c r="DF133" s="90"/>
      <c r="DH133" s="1029" t="s">
        <v>2153</v>
      </c>
      <c r="DI133" s="1029" t="s">
        <v>3238</v>
      </c>
      <c r="DJ133" s="1030"/>
      <c r="DK133" s="101" t="str">
        <f t="shared" si="25"/>
        <v>93801Q27</v>
      </c>
      <c r="DL133" s="1031" t="s">
        <v>3360</v>
      </c>
      <c r="DM133" s="1031" t="s">
        <v>4091</v>
      </c>
      <c r="DN133" s="1032" t="str">
        <f>T(記入シート1!I66)</f>
        <v/>
      </c>
      <c r="DO133" s="85"/>
      <c r="DP133" s="85"/>
      <c r="DV133" s="30"/>
      <c r="DX133" s="115"/>
      <c r="DY133" s="115"/>
    </row>
    <row r="134" spans="1:129" ht="19.5" hidden="1" customHeight="1">
      <c r="A134" s="447" t="s">
        <v>1234</v>
      </c>
      <c r="B134" s="249"/>
      <c r="C134" s="2616"/>
      <c r="D134" s="2617"/>
      <c r="E134" s="2617"/>
      <c r="F134" s="2617"/>
      <c r="G134" s="2617"/>
      <c r="H134" s="2617"/>
      <c r="I134" s="2618"/>
      <c r="J134" s="2642"/>
      <c r="K134" s="2642"/>
      <c r="L134" s="2642"/>
      <c r="M134" s="2642"/>
      <c r="N134" s="2642"/>
      <c r="O134" s="2642"/>
      <c r="P134" s="2642"/>
      <c r="Q134" s="2642"/>
      <c r="R134" s="2642"/>
      <c r="S134" s="2642"/>
      <c r="T134" s="2642"/>
      <c r="U134" s="3052"/>
      <c r="V134" s="1943">
        <v>0</v>
      </c>
      <c r="W134" s="1944"/>
      <c r="X134" s="1944"/>
      <c r="Y134" s="1944"/>
      <c r="Z134" s="1020" t="str">
        <f t="shared" si="27"/>
        <v>/</v>
      </c>
      <c r="AA134" s="3029">
        <v>0</v>
      </c>
      <c r="AB134" s="2644"/>
      <c r="AC134" s="2644"/>
      <c r="AD134" s="1016"/>
      <c r="AE134" s="2645">
        <f t="shared" si="26"/>
        <v>0</v>
      </c>
      <c r="AF134" s="2645"/>
      <c r="AG134" s="2645"/>
      <c r="AH134" s="2645"/>
      <c r="AI134" s="2645"/>
      <c r="AJ134" s="2646"/>
      <c r="AK134" s="2638"/>
      <c r="AL134" s="2639"/>
      <c r="AM134" s="2639"/>
      <c r="AN134" s="2639"/>
      <c r="AO134" s="2639"/>
      <c r="AP134" s="2639"/>
      <c r="AQ134" s="2639"/>
      <c r="AR134" s="2639"/>
      <c r="AS134" s="2639"/>
      <c r="AT134" s="2637"/>
      <c r="AU134" s="234"/>
      <c r="AX134" s="489"/>
      <c r="BY134" s="2"/>
      <c r="BZ134" s="121"/>
      <c r="CA134" s="120"/>
      <c r="CB134" s="126"/>
      <c r="CC134" s="22"/>
      <c r="CD134" s="145"/>
      <c r="CE134" s="145"/>
      <c r="CF134" s="145"/>
      <c r="CG134" s="30"/>
      <c r="CH134" s="196" t="s">
        <v>57</v>
      </c>
      <c r="CI134" s="196" t="s">
        <v>21</v>
      </c>
      <c r="CJ134" s="196">
        <v>120</v>
      </c>
      <c r="CK134" s="196" t="s">
        <v>83</v>
      </c>
      <c r="CL134" s="196" t="s">
        <v>83</v>
      </c>
      <c r="CM134" s="196"/>
      <c r="CN134" s="196" t="s">
        <v>610</v>
      </c>
      <c r="CO134" s="197" t="s">
        <v>56</v>
      </c>
      <c r="CP134" s="198"/>
      <c r="CQ134" s="10"/>
      <c r="CR134" s="61"/>
      <c r="CS134" s="61"/>
      <c r="CT134" s="61"/>
      <c r="CU134" s="61"/>
      <c r="CV134" s="60"/>
      <c r="CW134" s="55"/>
      <c r="CX134" s="55"/>
      <c r="CY134" s="56"/>
      <c r="CZ134" s="44"/>
      <c r="DA134" s="56"/>
      <c r="DC134" s="43"/>
      <c r="DD134" s="43"/>
      <c r="DE134" s="118"/>
      <c r="DF134" s="90"/>
      <c r="DH134" s="1029" t="s">
        <v>2153</v>
      </c>
      <c r="DI134" s="1029" t="s">
        <v>4090</v>
      </c>
      <c r="DJ134" s="1030"/>
      <c r="DK134" s="101" t="str">
        <f t="shared" si="25"/>
        <v>93801Q28</v>
      </c>
      <c r="DL134" s="1031" t="s">
        <v>3360</v>
      </c>
      <c r="DM134" s="1031" t="s">
        <v>4092</v>
      </c>
      <c r="DN134" s="1032" t="str">
        <f>T(記入シート1!AB67)</f>
        <v/>
      </c>
      <c r="DO134" s="85"/>
      <c r="DP134" s="85"/>
      <c r="DV134" s="30"/>
      <c r="DX134" s="115"/>
      <c r="DY134" s="115"/>
    </row>
    <row r="135" spans="1:129" ht="19.5" hidden="1" customHeight="1">
      <c r="A135" s="447" t="s">
        <v>1234</v>
      </c>
      <c r="B135" s="249"/>
      <c r="C135" s="2616"/>
      <c r="D135" s="2617"/>
      <c r="E135" s="2617"/>
      <c r="F135" s="2617"/>
      <c r="G135" s="2617"/>
      <c r="H135" s="2617"/>
      <c r="I135" s="2618"/>
      <c r="J135" s="2627"/>
      <c r="K135" s="2628"/>
      <c r="L135" s="2628"/>
      <c r="M135" s="2628"/>
      <c r="N135" s="2628"/>
      <c r="O135" s="2628"/>
      <c r="P135" s="2628"/>
      <c r="Q135" s="2628"/>
      <c r="R135" s="2628"/>
      <c r="S135" s="2628"/>
      <c r="T135" s="2628"/>
      <c r="U135" s="3026"/>
      <c r="V135" s="1943">
        <v>0</v>
      </c>
      <c r="W135" s="1944"/>
      <c r="X135" s="1944"/>
      <c r="Y135" s="1944"/>
      <c r="Z135" s="1020" t="str">
        <f t="shared" si="27"/>
        <v>/</v>
      </c>
      <c r="AA135" s="2595">
        <v>0</v>
      </c>
      <c r="AB135" s="2619"/>
      <c r="AC135" s="2619"/>
      <c r="AD135" s="1016"/>
      <c r="AE135" s="2633">
        <f t="shared" si="26"/>
        <v>0</v>
      </c>
      <c r="AF135" s="2633"/>
      <c r="AG135" s="2633"/>
      <c r="AH135" s="2633"/>
      <c r="AI135" s="2633"/>
      <c r="AJ135" s="2634"/>
      <c r="AK135" s="2635"/>
      <c r="AL135" s="2636"/>
      <c r="AM135" s="2636"/>
      <c r="AN135" s="2636"/>
      <c r="AO135" s="2636"/>
      <c r="AP135" s="2636"/>
      <c r="AQ135" s="2636"/>
      <c r="AR135" s="2636"/>
      <c r="AS135" s="2636"/>
      <c r="AT135" s="2637"/>
      <c r="AU135" s="234"/>
      <c r="AX135" s="489"/>
      <c r="BY135" s="14"/>
      <c r="BZ135" s="121"/>
      <c r="CB135" s="126"/>
      <c r="CC135" s="22"/>
      <c r="CD135" s="145"/>
      <c r="CE135" s="145"/>
      <c r="CF135" s="145"/>
      <c r="CG135" s="30"/>
      <c r="CH135" s="196" t="s">
        <v>524</v>
      </c>
      <c r="CI135" s="196" t="s">
        <v>19</v>
      </c>
      <c r="CJ135" s="196">
        <v>1</v>
      </c>
      <c r="CK135" s="196" t="s">
        <v>20</v>
      </c>
      <c r="CL135" s="196" t="s">
        <v>20</v>
      </c>
      <c r="CM135" s="196" t="s">
        <v>508</v>
      </c>
      <c r="CN135" s="284" t="s">
        <v>614</v>
      </c>
      <c r="CO135" s="197" t="s">
        <v>55</v>
      </c>
      <c r="CP135" s="285"/>
      <c r="CQ135" s="10"/>
      <c r="CR135" s="61"/>
      <c r="CS135" s="61"/>
      <c r="CT135" s="61"/>
      <c r="CU135" s="61"/>
      <c r="CV135" s="60"/>
      <c r="CW135" s="55"/>
      <c r="CX135" s="55"/>
      <c r="CY135" s="56"/>
      <c r="CZ135" s="44"/>
      <c r="DA135" s="56"/>
      <c r="DC135" s="43"/>
      <c r="DD135" s="43"/>
      <c r="DE135" s="118"/>
      <c r="DF135" s="90"/>
      <c r="DH135" s="1029" t="s">
        <v>4408</v>
      </c>
      <c r="DI135" s="1029" t="s">
        <v>4409</v>
      </c>
      <c r="DJ135" s="1030"/>
      <c r="DK135" s="101" t="str">
        <f t="shared" si="25"/>
        <v>10607UR1</v>
      </c>
      <c r="DL135" s="1031" t="s">
        <v>4416</v>
      </c>
      <c r="DM135" s="1031" t="s">
        <v>4412</v>
      </c>
      <c r="DN135" s="1032">
        <f>IF(AS18="包括",1,4)</f>
        <v>1</v>
      </c>
      <c r="DO135" s="85"/>
      <c r="DP135" s="85"/>
      <c r="DV135" s="30"/>
      <c r="DX135" s="115"/>
      <c r="DY135" s="115"/>
    </row>
    <row r="136" spans="1:129" ht="19.5" hidden="1" customHeight="1">
      <c r="A136" s="447" t="s">
        <v>1234</v>
      </c>
      <c r="B136" s="249"/>
      <c r="C136" s="2616"/>
      <c r="D136" s="2617"/>
      <c r="E136" s="2617"/>
      <c r="F136" s="2617"/>
      <c r="G136" s="2617"/>
      <c r="H136" s="2617"/>
      <c r="I136" s="2618"/>
      <c r="J136" s="2627"/>
      <c r="K136" s="2628"/>
      <c r="L136" s="2628"/>
      <c r="M136" s="2628"/>
      <c r="N136" s="2628"/>
      <c r="O136" s="2628"/>
      <c r="P136" s="2628"/>
      <c r="Q136" s="2628"/>
      <c r="R136" s="2628"/>
      <c r="S136" s="2628"/>
      <c r="T136" s="2628"/>
      <c r="U136" s="3026"/>
      <c r="V136" s="1943">
        <v>0</v>
      </c>
      <c r="W136" s="1944"/>
      <c r="X136" s="1944"/>
      <c r="Y136" s="1944"/>
      <c r="Z136" s="1020" t="str">
        <f t="shared" si="27"/>
        <v>/</v>
      </c>
      <c r="AA136" s="2595">
        <v>0</v>
      </c>
      <c r="AB136" s="2619"/>
      <c r="AC136" s="2619"/>
      <c r="AD136" s="1016"/>
      <c r="AE136" s="2633">
        <f t="shared" si="26"/>
        <v>0</v>
      </c>
      <c r="AF136" s="2633"/>
      <c r="AG136" s="2633"/>
      <c r="AH136" s="2633"/>
      <c r="AI136" s="2633"/>
      <c r="AJ136" s="2634"/>
      <c r="AK136" s="2635"/>
      <c r="AL136" s="2636"/>
      <c r="AM136" s="2636"/>
      <c r="AN136" s="2636"/>
      <c r="AO136" s="2636"/>
      <c r="AP136" s="2636"/>
      <c r="AQ136" s="2636"/>
      <c r="AR136" s="2636"/>
      <c r="AS136" s="2636"/>
      <c r="AT136" s="2637"/>
      <c r="AU136" s="234"/>
      <c r="AX136" s="489"/>
      <c r="BY136" s="2"/>
      <c r="BZ136" s="121"/>
      <c r="CA136" s="120"/>
      <c r="CB136" s="126"/>
      <c r="CC136" s="22"/>
      <c r="CD136" s="145"/>
      <c r="CE136" s="145"/>
      <c r="CF136" s="145"/>
      <c r="CG136" s="30"/>
      <c r="CH136" s="196" t="s">
        <v>525</v>
      </c>
      <c r="CI136" s="196" t="s">
        <v>21</v>
      </c>
      <c r="CJ136" s="196">
        <v>255</v>
      </c>
      <c r="CK136" s="196" t="s">
        <v>20</v>
      </c>
      <c r="CL136" s="196" t="s">
        <v>20</v>
      </c>
      <c r="CM136" s="287"/>
      <c r="CN136" s="284" t="s">
        <v>615</v>
      </c>
      <c r="CO136" s="197" t="s">
        <v>53</v>
      </c>
      <c r="CP136" s="285"/>
      <c r="CQ136" s="10"/>
      <c r="CR136" s="61"/>
      <c r="CS136" s="61"/>
      <c r="CT136" s="61"/>
      <c r="CU136" s="61"/>
      <c r="CV136" s="60"/>
      <c r="CW136" s="55"/>
      <c r="CX136" s="55"/>
      <c r="CY136" s="56"/>
      <c r="CZ136" s="44"/>
      <c r="DA136" s="56"/>
      <c r="DC136" s="43"/>
      <c r="DD136" s="43"/>
      <c r="DE136" s="118"/>
      <c r="DF136" s="90"/>
      <c r="DH136" s="1029" t="s">
        <v>4408</v>
      </c>
      <c r="DI136" s="1029" t="s">
        <v>4410</v>
      </c>
      <c r="DJ136" s="1030"/>
      <c r="DK136" s="101" t="str">
        <f t="shared" si="25"/>
        <v>10607UR3</v>
      </c>
      <c r="DL136" s="1031" t="s">
        <v>4417</v>
      </c>
      <c r="DM136" s="1031" t="s">
        <v>4413</v>
      </c>
      <c r="DN136" s="1032" t="str">
        <f ca="1">IF(LEN(【JCB用記入シート】業態シート!G4)=5,【JCB用記入シート】業態シート!G4,"")</f>
        <v/>
      </c>
      <c r="DO136" s="85"/>
      <c r="DP136" s="29"/>
      <c r="DQ136" s="467"/>
      <c r="DR136" s="467"/>
      <c r="DS136" s="467"/>
      <c r="DT136" s="467"/>
      <c r="DU136" s="467"/>
      <c r="DV136" s="30"/>
      <c r="DX136" s="115"/>
      <c r="DY136" s="115"/>
    </row>
    <row r="137" spans="1:129" ht="19.5" hidden="1" customHeight="1">
      <c r="A137" s="447" t="s">
        <v>1234</v>
      </c>
      <c r="B137" s="249"/>
      <c r="C137" s="2616"/>
      <c r="D137" s="2617"/>
      <c r="E137" s="2617"/>
      <c r="F137" s="2617"/>
      <c r="G137" s="2617"/>
      <c r="H137" s="2617"/>
      <c r="I137" s="2618"/>
      <c r="J137" s="2627"/>
      <c r="K137" s="2628"/>
      <c r="L137" s="2628"/>
      <c r="M137" s="2628"/>
      <c r="N137" s="2628"/>
      <c r="O137" s="2628"/>
      <c r="P137" s="2628"/>
      <c r="Q137" s="2628"/>
      <c r="R137" s="2628"/>
      <c r="S137" s="2628"/>
      <c r="T137" s="2628"/>
      <c r="U137" s="3026"/>
      <c r="V137" s="1943">
        <v>0</v>
      </c>
      <c r="W137" s="1944"/>
      <c r="X137" s="1944"/>
      <c r="Y137" s="1944"/>
      <c r="Z137" s="1020" t="str">
        <f t="shared" si="27"/>
        <v>/</v>
      </c>
      <c r="AA137" s="2595">
        <v>0</v>
      </c>
      <c r="AB137" s="2619"/>
      <c r="AC137" s="2619"/>
      <c r="AD137" s="1016"/>
      <c r="AE137" s="2633">
        <f t="shared" si="26"/>
        <v>0</v>
      </c>
      <c r="AF137" s="2633"/>
      <c r="AG137" s="2633"/>
      <c r="AH137" s="2633"/>
      <c r="AI137" s="2633"/>
      <c r="AJ137" s="2634"/>
      <c r="AK137" s="2635"/>
      <c r="AL137" s="2636"/>
      <c r="AM137" s="2636"/>
      <c r="AN137" s="2636"/>
      <c r="AO137" s="2636"/>
      <c r="AP137" s="2636"/>
      <c r="AQ137" s="2636"/>
      <c r="AR137" s="2636"/>
      <c r="AS137" s="2636"/>
      <c r="AT137" s="2637"/>
      <c r="AU137" s="234"/>
      <c r="AX137" s="489"/>
      <c r="BY137" s="2"/>
      <c r="BZ137" s="121"/>
      <c r="CC137" s="22"/>
      <c r="CD137" s="145"/>
      <c r="CE137" s="145"/>
      <c r="CF137" s="145"/>
      <c r="CG137" s="30"/>
      <c r="CH137" s="196" t="s">
        <v>526</v>
      </c>
      <c r="CI137" s="196" t="s">
        <v>21</v>
      </c>
      <c r="CJ137" s="196">
        <v>255</v>
      </c>
      <c r="CK137" s="196" t="s">
        <v>20</v>
      </c>
      <c r="CL137" s="196" t="s">
        <v>20</v>
      </c>
      <c r="CM137" s="287"/>
      <c r="CN137" s="284" t="s">
        <v>615</v>
      </c>
      <c r="CO137" s="197" t="s">
        <v>52</v>
      </c>
      <c r="CP137" s="285"/>
      <c r="CQ137" s="10"/>
      <c r="CR137" s="61"/>
      <c r="CS137" s="61"/>
      <c r="CT137" s="61"/>
      <c r="CU137" s="61"/>
      <c r="CV137" s="60"/>
      <c r="CW137" s="55"/>
      <c r="CX137" s="55"/>
      <c r="CY137" s="56"/>
      <c r="CZ137" s="44"/>
      <c r="DA137" s="56"/>
      <c r="DC137" s="43"/>
      <c r="DD137" s="43"/>
      <c r="DE137" s="118"/>
      <c r="DF137" s="90"/>
      <c r="DH137" s="1029" t="s">
        <v>4408</v>
      </c>
      <c r="DI137" s="1029" t="s">
        <v>4411</v>
      </c>
      <c r="DJ137" s="1030"/>
      <c r="DK137" s="101" t="str">
        <f t="shared" si="25"/>
        <v>10607UR4</v>
      </c>
      <c r="DL137" s="1031" t="s">
        <v>4418</v>
      </c>
      <c r="DM137" s="1031" t="s">
        <v>4414</v>
      </c>
      <c r="DN137" s="1032" t="str">
        <f>TEXT(記入シート1!AI85,"0000")&amp;TEXT(記入シート1!AM85,"00")&amp;TEXT(記入シート1!AQ85,"00")</f>
        <v>00000000</v>
      </c>
      <c r="DO137" s="85"/>
      <c r="DP137" s="29"/>
      <c r="DQ137" s="467"/>
      <c r="DR137" s="467"/>
      <c r="DS137" s="467"/>
      <c r="DT137" s="467"/>
      <c r="DU137" s="467"/>
      <c r="DV137" s="30"/>
      <c r="DX137" s="115"/>
      <c r="DY137" s="115"/>
    </row>
    <row r="138" spans="1:129" ht="19.5" hidden="1" customHeight="1">
      <c r="A138" s="447" t="s">
        <v>3574</v>
      </c>
      <c r="B138" s="249"/>
      <c r="C138" s="2616"/>
      <c r="D138" s="2617"/>
      <c r="E138" s="2617"/>
      <c r="F138" s="2617"/>
      <c r="G138" s="2617"/>
      <c r="H138" s="2617"/>
      <c r="I138" s="2618"/>
      <c r="J138" s="2627"/>
      <c r="K138" s="2628"/>
      <c r="L138" s="2628"/>
      <c r="M138" s="2628"/>
      <c r="N138" s="2628"/>
      <c r="O138" s="2628"/>
      <c r="P138" s="2628"/>
      <c r="Q138" s="2628"/>
      <c r="R138" s="2628"/>
      <c r="S138" s="2628"/>
      <c r="T138" s="2628"/>
      <c r="U138" s="3026"/>
      <c r="V138" s="1943">
        <v>0</v>
      </c>
      <c r="W138" s="1944"/>
      <c r="X138" s="1944"/>
      <c r="Y138" s="1944"/>
      <c r="Z138" s="1020" t="str">
        <f t="shared" si="27"/>
        <v>/</v>
      </c>
      <c r="AA138" s="2595">
        <v>0</v>
      </c>
      <c r="AB138" s="2619"/>
      <c r="AC138" s="2619"/>
      <c r="AD138" s="1016"/>
      <c r="AE138" s="2633">
        <f t="shared" si="26"/>
        <v>0</v>
      </c>
      <c r="AF138" s="2633"/>
      <c r="AG138" s="2633"/>
      <c r="AH138" s="2633"/>
      <c r="AI138" s="2633"/>
      <c r="AJ138" s="2634"/>
      <c r="AK138" s="2635"/>
      <c r="AL138" s="2636"/>
      <c r="AM138" s="2636"/>
      <c r="AN138" s="2636"/>
      <c r="AO138" s="2636"/>
      <c r="AP138" s="2636"/>
      <c r="AQ138" s="2636"/>
      <c r="AR138" s="2636"/>
      <c r="AS138" s="2636"/>
      <c r="AT138" s="2637"/>
      <c r="AU138" s="234"/>
      <c r="AX138" s="489"/>
      <c r="BY138" s="2"/>
      <c r="BZ138" s="121"/>
      <c r="CA138" s="120"/>
      <c r="CB138" s="126"/>
      <c r="CC138" s="22"/>
      <c r="CD138" s="145"/>
      <c r="CE138" s="145"/>
      <c r="CF138" s="145"/>
      <c r="CG138" s="30"/>
      <c r="CH138" s="196" t="s">
        <v>527</v>
      </c>
      <c r="CI138" s="196" t="s">
        <v>19</v>
      </c>
      <c r="CJ138" s="196">
        <v>1</v>
      </c>
      <c r="CK138" s="196" t="s">
        <v>20</v>
      </c>
      <c r="CL138" s="196" t="s">
        <v>20</v>
      </c>
      <c r="CM138" s="196" t="s">
        <v>508</v>
      </c>
      <c r="CN138" s="284" t="s">
        <v>616</v>
      </c>
      <c r="CO138" s="197" t="s">
        <v>51</v>
      </c>
      <c r="CP138" s="285"/>
      <c r="CQ138" s="10"/>
      <c r="CR138" s="61"/>
      <c r="CS138" s="61"/>
      <c r="CT138" s="61"/>
      <c r="CU138" s="61"/>
      <c r="CV138" s="60"/>
      <c r="CW138" s="55"/>
      <c r="CX138" s="55"/>
      <c r="CY138" s="56"/>
      <c r="CZ138" s="44"/>
      <c r="DA138" s="56"/>
      <c r="DC138" s="43"/>
      <c r="DD138" s="43"/>
      <c r="DE138" s="118"/>
      <c r="DF138" s="90"/>
      <c r="DH138" s="1029" t="s">
        <v>4408</v>
      </c>
      <c r="DI138" s="1029" t="s">
        <v>2174</v>
      </c>
      <c r="DJ138" s="1030"/>
      <c r="DK138" s="101" t="str">
        <f t="shared" si="25"/>
        <v>10607UR5</v>
      </c>
      <c r="DL138" s="1031" t="s">
        <v>4419</v>
      </c>
      <c r="DM138" s="1031" t="s">
        <v>4415</v>
      </c>
      <c r="DN138" s="1032" t="str">
        <f>ASC(記入シート1!AX88)</f>
        <v/>
      </c>
      <c r="DO138" s="85"/>
      <c r="DP138" s="29"/>
      <c r="DQ138" s="467"/>
      <c r="DR138" s="467"/>
      <c r="DS138" s="467"/>
      <c r="DT138" s="467"/>
      <c r="DU138" s="467"/>
      <c r="DV138" s="30"/>
      <c r="DX138" s="115"/>
      <c r="DY138" s="115"/>
    </row>
    <row r="139" spans="1:129" ht="19.5" hidden="1" customHeight="1">
      <c r="A139" s="447" t="s">
        <v>1234</v>
      </c>
      <c r="B139" s="249"/>
      <c r="C139" s="2616"/>
      <c r="D139" s="2617"/>
      <c r="E139" s="2617"/>
      <c r="F139" s="2617"/>
      <c r="G139" s="2617"/>
      <c r="H139" s="2617"/>
      <c r="I139" s="2618"/>
      <c r="J139" s="2627"/>
      <c r="K139" s="2628"/>
      <c r="L139" s="2628"/>
      <c r="M139" s="2628"/>
      <c r="N139" s="2628"/>
      <c r="O139" s="2628"/>
      <c r="P139" s="2628"/>
      <c r="Q139" s="2628"/>
      <c r="R139" s="2628"/>
      <c r="S139" s="2628"/>
      <c r="T139" s="2628"/>
      <c r="U139" s="3026"/>
      <c r="V139" s="1943">
        <v>0</v>
      </c>
      <c r="W139" s="1944"/>
      <c r="X139" s="1944"/>
      <c r="Y139" s="1944"/>
      <c r="Z139" s="1020" t="str">
        <f t="shared" si="27"/>
        <v>/</v>
      </c>
      <c r="AA139" s="3029">
        <v>0</v>
      </c>
      <c r="AB139" s="2626"/>
      <c r="AC139" s="2626"/>
      <c r="AD139" s="1016"/>
      <c r="AE139" s="2633">
        <f t="shared" si="26"/>
        <v>0</v>
      </c>
      <c r="AF139" s="2633"/>
      <c r="AG139" s="2633"/>
      <c r="AH139" s="2633"/>
      <c r="AI139" s="2633"/>
      <c r="AJ139" s="2634"/>
      <c r="AK139" s="2635"/>
      <c r="AL139" s="2636"/>
      <c r="AM139" s="2636"/>
      <c r="AN139" s="2636"/>
      <c r="AO139" s="2636"/>
      <c r="AP139" s="2636"/>
      <c r="AQ139" s="2636"/>
      <c r="AR139" s="2636"/>
      <c r="AS139" s="2636"/>
      <c r="AT139" s="2637"/>
      <c r="AU139" s="234"/>
      <c r="AX139" s="489"/>
      <c r="BY139" s="2"/>
      <c r="BZ139" s="121"/>
      <c r="CA139" s="120"/>
      <c r="CC139" s="22"/>
      <c r="CD139" s="145"/>
      <c r="CE139" s="145"/>
      <c r="CF139" s="145"/>
      <c r="CG139" s="30"/>
      <c r="CH139" s="196" t="s">
        <v>528</v>
      </c>
      <c r="CI139" s="196" t="s">
        <v>21</v>
      </c>
      <c r="CJ139" s="196">
        <v>255</v>
      </c>
      <c r="CK139" s="196" t="s">
        <v>20</v>
      </c>
      <c r="CL139" s="196" t="s">
        <v>20</v>
      </c>
      <c r="CM139" s="287"/>
      <c r="CN139" s="284" t="s">
        <v>617</v>
      </c>
      <c r="CO139" s="197" t="s">
        <v>50</v>
      </c>
      <c r="CP139" s="285"/>
      <c r="CQ139" s="10"/>
      <c r="CR139" s="61"/>
      <c r="CS139" s="61"/>
      <c r="CT139" s="61"/>
      <c r="CU139" s="61"/>
      <c r="CV139" s="60"/>
      <c r="CW139" s="55"/>
      <c r="CX139" s="55"/>
      <c r="CY139" s="56"/>
      <c r="CZ139" s="44"/>
      <c r="DA139" s="56"/>
      <c r="DC139" s="43"/>
      <c r="DD139" s="43"/>
      <c r="DE139" s="118"/>
      <c r="DF139" s="90"/>
      <c r="DH139" s="1029" t="s">
        <v>2244</v>
      </c>
      <c r="DI139" s="1029" t="s">
        <v>4860</v>
      </c>
      <c r="DJ139" s="1173"/>
      <c r="DK139" s="1029" t="str">
        <f t="shared" si="25"/>
        <v>93701Q14</v>
      </c>
      <c r="DL139" s="1031" t="s">
        <v>3357</v>
      </c>
      <c r="DM139" s="1031" t="s">
        <v>4861</v>
      </c>
      <c r="DN139" s="1032" t="str">
        <f>IFERROR(IF(BC62=0,"",ASC(BC62)),"")</f>
        <v>37</v>
      </c>
      <c r="DO139" s="29"/>
      <c r="DP139" s="21"/>
      <c r="DQ139" s="468"/>
      <c r="DR139" s="468"/>
      <c r="DS139" s="468"/>
      <c r="DT139" s="468"/>
      <c r="DU139" s="468"/>
      <c r="DV139" s="30"/>
      <c r="DX139" s="115"/>
      <c r="DY139" s="115"/>
    </row>
    <row r="140" spans="1:129" ht="19.5" hidden="1" customHeight="1">
      <c r="A140" s="447" t="s">
        <v>1234</v>
      </c>
      <c r="B140" s="249"/>
      <c r="C140" s="2616"/>
      <c r="D140" s="2617"/>
      <c r="E140" s="2617"/>
      <c r="F140" s="2617"/>
      <c r="G140" s="2617"/>
      <c r="H140" s="2617"/>
      <c r="I140" s="2618"/>
      <c r="J140" s="2627"/>
      <c r="K140" s="2628"/>
      <c r="L140" s="2628"/>
      <c r="M140" s="2628"/>
      <c r="N140" s="2628"/>
      <c r="O140" s="2628"/>
      <c r="P140" s="2628"/>
      <c r="Q140" s="2628"/>
      <c r="R140" s="2628"/>
      <c r="S140" s="2628"/>
      <c r="T140" s="2628"/>
      <c r="U140" s="3026"/>
      <c r="V140" s="1943">
        <v>0</v>
      </c>
      <c r="W140" s="1944"/>
      <c r="X140" s="1944"/>
      <c r="Y140" s="1944"/>
      <c r="Z140" s="1020" t="str">
        <f t="shared" si="27"/>
        <v>/</v>
      </c>
      <c r="AA140" s="2595">
        <v>0</v>
      </c>
      <c r="AB140" s="2619"/>
      <c r="AC140" s="2619"/>
      <c r="AD140" s="1016"/>
      <c r="AE140" s="2633">
        <f t="shared" si="26"/>
        <v>0</v>
      </c>
      <c r="AF140" s="2633"/>
      <c r="AG140" s="2633"/>
      <c r="AH140" s="2633"/>
      <c r="AI140" s="2633"/>
      <c r="AJ140" s="2634"/>
      <c r="AK140" s="2635"/>
      <c r="AL140" s="2636"/>
      <c r="AM140" s="2636"/>
      <c r="AN140" s="2636"/>
      <c r="AO140" s="2636"/>
      <c r="AP140" s="2636"/>
      <c r="AQ140" s="2636"/>
      <c r="AR140" s="2636"/>
      <c r="AS140" s="2636"/>
      <c r="AT140" s="2637"/>
      <c r="AU140" s="234"/>
      <c r="AX140" s="489"/>
      <c r="BZ140" s="121"/>
      <c r="CA140" s="121"/>
      <c r="CB140" s="126"/>
      <c r="CC140" s="22"/>
      <c r="CD140" s="145"/>
      <c r="CE140" s="145"/>
      <c r="CF140" s="145"/>
      <c r="CG140" s="30"/>
      <c r="CH140" s="196" t="s">
        <v>529</v>
      </c>
      <c r="CI140" s="196" t="s">
        <v>21</v>
      </c>
      <c r="CJ140" s="196">
        <v>255</v>
      </c>
      <c r="CK140" s="196" t="s">
        <v>20</v>
      </c>
      <c r="CL140" s="196" t="s">
        <v>20</v>
      </c>
      <c r="CM140" s="287"/>
      <c r="CN140" s="284" t="s">
        <v>617</v>
      </c>
      <c r="CO140" s="197" t="s">
        <v>49</v>
      </c>
      <c r="CP140" s="285"/>
      <c r="CQ140" s="10"/>
      <c r="CR140" s="61"/>
      <c r="CS140" s="61"/>
      <c r="CT140" s="61"/>
      <c r="CU140" s="61"/>
      <c r="CV140" s="60"/>
      <c r="CX140" s="55"/>
      <c r="CY140" s="56"/>
      <c r="CZ140" s="44"/>
      <c r="DA140" s="56"/>
      <c r="DC140" s="43"/>
      <c r="DD140" s="43"/>
      <c r="DE140" s="118"/>
      <c r="DF140" s="90"/>
      <c r="DH140" s="1029" t="s">
        <v>2244</v>
      </c>
      <c r="DI140" s="1029" t="s">
        <v>4862</v>
      </c>
      <c r="DJ140" s="1173"/>
      <c r="DK140" s="1029" t="str">
        <f t="shared" si="25"/>
        <v>93701Q15</v>
      </c>
      <c r="DL140" s="1031" t="s">
        <v>3357</v>
      </c>
      <c r="DM140" s="1031" t="s">
        <v>4863</v>
      </c>
      <c r="DN140" s="1032" t="str">
        <f>IF(OR(BA63="",BA63="0000"),"",ASC(BA63))</f>
        <v>1903</v>
      </c>
      <c r="DO140" s="29"/>
      <c r="DP140" s="21"/>
      <c r="DQ140" s="468"/>
      <c r="DR140" s="468"/>
      <c r="DS140" s="468"/>
      <c r="DT140" s="468"/>
      <c r="DU140" s="468"/>
      <c r="DV140" s="30"/>
      <c r="DX140" s="115"/>
      <c r="DY140" s="115"/>
    </row>
    <row r="141" spans="1:129" ht="19.5" hidden="1" customHeight="1">
      <c r="A141" s="447" t="s">
        <v>1234</v>
      </c>
      <c r="B141" s="249"/>
      <c r="C141" s="2616"/>
      <c r="D141" s="2617"/>
      <c r="E141" s="2617"/>
      <c r="F141" s="2617"/>
      <c r="G141" s="2617"/>
      <c r="H141" s="2617"/>
      <c r="I141" s="2618"/>
      <c r="J141" s="2627"/>
      <c r="K141" s="2628"/>
      <c r="L141" s="2628"/>
      <c r="M141" s="2628"/>
      <c r="N141" s="2628"/>
      <c r="O141" s="2628"/>
      <c r="P141" s="2628"/>
      <c r="Q141" s="2628"/>
      <c r="R141" s="2628"/>
      <c r="S141" s="2628"/>
      <c r="T141" s="2628"/>
      <c r="U141" s="3026"/>
      <c r="V141" s="1943">
        <v>0</v>
      </c>
      <c r="W141" s="1944"/>
      <c r="X141" s="1944"/>
      <c r="Y141" s="1944"/>
      <c r="Z141" s="1020" t="str">
        <f t="shared" si="27"/>
        <v>/</v>
      </c>
      <c r="AA141" s="2595">
        <v>0</v>
      </c>
      <c r="AB141" s="2619"/>
      <c r="AC141" s="2619"/>
      <c r="AD141" s="1016"/>
      <c r="AE141" s="2633">
        <f t="shared" si="26"/>
        <v>0</v>
      </c>
      <c r="AF141" s="2633"/>
      <c r="AG141" s="2633"/>
      <c r="AH141" s="2633"/>
      <c r="AI141" s="2633"/>
      <c r="AJ141" s="2634"/>
      <c r="AK141" s="2635"/>
      <c r="AL141" s="2636"/>
      <c r="AM141" s="2636"/>
      <c r="AN141" s="2636"/>
      <c r="AO141" s="2636"/>
      <c r="AP141" s="2636"/>
      <c r="AQ141" s="2636"/>
      <c r="AR141" s="2636"/>
      <c r="AS141" s="2636"/>
      <c r="AT141" s="2637"/>
      <c r="AU141" s="234"/>
      <c r="AX141" s="489"/>
      <c r="BZ141" s="22"/>
      <c r="CA141" s="121"/>
      <c r="CB141" s="204"/>
      <c r="CC141" s="22"/>
      <c r="CD141" s="145"/>
      <c r="CE141" s="145"/>
      <c r="CF141" s="145"/>
      <c r="CG141" s="30"/>
      <c r="CH141" s="196" t="s">
        <v>530</v>
      </c>
      <c r="CI141" s="196" t="s">
        <v>21</v>
      </c>
      <c r="CJ141" s="196">
        <v>100</v>
      </c>
      <c r="CK141" s="196" t="s">
        <v>20</v>
      </c>
      <c r="CL141" s="196" t="s">
        <v>20</v>
      </c>
      <c r="CM141" s="287"/>
      <c r="CN141" s="284" t="s">
        <v>617</v>
      </c>
      <c r="CO141" s="197" t="s">
        <v>48</v>
      </c>
      <c r="CP141" s="285"/>
      <c r="CQ141" s="10"/>
      <c r="CR141" s="61"/>
      <c r="CS141" s="61"/>
      <c r="CT141" s="61"/>
      <c r="CU141" s="61"/>
      <c r="CV141" s="60"/>
      <c r="CX141" s="55"/>
      <c r="CY141" s="56"/>
      <c r="CZ141" s="44"/>
      <c r="DA141" s="56"/>
      <c r="DC141" s="43"/>
      <c r="DD141" s="43"/>
      <c r="DE141" s="118"/>
      <c r="DF141" s="90"/>
      <c r="DH141" s="1029" t="s">
        <v>4408</v>
      </c>
      <c r="DI141" s="1029" t="s">
        <v>897</v>
      </c>
      <c r="DJ141" s="1173" t="s">
        <v>736</v>
      </c>
      <c r="DK141" s="1029" t="str">
        <f t="shared" si="25"/>
        <v>106072YC</v>
      </c>
      <c r="DL141" s="1031" t="s">
        <v>4416</v>
      </c>
      <c r="DM141" s="105" t="s">
        <v>919</v>
      </c>
      <c r="DN141" s="1032">
        <f>IF(AV20=TRUE,1,0)</f>
        <v>0</v>
      </c>
      <c r="DO141" s="29"/>
      <c r="DP141" s="21"/>
      <c r="DQ141" s="468"/>
      <c r="DR141" s="468"/>
      <c r="DS141" s="468"/>
      <c r="DT141" s="468"/>
      <c r="DU141" s="468"/>
      <c r="DV141" s="30"/>
      <c r="DX141" s="115"/>
      <c r="DY141" s="115"/>
    </row>
    <row r="142" spans="1:129" ht="19.5" hidden="1" customHeight="1">
      <c r="A142" s="447" t="s">
        <v>1234</v>
      </c>
      <c r="B142" s="249"/>
      <c r="C142" s="2616"/>
      <c r="D142" s="2617"/>
      <c r="E142" s="2617"/>
      <c r="F142" s="2617"/>
      <c r="G142" s="2617"/>
      <c r="H142" s="2617"/>
      <c r="I142" s="2618"/>
      <c r="J142" s="2627"/>
      <c r="K142" s="2628"/>
      <c r="L142" s="2628"/>
      <c r="M142" s="2628"/>
      <c r="N142" s="2628"/>
      <c r="O142" s="2628"/>
      <c r="P142" s="2628"/>
      <c r="Q142" s="2628"/>
      <c r="R142" s="2628"/>
      <c r="S142" s="2628"/>
      <c r="T142" s="2628"/>
      <c r="U142" s="3026"/>
      <c r="V142" s="1943">
        <v>0</v>
      </c>
      <c r="W142" s="1944"/>
      <c r="X142" s="1944"/>
      <c r="Y142" s="1944"/>
      <c r="Z142" s="1020" t="str">
        <f t="shared" si="27"/>
        <v>/</v>
      </c>
      <c r="AA142" s="2595">
        <v>0</v>
      </c>
      <c r="AB142" s="2619"/>
      <c r="AC142" s="2619"/>
      <c r="AD142" s="1016"/>
      <c r="AE142" s="2633">
        <f t="shared" si="26"/>
        <v>0</v>
      </c>
      <c r="AF142" s="2633"/>
      <c r="AG142" s="2633"/>
      <c r="AH142" s="2633"/>
      <c r="AI142" s="2633"/>
      <c r="AJ142" s="2634"/>
      <c r="AK142" s="2635"/>
      <c r="AL142" s="2636"/>
      <c r="AM142" s="2636"/>
      <c r="AN142" s="2636"/>
      <c r="AO142" s="2636"/>
      <c r="AP142" s="2636"/>
      <c r="AQ142" s="2636"/>
      <c r="AR142" s="2636"/>
      <c r="AS142" s="2636"/>
      <c r="AT142" s="2637"/>
      <c r="AU142" s="234"/>
      <c r="AX142" s="489"/>
      <c r="BZ142" s="22"/>
      <c r="CA142" s="121"/>
      <c r="CB142" s="204"/>
      <c r="CC142" s="22"/>
      <c r="CD142" s="145"/>
      <c r="CE142" s="145"/>
      <c r="CF142" s="145"/>
      <c r="CG142" s="30"/>
      <c r="CH142" s="109" t="s">
        <v>638</v>
      </c>
      <c r="CI142" s="110"/>
      <c r="CJ142" s="110"/>
      <c r="CK142" s="110"/>
      <c r="CL142" s="110"/>
      <c r="CM142" s="110"/>
      <c r="CN142" s="110"/>
      <c r="CO142" s="60"/>
      <c r="CP142" s="111"/>
      <c r="CQ142" s="10"/>
      <c r="CR142" s="61"/>
      <c r="CS142" s="61"/>
      <c r="CT142" s="61"/>
      <c r="CU142" s="61"/>
      <c r="CV142" s="60"/>
      <c r="CY142" s="56"/>
      <c r="DC142" s="43"/>
      <c r="DD142" s="42"/>
      <c r="DE142" s="118"/>
      <c r="DF142" s="90"/>
      <c r="DH142" s="1029" t="s">
        <v>4408</v>
      </c>
      <c r="DI142" s="1029" t="s">
        <v>898</v>
      </c>
      <c r="DJ142" s="1173" t="s">
        <v>736</v>
      </c>
      <c r="DK142" s="1029" t="str">
        <f t="shared" si="25"/>
        <v>106072YD</v>
      </c>
      <c r="DL142" s="1031" t="s">
        <v>4416</v>
      </c>
      <c r="DM142" s="105" t="s">
        <v>920</v>
      </c>
      <c r="DN142" s="1032">
        <f t="shared" ref="DN142:DN144" si="28">IF(AV21=TRUE,1,0)</f>
        <v>0</v>
      </c>
      <c r="DO142" s="21"/>
      <c r="DP142" s="21"/>
      <c r="DQ142" s="468"/>
      <c r="DR142" s="468"/>
      <c r="DS142" s="468"/>
      <c r="DT142" s="468"/>
      <c r="DU142" s="468"/>
      <c r="DV142" s="30"/>
      <c r="DX142" s="115"/>
      <c r="DY142" s="115"/>
    </row>
    <row r="143" spans="1:129" ht="19.5" hidden="1" customHeight="1">
      <c r="A143" s="447" t="s">
        <v>1234</v>
      </c>
      <c r="B143" s="249"/>
      <c r="C143" s="2616"/>
      <c r="D143" s="2617"/>
      <c r="E143" s="2617"/>
      <c r="F143" s="2617"/>
      <c r="G143" s="2617"/>
      <c r="H143" s="2617"/>
      <c r="I143" s="2618"/>
      <c r="J143" s="2627"/>
      <c r="K143" s="2628"/>
      <c r="L143" s="2628"/>
      <c r="M143" s="2628"/>
      <c r="N143" s="2628"/>
      <c r="O143" s="2628"/>
      <c r="P143" s="2628"/>
      <c r="Q143" s="2628"/>
      <c r="R143" s="2628"/>
      <c r="S143" s="2628"/>
      <c r="T143" s="2628"/>
      <c r="U143" s="3026"/>
      <c r="V143" s="1943">
        <v>0</v>
      </c>
      <c r="W143" s="1944"/>
      <c r="X143" s="1944"/>
      <c r="Y143" s="1944"/>
      <c r="Z143" s="1020" t="str">
        <f t="shared" si="27"/>
        <v>/</v>
      </c>
      <c r="AA143" s="2595">
        <v>0</v>
      </c>
      <c r="AB143" s="2619"/>
      <c r="AC143" s="2619"/>
      <c r="AD143" s="1016"/>
      <c r="AE143" s="2633">
        <f t="shared" si="26"/>
        <v>0</v>
      </c>
      <c r="AF143" s="2633"/>
      <c r="AG143" s="2633"/>
      <c r="AH143" s="2633"/>
      <c r="AI143" s="2633"/>
      <c r="AJ143" s="2634"/>
      <c r="AK143" s="2635"/>
      <c r="AL143" s="2636"/>
      <c r="AM143" s="2636"/>
      <c r="AN143" s="2636"/>
      <c r="AO143" s="2636"/>
      <c r="AP143" s="2636"/>
      <c r="AQ143" s="2636"/>
      <c r="AR143" s="2636"/>
      <c r="AS143" s="2636"/>
      <c r="AT143" s="2637"/>
      <c r="AU143" s="234"/>
      <c r="AX143" s="489"/>
      <c r="BZ143" s="22"/>
      <c r="CA143" s="121"/>
      <c r="CB143" s="204"/>
      <c r="CC143" s="22"/>
      <c r="CD143" s="145"/>
      <c r="CE143" s="145"/>
      <c r="CF143" s="145"/>
      <c r="CG143" s="30"/>
      <c r="CH143" s="62" t="s">
        <v>323</v>
      </c>
      <c r="CI143" s="63" t="s">
        <v>586</v>
      </c>
      <c r="CJ143" s="63" t="s">
        <v>321</v>
      </c>
      <c r="CK143" s="62" t="s">
        <v>320</v>
      </c>
      <c r="CL143" s="62" t="s">
        <v>587</v>
      </c>
      <c r="CM143" s="62" t="s">
        <v>326</v>
      </c>
      <c r="CN143" s="62" t="s">
        <v>327</v>
      </c>
      <c r="CO143" s="62" t="s">
        <v>376</v>
      </c>
      <c r="CP143" s="62" t="s">
        <v>328</v>
      </c>
      <c r="CQ143" s="10"/>
      <c r="CR143" s="61"/>
      <c r="CS143" s="61"/>
      <c r="CT143" s="61"/>
      <c r="CU143" s="61"/>
      <c r="CV143" s="60"/>
      <c r="CW143" s="55"/>
      <c r="CY143" s="56"/>
      <c r="DC143" s="43"/>
      <c r="DD143" s="42"/>
      <c r="DE143" s="90"/>
      <c r="DF143" s="90"/>
      <c r="DH143" s="1029" t="s">
        <v>4408</v>
      </c>
      <c r="DI143" s="1029" t="s">
        <v>899</v>
      </c>
      <c r="DJ143" s="1173" t="s">
        <v>736</v>
      </c>
      <c r="DK143" s="1029" t="str">
        <f t="shared" si="25"/>
        <v>106072YE</v>
      </c>
      <c r="DL143" s="1031" t="s">
        <v>4416</v>
      </c>
      <c r="DM143" s="102" t="s">
        <v>921</v>
      </c>
      <c r="DN143" s="1032">
        <f t="shared" si="28"/>
        <v>0</v>
      </c>
      <c r="DO143" s="21"/>
      <c r="DP143" s="21"/>
      <c r="DQ143" s="468"/>
      <c r="DR143" s="468"/>
      <c r="DS143" s="468"/>
      <c r="DT143" s="468"/>
      <c r="DU143" s="468"/>
      <c r="DV143" s="30"/>
      <c r="DX143" s="115"/>
      <c r="DY143" s="115"/>
    </row>
    <row r="144" spans="1:129" ht="19.5" hidden="1" customHeight="1">
      <c r="A144" s="447" t="s">
        <v>1234</v>
      </c>
      <c r="B144" s="249"/>
      <c r="C144" s="2616"/>
      <c r="D144" s="2617"/>
      <c r="E144" s="2617"/>
      <c r="F144" s="2617"/>
      <c r="G144" s="2617"/>
      <c r="H144" s="2617"/>
      <c r="I144" s="2618"/>
      <c r="J144" s="2627"/>
      <c r="K144" s="2628"/>
      <c r="L144" s="2628"/>
      <c r="M144" s="2628"/>
      <c r="N144" s="2628"/>
      <c r="O144" s="2628"/>
      <c r="P144" s="2628"/>
      <c r="Q144" s="2628"/>
      <c r="R144" s="2628"/>
      <c r="S144" s="2628"/>
      <c r="T144" s="2628"/>
      <c r="U144" s="3026"/>
      <c r="V144" s="1943">
        <v>0</v>
      </c>
      <c r="W144" s="1944"/>
      <c r="X144" s="1944"/>
      <c r="Y144" s="1944"/>
      <c r="Z144" s="1020" t="str">
        <f t="shared" si="27"/>
        <v>/</v>
      </c>
      <c r="AA144" s="2595">
        <v>0</v>
      </c>
      <c r="AB144" s="2619"/>
      <c r="AC144" s="2619"/>
      <c r="AD144" s="1016"/>
      <c r="AE144" s="2633">
        <f t="shared" si="26"/>
        <v>0</v>
      </c>
      <c r="AF144" s="2633"/>
      <c r="AG144" s="2633"/>
      <c r="AH144" s="2633"/>
      <c r="AI144" s="2633"/>
      <c r="AJ144" s="2634"/>
      <c r="AK144" s="2635"/>
      <c r="AL144" s="2636"/>
      <c r="AM144" s="2636"/>
      <c r="AN144" s="2636"/>
      <c r="AO144" s="2636"/>
      <c r="AP144" s="2636"/>
      <c r="AQ144" s="2636"/>
      <c r="AR144" s="2636"/>
      <c r="AS144" s="2636"/>
      <c r="AT144" s="2637"/>
      <c r="AU144" s="234"/>
      <c r="AX144" s="489"/>
      <c r="BZ144" s="22"/>
      <c r="CA144" s="121"/>
      <c r="CB144" s="204"/>
      <c r="CC144" s="22"/>
      <c r="CD144" s="145"/>
      <c r="CE144" s="145"/>
      <c r="CF144" s="145"/>
      <c r="CG144" s="30"/>
      <c r="CH144" s="65" t="s">
        <v>313</v>
      </c>
      <c r="CI144" s="112"/>
      <c r="CJ144" s="112"/>
      <c r="CK144" s="112"/>
      <c r="CL144" s="112"/>
      <c r="CM144" s="112"/>
      <c r="CN144" s="112"/>
      <c r="CO144" s="113" t="s">
        <v>531</v>
      </c>
      <c r="CP144" s="114"/>
      <c r="CQ144" s="10"/>
      <c r="CR144" s="61"/>
      <c r="CS144" s="61"/>
      <c r="CT144" s="61"/>
      <c r="CU144" s="61"/>
      <c r="CV144" s="60"/>
      <c r="CW144" s="55"/>
      <c r="CY144" s="55"/>
      <c r="DB144" s="42"/>
      <c r="DC144" s="44"/>
      <c r="DD144" s="42"/>
      <c r="DE144" s="90"/>
      <c r="DF144" s="90"/>
      <c r="DH144" s="1029" t="s">
        <v>4408</v>
      </c>
      <c r="DI144" s="1029" t="s">
        <v>174</v>
      </c>
      <c r="DJ144" s="1173" t="s">
        <v>736</v>
      </c>
      <c r="DK144" s="1029" t="str">
        <f t="shared" si="25"/>
        <v>106072YF</v>
      </c>
      <c r="DL144" s="1031" t="s">
        <v>4416</v>
      </c>
      <c r="DM144" s="102" t="s">
        <v>922</v>
      </c>
      <c r="DN144" s="1032">
        <f t="shared" si="28"/>
        <v>0</v>
      </c>
      <c r="DO144" s="21"/>
      <c r="DP144" s="21"/>
      <c r="DQ144" s="468"/>
      <c r="DR144" s="468"/>
      <c r="DS144" s="468"/>
      <c r="DT144" s="468"/>
      <c r="DU144" s="468"/>
      <c r="DV144" s="30"/>
      <c r="DX144" s="115"/>
      <c r="DY144" s="115"/>
    </row>
    <row r="145" spans="1:129" ht="19.5" customHeight="1">
      <c r="A145" s="447"/>
      <c r="B145" s="249"/>
      <c r="C145" s="2616"/>
      <c r="D145" s="2617"/>
      <c r="E145" s="2617"/>
      <c r="F145" s="2617"/>
      <c r="G145" s="2617"/>
      <c r="H145" s="2617"/>
      <c r="I145" s="2618"/>
      <c r="J145" s="2594" t="s">
        <v>5039</v>
      </c>
      <c r="K145" s="3030"/>
      <c r="L145" s="3030"/>
      <c r="M145" s="3030"/>
      <c r="N145" s="3030"/>
      <c r="O145" s="3030"/>
      <c r="P145" s="3030"/>
      <c r="Q145" s="3030"/>
      <c r="R145" s="3030"/>
      <c r="S145" s="3030"/>
      <c r="T145" s="3030"/>
      <c r="U145" s="3030"/>
      <c r="V145" s="1943"/>
      <c r="W145" s="1944"/>
      <c r="X145" s="1944"/>
      <c r="Y145" s="1944"/>
      <c r="Z145" s="1202"/>
      <c r="AA145" s="3102">
        <f>IF(OR(AE145="",AE145=0),0,1)</f>
        <v>0</v>
      </c>
      <c r="AB145" s="3102"/>
      <c r="AC145" s="3102"/>
      <c r="AD145" s="1203"/>
      <c r="AE145" s="3035"/>
      <c r="AF145" s="3035"/>
      <c r="AG145" s="3035"/>
      <c r="AH145" s="3035"/>
      <c r="AI145" s="3035"/>
      <c r="AJ145" s="3036"/>
      <c r="AK145" s="3032"/>
      <c r="AL145" s="3033"/>
      <c r="AM145" s="3033"/>
      <c r="AN145" s="3033"/>
      <c r="AO145" s="3033"/>
      <c r="AP145" s="3033"/>
      <c r="AQ145" s="3033"/>
      <c r="AR145" s="3033"/>
      <c r="AS145" s="3033"/>
      <c r="AT145" s="3034"/>
      <c r="AU145" s="234"/>
      <c r="AV145" s="1178" t="s">
        <v>1956</v>
      </c>
      <c r="AW145" s="200" t="s">
        <v>4872</v>
      </c>
      <c r="BZ145" s="22"/>
      <c r="CA145" s="121"/>
      <c r="CB145" s="204"/>
      <c r="CC145" s="22"/>
      <c r="CD145" s="145"/>
      <c r="CE145" s="145"/>
      <c r="CF145" s="145"/>
      <c r="CG145" s="30"/>
      <c r="CH145" s="65" t="s">
        <v>296</v>
      </c>
      <c r="CI145" s="112"/>
      <c r="CJ145" s="112"/>
      <c r="CK145" s="112"/>
      <c r="CL145" s="112"/>
      <c r="CM145" s="112"/>
      <c r="CN145" s="112"/>
      <c r="CO145" s="113" t="s">
        <v>532</v>
      </c>
      <c r="CP145" s="114"/>
      <c r="CQ145" s="10"/>
      <c r="CR145" s="61"/>
      <c r="CS145" s="61"/>
      <c r="CT145" s="61"/>
      <c r="CU145" s="61"/>
      <c r="CV145" s="60"/>
      <c r="CW145" s="55"/>
      <c r="CX145" s="55"/>
      <c r="CY145" s="55"/>
      <c r="CZ145" s="44"/>
      <c r="DA145" s="56"/>
      <c r="DB145" s="42"/>
      <c r="DC145" s="44"/>
      <c r="DD145" s="43"/>
      <c r="DE145" s="90"/>
      <c r="DF145" s="90"/>
      <c r="DH145" s="1029" t="s">
        <v>5069</v>
      </c>
      <c r="DI145" s="1029" t="s">
        <v>5078</v>
      </c>
      <c r="DJ145" s="1173"/>
      <c r="DK145" s="1029" t="str">
        <f t="shared" si="25"/>
        <v>10624UR8</v>
      </c>
      <c r="DL145" s="1031" t="s">
        <v>3644</v>
      </c>
      <c r="DM145" s="1031" t="s">
        <v>5071</v>
      </c>
      <c r="DN145" s="1032" t="str">
        <f>IF(Y164="","00",ASC(Y164))</f>
        <v>00</v>
      </c>
      <c r="DO145" s="21"/>
      <c r="DP145" s="21"/>
      <c r="DQ145" s="468"/>
      <c r="DR145" s="468"/>
      <c r="DS145" s="468"/>
      <c r="DT145" s="468"/>
      <c r="DU145" s="468"/>
      <c r="DV145" s="30"/>
      <c r="DX145" s="115"/>
      <c r="DY145" s="115"/>
    </row>
    <row r="146" spans="1:129" ht="19.5" hidden="1" customHeight="1">
      <c r="A146" s="1048" t="s">
        <v>1234</v>
      </c>
      <c r="B146" s="249"/>
      <c r="C146" s="2616"/>
      <c r="D146" s="2617"/>
      <c r="E146" s="2617"/>
      <c r="F146" s="2617"/>
      <c r="G146" s="2617"/>
      <c r="H146" s="2617"/>
      <c r="I146" s="2618"/>
      <c r="J146" s="3099"/>
      <c r="K146" s="3100"/>
      <c r="L146" s="3100"/>
      <c r="M146" s="3100"/>
      <c r="N146" s="3100"/>
      <c r="O146" s="3100"/>
      <c r="P146" s="3100"/>
      <c r="Q146" s="3100"/>
      <c r="R146" s="3100"/>
      <c r="S146" s="3100"/>
      <c r="T146" s="3100"/>
      <c r="U146" s="3101"/>
      <c r="V146" s="3028"/>
      <c r="W146" s="2218"/>
      <c r="X146" s="2218"/>
      <c r="Y146" s="2218"/>
      <c r="Z146" s="1014"/>
      <c r="AA146" s="2595"/>
      <c r="AB146" s="2619"/>
      <c r="AC146" s="2619"/>
      <c r="AD146" s="1017"/>
      <c r="AE146" s="2659"/>
      <c r="AF146" s="2659"/>
      <c r="AG146" s="2659"/>
      <c r="AH146" s="2659"/>
      <c r="AI146" s="2659"/>
      <c r="AJ146" s="2660"/>
      <c r="AK146" s="2638"/>
      <c r="AL146" s="2639"/>
      <c r="AM146" s="2639"/>
      <c r="AN146" s="2639"/>
      <c r="AO146" s="2639"/>
      <c r="AP146" s="2639"/>
      <c r="AQ146" s="2639"/>
      <c r="AR146" s="2639"/>
      <c r="AS146" s="2639"/>
      <c r="AT146" s="2637"/>
      <c r="AU146" s="234"/>
      <c r="AV146" s="1178" t="s">
        <v>1956</v>
      </c>
      <c r="AW146" s="200" t="s">
        <v>4873</v>
      </c>
      <c r="BZ146" s="22"/>
      <c r="CA146" s="121"/>
      <c r="CB146" s="204"/>
      <c r="CC146" s="22"/>
      <c r="CD146" s="145"/>
      <c r="CE146" s="145"/>
      <c r="CF146" s="145"/>
      <c r="CG146" s="30"/>
      <c r="CH146" s="65" t="s">
        <v>144</v>
      </c>
      <c r="CI146" s="112"/>
      <c r="CJ146" s="112"/>
      <c r="CK146" s="112"/>
      <c r="CL146" s="112"/>
      <c r="CM146" s="112"/>
      <c r="CN146" s="112"/>
      <c r="CO146" s="113" t="s">
        <v>533</v>
      </c>
      <c r="CP146" s="114"/>
      <c r="CQ146" s="10"/>
      <c r="CR146" s="61"/>
      <c r="CS146" s="61"/>
      <c r="CT146" s="61"/>
      <c r="CU146" s="61"/>
      <c r="CV146" s="60"/>
      <c r="CW146" s="55"/>
      <c r="CX146" s="55"/>
      <c r="CY146" s="55"/>
      <c r="CZ146" s="44"/>
      <c r="DA146" s="56"/>
      <c r="DB146" s="42"/>
      <c r="DC146" s="44"/>
      <c r="DD146" s="43"/>
      <c r="DE146" s="90"/>
      <c r="DF146" s="90"/>
      <c r="DH146" s="1029" t="s">
        <v>5069</v>
      </c>
      <c r="DI146" s="1029" t="s">
        <v>5079</v>
      </c>
      <c r="DJ146" s="1173"/>
      <c r="DK146" s="1029" t="str">
        <f t="shared" si="25"/>
        <v>10624UR9</v>
      </c>
      <c r="DL146" s="1031" t="s">
        <v>3644</v>
      </c>
      <c r="DM146" s="1031" t="s">
        <v>5073</v>
      </c>
      <c r="DN146" s="1032" t="str">
        <f t="shared" ref="DN146" si="29">IF(Y165="","00",ASC(Y165))</f>
        <v>00</v>
      </c>
      <c r="DO146" s="21"/>
      <c r="DP146" s="21"/>
      <c r="DQ146" s="468"/>
      <c r="DR146" s="468"/>
      <c r="DS146" s="468"/>
      <c r="DT146" s="468"/>
      <c r="DU146" s="468"/>
      <c r="DV146" s="30"/>
      <c r="DX146" s="115"/>
      <c r="DY146" s="115"/>
    </row>
    <row r="147" spans="1:129" ht="19.5" customHeight="1" thickBot="1">
      <c r="A147" s="447"/>
      <c r="B147" s="249"/>
      <c r="C147" s="2616"/>
      <c r="D147" s="2617"/>
      <c r="E147" s="2617"/>
      <c r="F147" s="2617"/>
      <c r="G147" s="2617"/>
      <c r="H147" s="2617"/>
      <c r="I147" s="2618"/>
      <c r="J147" s="2745" t="s">
        <v>984</v>
      </c>
      <c r="K147" s="2746"/>
      <c r="L147" s="2746"/>
      <c r="M147" s="2746"/>
      <c r="N147" s="2746"/>
      <c r="O147" s="2746"/>
      <c r="P147" s="2746"/>
      <c r="Q147" s="2746"/>
      <c r="R147" s="2746"/>
      <c r="S147" s="2746"/>
      <c r="T147" s="2746"/>
      <c r="U147" s="2747"/>
      <c r="V147" s="2748"/>
      <c r="W147" s="2749"/>
      <c r="X147" s="2749"/>
      <c r="Y147" s="2749"/>
      <c r="Z147" s="3027"/>
      <c r="AA147" s="1013"/>
      <c r="AB147" s="500"/>
      <c r="AC147" s="500"/>
      <c r="AD147" s="313"/>
      <c r="AE147" s="2750">
        <f>SUM(AE126:AJ146)</f>
        <v>0</v>
      </c>
      <c r="AF147" s="2750"/>
      <c r="AG147" s="2750"/>
      <c r="AH147" s="2750"/>
      <c r="AI147" s="2750"/>
      <c r="AJ147" s="2751"/>
      <c r="AK147" s="2638"/>
      <c r="AL147" s="2639"/>
      <c r="AM147" s="2639"/>
      <c r="AN147" s="2639"/>
      <c r="AO147" s="2639"/>
      <c r="AP147" s="2639"/>
      <c r="AQ147" s="2639"/>
      <c r="AR147" s="2639"/>
      <c r="AS147" s="2639"/>
      <c r="AT147" s="2637"/>
      <c r="AU147" s="234"/>
      <c r="BY147" s="2"/>
      <c r="BZ147" s="22"/>
      <c r="CA147" s="121"/>
      <c r="CB147" s="204"/>
      <c r="CC147" s="22"/>
      <c r="CD147" s="145"/>
      <c r="CE147" s="145"/>
      <c r="CF147" s="145"/>
      <c r="CG147" s="30"/>
      <c r="CH147" s="65" t="s">
        <v>142</v>
      </c>
      <c r="CI147" s="112"/>
      <c r="CJ147" s="112"/>
      <c r="CK147" s="112"/>
      <c r="CL147" s="112"/>
      <c r="CM147" s="112"/>
      <c r="CN147" s="112"/>
      <c r="CO147" s="113" t="s">
        <v>534</v>
      </c>
      <c r="CP147" s="67" t="str">
        <f>T(K152)</f>
        <v/>
      </c>
      <c r="CQ147" s="10"/>
      <c r="CR147" s="61"/>
      <c r="CS147" s="61"/>
      <c r="CT147" s="61"/>
      <c r="CU147" s="61"/>
      <c r="CV147" s="60"/>
      <c r="CW147" s="55"/>
      <c r="CX147" s="55"/>
      <c r="CY147" s="56"/>
      <c r="CZ147" s="44"/>
      <c r="DA147" s="56"/>
      <c r="DC147" s="43"/>
      <c r="DD147" s="43"/>
      <c r="DE147" s="90"/>
      <c r="DF147" s="90"/>
      <c r="DH147" s="1029" t="s">
        <v>5069</v>
      </c>
      <c r="DI147" s="1029" t="s">
        <v>5080</v>
      </c>
      <c r="DJ147" s="1173"/>
      <c r="DK147" s="1029" t="str">
        <f t="shared" si="25"/>
        <v>10624URA</v>
      </c>
      <c r="DL147" s="1031" t="s">
        <v>3644</v>
      </c>
      <c r="DM147" s="1031" t="s">
        <v>5075</v>
      </c>
      <c r="DN147" s="1032" t="str">
        <f>IF(Y166="","0000000",ASC(Y166))</f>
        <v>0000000</v>
      </c>
      <c r="DO147" s="21"/>
      <c r="DP147" s="21"/>
      <c r="DQ147" s="468"/>
      <c r="DR147" s="468"/>
      <c r="DS147" s="468"/>
      <c r="DT147" s="468"/>
      <c r="DU147" s="468"/>
      <c r="DV147" s="30"/>
      <c r="DX147" s="115"/>
      <c r="DY147" s="115"/>
    </row>
    <row r="148" spans="1:129" ht="19.5" customHeight="1" thickTop="1" thickBot="1">
      <c r="A148" s="210"/>
      <c r="B148" s="249"/>
      <c r="C148" s="1140"/>
      <c r="D148" s="1141"/>
      <c r="E148" s="1141"/>
      <c r="F148" s="1141"/>
      <c r="G148" s="1141"/>
      <c r="H148" s="1141"/>
      <c r="I148" s="1142"/>
      <c r="J148" s="1141"/>
      <c r="K148" s="1141"/>
      <c r="L148" s="1143"/>
      <c r="M148" s="1143"/>
      <c r="N148" s="1143"/>
      <c r="O148" s="1144"/>
      <c r="P148" s="1144"/>
      <c r="Q148" s="1145"/>
      <c r="R148" s="1145"/>
      <c r="S148" s="1145"/>
      <c r="T148" s="1145"/>
      <c r="U148" s="1145"/>
      <c r="V148" s="3037" t="str">
        <f>IF(AV126="NG","申込まない項目についてもゼロをご入力ください","")</f>
        <v>申込まない項目についてもゼロをご入力ください</v>
      </c>
      <c r="W148" s="3037"/>
      <c r="X148" s="3037"/>
      <c r="Y148" s="3037"/>
      <c r="Z148" s="3037"/>
      <c r="AA148" s="3037"/>
      <c r="AB148" s="3037"/>
      <c r="AC148" s="3037"/>
      <c r="AD148" s="3037"/>
      <c r="AE148" s="3037"/>
      <c r="AF148" s="3037"/>
      <c r="AG148" s="3037"/>
      <c r="AH148" s="3037"/>
      <c r="AI148" s="3037"/>
      <c r="AJ148" s="3038"/>
      <c r="AK148" s="2752" t="s">
        <v>1055</v>
      </c>
      <c r="AL148" s="2753"/>
      <c r="AM148" s="2753"/>
      <c r="AN148" s="2753"/>
      <c r="AO148" s="2753"/>
      <c r="AP148" s="2754">
        <v>11013</v>
      </c>
      <c r="AQ148" s="2754"/>
      <c r="AR148" s="2754"/>
      <c r="AS148" s="1018"/>
      <c r="AT148" s="1019"/>
      <c r="AU148" s="234"/>
      <c r="AW148" s="201"/>
      <c r="BY148" s="2"/>
      <c r="BZ148" s="22"/>
      <c r="CA148" s="121"/>
      <c r="CB148" s="204"/>
      <c r="CC148" s="22"/>
      <c r="CD148" s="145"/>
      <c r="CE148" s="145"/>
      <c r="CF148" s="145"/>
      <c r="CG148" s="30"/>
      <c r="CH148" s="65" t="s">
        <v>140</v>
      </c>
      <c r="CI148" s="112"/>
      <c r="CJ148" s="112"/>
      <c r="CK148" s="112"/>
      <c r="CL148" s="112"/>
      <c r="CM148" s="112"/>
      <c r="CN148" s="112"/>
      <c r="CO148" s="113" t="s">
        <v>535</v>
      </c>
      <c r="CP148" s="114"/>
      <c r="CQ148" s="10"/>
      <c r="CR148" s="61"/>
      <c r="CS148" s="61"/>
      <c r="CT148" s="61"/>
      <c r="CU148" s="61"/>
      <c r="CV148" s="60"/>
      <c r="CW148" s="55"/>
      <c r="CX148" s="55"/>
      <c r="CY148" s="56"/>
      <c r="CZ148" s="44"/>
      <c r="DA148" s="56"/>
      <c r="DC148" s="43"/>
      <c r="DD148" s="43"/>
      <c r="DE148" s="90"/>
      <c r="DF148" s="90"/>
      <c r="DH148" s="1029" t="s">
        <v>5069</v>
      </c>
      <c r="DI148" s="1029" t="s">
        <v>5081</v>
      </c>
      <c r="DJ148" s="1173"/>
      <c r="DK148" s="1029" t="str">
        <f t="shared" si="25"/>
        <v>10624URB</v>
      </c>
      <c r="DL148" s="1031" t="s">
        <v>3644</v>
      </c>
      <c r="DM148" s="1031" t="s">
        <v>5077</v>
      </c>
      <c r="DN148" s="1032" t="str">
        <f>IF(Y167="","0000000",ASC(Y167))</f>
        <v>0000000</v>
      </c>
      <c r="DO148" s="21"/>
      <c r="DP148" s="24"/>
      <c r="DQ148" s="202"/>
      <c r="DR148" s="202"/>
      <c r="DS148" s="202"/>
      <c r="DT148" s="202"/>
      <c r="DU148" s="202"/>
      <c r="DV148" s="30"/>
      <c r="DW148" s="24"/>
      <c r="DX148" s="115"/>
      <c r="DY148" s="115"/>
    </row>
    <row r="149" spans="1:129" ht="19.5" customHeight="1">
      <c r="A149" s="210"/>
      <c r="B149" s="249"/>
      <c r="C149" s="2761" t="s">
        <v>858</v>
      </c>
      <c r="D149" s="2762"/>
      <c r="E149" s="2762"/>
      <c r="F149" s="2762"/>
      <c r="G149" s="2762"/>
      <c r="H149" s="2762"/>
      <c r="I149" s="2762"/>
      <c r="J149" s="2763"/>
      <c r="K149" s="2768"/>
      <c r="L149" s="2768"/>
      <c r="M149" s="2755" t="s">
        <v>1001</v>
      </c>
      <c r="N149" s="2652"/>
      <c r="O149" s="2652"/>
      <c r="P149" s="2652"/>
      <c r="Q149" s="2652"/>
      <c r="R149" s="2652"/>
      <c r="S149" s="2652"/>
      <c r="T149" s="2652"/>
      <c r="U149" s="2652"/>
      <c r="V149" s="2772"/>
      <c r="W149" s="2652"/>
      <c r="X149" s="2652"/>
      <c r="Y149" s="2777" t="s">
        <v>861</v>
      </c>
      <c r="Z149" s="2778"/>
      <c r="AA149" s="2778"/>
      <c r="AB149" s="2778"/>
      <c r="AC149" s="2778"/>
      <c r="AD149" s="2778"/>
      <c r="AE149" s="2778"/>
      <c r="AF149" s="2778"/>
      <c r="AG149" s="2778"/>
      <c r="AH149" s="2779"/>
      <c r="AI149" s="2652"/>
      <c r="AJ149" s="2652"/>
      <c r="AK149" s="2755" t="s">
        <v>3585</v>
      </c>
      <c r="AL149" s="2652"/>
      <c r="AM149" s="2652"/>
      <c r="AN149" s="2652"/>
      <c r="AO149" s="2652"/>
      <c r="AP149" s="2652"/>
      <c r="AQ149" s="2652"/>
      <c r="AR149" s="2652"/>
      <c r="AS149" s="2652"/>
      <c r="AT149" s="2756"/>
      <c r="AU149" s="234"/>
      <c r="BZ149" s="14"/>
      <c r="CA149" s="121"/>
      <c r="CB149" s="204"/>
      <c r="CC149" s="22"/>
      <c r="CD149" s="145"/>
      <c r="CE149" s="145"/>
      <c r="CF149" s="145"/>
      <c r="CG149" s="30"/>
      <c r="CH149" s="65" t="s">
        <v>138</v>
      </c>
      <c r="CI149" s="112"/>
      <c r="CJ149" s="112"/>
      <c r="CK149" s="112"/>
      <c r="CL149" s="112"/>
      <c r="CM149" s="112"/>
      <c r="CN149" s="112"/>
      <c r="CO149" s="113" t="s">
        <v>536</v>
      </c>
      <c r="CP149" s="114"/>
      <c r="CQ149" s="10"/>
      <c r="CR149" s="61"/>
      <c r="CS149" s="61"/>
      <c r="CT149" s="61"/>
      <c r="CU149" s="61"/>
      <c r="CV149" s="60"/>
      <c r="CW149" s="55"/>
      <c r="CX149" s="55"/>
      <c r="CY149" s="56"/>
      <c r="CZ149" s="44"/>
      <c r="DA149" s="56"/>
      <c r="DC149" s="43"/>
      <c r="DD149" s="43"/>
      <c r="DE149" s="90"/>
      <c r="DF149" s="90"/>
      <c r="DH149" s="1029" t="s">
        <v>4408</v>
      </c>
      <c r="DI149" s="1029" t="s">
        <v>5078</v>
      </c>
      <c r="DJ149" s="1173"/>
      <c r="DK149" s="1029" t="str">
        <f t="shared" si="25"/>
        <v>10607UR8</v>
      </c>
      <c r="DL149" s="1031" t="s">
        <v>971</v>
      </c>
      <c r="DM149" s="1031" t="s">
        <v>5070</v>
      </c>
      <c r="DN149" s="1032" t="str">
        <f>IF(AC164="","00",ASC(AC164))</f>
        <v>00</v>
      </c>
      <c r="DO149" s="21"/>
      <c r="DP149" s="24"/>
      <c r="DQ149" s="202"/>
      <c r="DR149" s="202"/>
      <c r="DS149" s="202"/>
      <c r="DT149" s="202"/>
      <c r="DU149" s="202"/>
      <c r="DV149" s="30"/>
      <c r="DW149" s="24"/>
      <c r="DX149" s="115"/>
      <c r="DY149" s="115"/>
    </row>
    <row r="150" spans="1:129" ht="19.5" customHeight="1">
      <c r="A150" s="210"/>
      <c r="B150" s="249"/>
      <c r="C150" s="2761"/>
      <c r="D150" s="2762"/>
      <c r="E150" s="2762"/>
      <c r="F150" s="2762"/>
      <c r="G150" s="2762"/>
      <c r="H150" s="2762"/>
      <c r="I150" s="2762"/>
      <c r="J150" s="2763"/>
      <c r="K150" s="2768"/>
      <c r="L150" s="2768"/>
      <c r="M150" s="2755"/>
      <c r="N150" s="2652"/>
      <c r="O150" s="2652"/>
      <c r="P150" s="2652"/>
      <c r="Q150" s="2652"/>
      <c r="R150" s="2652"/>
      <c r="S150" s="2652"/>
      <c r="T150" s="2652"/>
      <c r="U150" s="2652"/>
      <c r="V150" s="2772"/>
      <c r="W150" s="2652"/>
      <c r="X150" s="2652"/>
      <c r="Y150" s="2777"/>
      <c r="Z150" s="2778"/>
      <c r="AA150" s="2778"/>
      <c r="AB150" s="2778"/>
      <c r="AC150" s="2778"/>
      <c r="AD150" s="2778"/>
      <c r="AE150" s="2778"/>
      <c r="AF150" s="2778"/>
      <c r="AG150" s="2778"/>
      <c r="AH150" s="2779"/>
      <c r="AI150" s="2652"/>
      <c r="AJ150" s="2652"/>
      <c r="AK150" s="2755"/>
      <c r="AL150" s="2652"/>
      <c r="AM150" s="2652"/>
      <c r="AN150" s="2652"/>
      <c r="AO150" s="2652"/>
      <c r="AP150" s="2652"/>
      <c r="AQ150" s="2652"/>
      <c r="AR150" s="2652"/>
      <c r="AS150" s="2652"/>
      <c r="AT150" s="2756"/>
      <c r="AU150" s="234"/>
      <c r="AV150" s="199">
        <v>0</v>
      </c>
      <c r="BZ150" s="14"/>
      <c r="CA150" s="121"/>
      <c r="CB150" s="204"/>
      <c r="CC150" s="22"/>
      <c r="CD150" s="145"/>
      <c r="CE150" s="145"/>
      <c r="CF150" s="145"/>
      <c r="CG150" s="30"/>
      <c r="CH150" s="65" t="s">
        <v>135</v>
      </c>
      <c r="CI150" s="112"/>
      <c r="CJ150" s="112"/>
      <c r="CK150" s="112"/>
      <c r="CL150" s="112"/>
      <c r="CM150" s="112"/>
      <c r="CN150" s="112"/>
      <c r="CO150" s="113" t="s">
        <v>537</v>
      </c>
      <c r="CP150" s="67" t="str">
        <f>ASC(AK152)</f>
        <v/>
      </c>
      <c r="CQ150" s="10"/>
      <c r="CR150" s="61"/>
      <c r="CS150" s="61"/>
      <c r="CT150" s="61"/>
      <c r="CU150" s="61"/>
      <c r="CV150" s="60"/>
      <c r="CW150" s="55"/>
      <c r="CX150" s="55"/>
      <c r="CY150" s="56"/>
      <c r="CZ150" s="44"/>
      <c r="DA150" s="56"/>
      <c r="DC150" s="43"/>
      <c r="DD150" s="43"/>
      <c r="DE150" s="90"/>
      <c r="DF150" s="90"/>
      <c r="DH150" s="1029" t="s">
        <v>4408</v>
      </c>
      <c r="DI150" s="1029" t="s">
        <v>5079</v>
      </c>
      <c r="DJ150" s="1173"/>
      <c r="DK150" s="1029" t="str">
        <f t="shared" si="25"/>
        <v>10607UR9</v>
      </c>
      <c r="DL150" s="1031" t="s">
        <v>971</v>
      </c>
      <c r="DM150" s="1031" t="s">
        <v>5072</v>
      </c>
      <c r="DN150" s="1032" t="str">
        <f t="shared" ref="DN150" si="30">IF(AC165="","00",ASC(AC165))</f>
        <v>00</v>
      </c>
      <c r="DO150" s="21"/>
      <c r="DV150" s="30"/>
      <c r="DW150" s="24"/>
      <c r="DX150" s="115"/>
      <c r="DY150" s="115"/>
    </row>
    <row r="151" spans="1:129" ht="19.5" customHeight="1">
      <c r="A151" s="210"/>
      <c r="B151" s="249"/>
      <c r="C151" s="2764"/>
      <c r="D151" s="2765"/>
      <c r="E151" s="2765"/>
      <c r="F151" s="2765"/>
      <c r="G151" s="2765"/>
      <c r="H151" s="2765"/>
      <c r="I151" s="2765"/>
      <c r="J151" s="2766"/>
      <c r="K151" s="2769"/>
      <c r="L151" s="2769"/>
      <c r="M151" s="2757"/>
      <c r="N151" s="2653"/>
      <c r="O151" s="2653"/>
      <c r="P151" s="2653"/>
      <c r="Q151" s="2653"/>
      <c r="R151" s="2653"/>
      <c r="S151" s="2653"/>
      <c r="T151" s="2653"/>
      <c r="U151" s="2653"/>
      <c r="V151" s="2773"/>
      <c r="W151" s="2653"/>
      <c r="X151" s="2653"/>
      <c r="Y151" s="2780"/>
      <c r="Z151" s="2781"/>
      <c r="AA151" s="2781"/>
      <c r="AB151" s="2781"/>
      <c r="AC151" s="2781"/>
      <c r="AD151" s="2781"/>
      <c r="AE151" s="2781"/>
      <c r="AF151" s="2781"/>
      <c r="AG151" s="2781"/>
      <c r="AH151" s="2782"/>
      <c r="AI151" s="2653"/>
      <c r="AJ151" s="2653"/>
      <c r="AK151" s="2757"/>
      <c r="AL151" s="2653"/>
      <c r="AM151" s="2653"/>
      <c r="AN151" s="2653"/>
      <c r="AO151" s="2653"/>
      <c r="AP151" s="2653"/>
      <c r="AQ151" s="2653"/>
      <c r="AR151" s="2653"/>
      <c r="AS151" s="2653"/>
      <c r="AT151" s="2758"/>
      <c r="AU151" s="234"/>
      <c r="BZ151" s="14"/>
      <c r="CA151" s="121"/>
      <c r="CB151" s="204"/>
      <c r="CC151" s="22"/>
      <c r="CD151" s="145"/>
      <c r="CE151" s="145"/>
      <c r="CF151" s="145"/>
      <c r="CG151" s="30"/>
      <c r="CH151" s="65" t="s">
        <v>639</v>
      </c>
      <c r="CI151" s="112"/>
      <c r="CJ151" s="112"/>
      <c r="CK151" s="112"/>
      <c r="CL151" s="112"/>
      <c r="CM151" s="112"/>
      <c r="CN151" s="112"/>
      <c r="CO151" s="113" t="s">
        <v>538</v>
      </c>
      <c r="CP151" s="114"/>
      <c r="CQ151" s="10"/>
      <c r="CR151" s="61"/>
      <c r="CS151" s="61"/>
      <c r="CT151" s="61"/>
      <c r="CU151" s="61"/>
      <c r="CV151" s="60"/>
      <c r="CX151" s="55"/>
      <c r="CY151" s="56"/>
      <c r="CZ151" s="44"/>
      <c r="DA151" s="56"/>
      <c r="DC151" s="43"/>
      <c r="DD151" s="43"/>
      <c r="DE151" s="90"/>
      <c r="DF151" s="90"/>
      <c r="DH151" s="1029" t="s">
        <v>4408</v>
      </c>
      <c r="DI151" s="1029" t="s">
        <v>5080</v>
      </c>
      <c r="DJ151" s="1173"/>
      <c r="DK151" s="1029" t="str">
        <f t="shared" si="25"/>
        <v>10607URA</v>
      </c>
      <c r="DL151" s="1031" t="s">
        <v>971</v>
      </c>
      <c r="DM151" s="1031" t="s">
        <v>5074</v>
      </c>
      <c r="DN151" s="1032" t="str">
        <f>IF(AC166="","0000000",ASC(AC166))</f>
        <v>0000000</v>
      </c>
      <c r="DO151" s="24"/>
      <c r="DV151" s="30"/>
      <c r="DW151" s="24"/>
      <c r="DX151" s="115"/>
      <c r="DY151" s="115"/>
    </row>
    <row r="152" spans="1:129" ht="19.5" customHeight="1">
      <c r="A152" s="210"/>
      <c r="B152" s="249"/>
      <c r="C152" s="2663" t="s">
        <v>3580</v>
      </c>
      <c r="D152" s="2664"/>
      <c r="E152" s="2664"/>
      <c r="F152" s="2664"/>
      <c r="G152" s="2664"/>
      <c r="H152" s="2664"/>
      <c r="I152" s="2667" t="s">
        <v>3581</v>
      </c>
      <c r="J152" s="2668"/>
      <c r="K152" s="2671"/>
      <c r="L152" s="2671"/>
      <c r="M152" s="2671"/>
      <c r="N152" s="2671"/>
      <c r="O152" s="2671"/>
      <c r="P152" s="2671"/>
      <c r="Q152" s="2671"/>
      <c r="R152" s="2671"/>
      <c r="S152" s="2671"/>
      <c r="T152" s="2671"/>
      <c r="U152" s="2671"/>
      <c r="V152" s="2671"/>
      <c r="W152" s="2671"/>
      <c r="X152" s="2671"/>
      <c r="Y152" s="2673" t="s">
        <v>3582</v>
      </c>
      <c r="Z152" s="2674"/>
      <c r="AA152" s="899" t="s">
        <v>3583</v>
      </c>
      <c r="AB152" s="2677"/>
      <c r="AC152" s="2677"/>
      <c r="AD152" s="899" t="s">
        <v>991</v>
      </c>
      <c r="AE152" s="2677"/>
      <c r="AF152" s="2677"/>
      <c r="AG152" s="2678" t="s">
        <v>3584</v>
      </c>
      <c r="AH152" s="2679"/>
      <c r="AI152" s="2679"/>
      <c r="AJ152" s="2680"/>
      <c r="AK152" s="1415"/>
      <c r="AL152" s="1415"/>
      <c r="AM152" s="1415"/>
      <c r="AN152" s="1415"/>
      <c r="AO152" s="1415"/>
      <c r="AP152" s="1415"/>
      <c r="AQ152" s="1415"/>
      <c r="AR152" s="1415"/>
      <c r="AS152" s="1415"/>
      <c r="AT152" s="2681"/>
      <c r="AU152" s="234"/>
      <c r="AX152" s="201"/>
      <c r="BZ152" s="14"/>
      <c r="CA152" s="121"/>
      <c r="CB152" s="204"/>
      <c r="CC152" s="22"/>
      <c r="CD152" s="145"/>
      <c r="CE152" s="145"/>
      <c r="CF152" s="145"/>
      <c r="CG152" s="30"/>
      <c r="CH152" s="65" t="s">
        <v>131</v>
      </c>
      <c r="CI152" s="112"/>
      <c r="CJ152" s="112"/>
      <c r="CK152" s="112"/>
      <c r="CL152" s="112"/>
      <c r="CM152" s="112"/>
      <c r="CN152" s="112"/>
      <c r="CO152" s="113" t="s">
        <v>635</v>
      </c>
      <c r="CP152" s="114"/>
      <c r="CQ152" s="10"/>
      <c r="CR152" s="61"/>
      <c r="CS152" s="61"/>
      <c r="CT152" s="61"/>
      <c r="CU152" s="61"/>
      <c r="CV152" s="60"/>
      <c r="CX152" s="55"/>
      <c r="CY152" s="56"/>
      <c r="CZ152" s="44"/>
      <c r="DA152" s="56"/>
      <c r="DC152" s="43"/>
      <c r="DD152" s="43"/>
      <c r="DE152" s="90"/>
      <c r="DF152" s="90"/>
      <c r="DH152" s="1029" t="s">
        <v>4408</v>
      </c>
      <c r="DI152" s="1029" t="s">
        <v>5081</v>
      </c>
      <c r="DJ152" s="1173"/>
      <c r="DK152" s="1029" t="str">
        <f t="shared" si="25"/>
        <v>10607URB</v>
      </c>
      <c r="DL152" s="1031" t="s">
        <v>971</v>
      </c>
      <c r="DM152" s="1031" t="s">
        <v>5076</v>
      </c>
      <c r="DN152" s="1032" t="str">
        <f>IF(AC167="","0000000",ASC(AC167))</f>
        <v>0000000</v>
      </c>
      <c r="DO152" s="24"/>
      <c r="DP152" s="24"/>
      <c r="DQ152" s="202"/>
      <c r="DR152" s="202"/>
      <c r="DS152" s="202"/>
      <c r="DT152" s="202"/>
      <c r="DU152" s="202"/>
      <c r="DV152" s="30"/>
      <c r="DW152" s="24"/>
      <c r="DX152" s="115"/>
      <c r="DY152" s="115"/>
    </row>
    <row r="153" spans="1:129" ht="19.5" customHeight="1" thickBot="1">
      <c r="A153" s="210"/>
      <c r="B153" s="249"/>
      <c r="C153" s="3048"/>
      <c r="D153" s="3049"/>
      <c r="E153" s="3049"/>
      <c r="F153" s="3049"/>
      <c r="G153" s="3049"/>
      <c r="H153" s="3049"/>
      <c r="I153" s="3086"/>
      <c r="J153" s="3087"/>
      <c r="K153" s="3039"/>
      <c r="L153" s="3039"/>
      <c r="M153" s="3039"/>
      <c r="N153" s="3039"/>
      <c r="O153" s="3039"/>
      <c r="P153" s="3039"/>
      <c r="Q153" s="3039"/>
      <c r="R153" s="3039"/>
      <c r="S153" s="3039"/>
      <c r="T153" s="3039"/>
      <c r="U153" s="3039"/>
      <c r="V153" s="3039"/>
      <c r="W153" s="3039"/>
      <c r="X153" s="3039"/>
      <c r="Y153" s="3040"/>
      <c r="Z153" s="3041"/>
      <c r="AA153" s="3088"/>
      <c r="AB153" s="3088"/>
      <c r="AC153" s="3088"/>
      <c r="AD153" s="3088"/>
      <c r="AE153" s="3088"/>
      <c r="AF153" s="3088"/>
      <c r="AG153" s="3088"/>
      <c r="AH153" s="3088"/>
      <c r="AI153" s="3088"/>
      <c r="AJ153" s="3088"/>
      <c r="AK153" s="3088"/>
      <c r="AL153" s="3088"/>
      <c r="AM153" s="3088"/>
      <c r="AN153" s="3088"/>
      <c r="AO153" s="3088"/>
      <c r="AP153" s="3088"/>
      <c r="AQ153" s="3088"/>
      <c r="AR153" s="3088"/>
      <c r="AS153" s="3088"/>
      <c r="AT153" s="3089"/>
      <c r="AU153" s="234"/>
      <c r="AV153" s="651" t="str">
        <f>IF(AND(AV154&lt;&gt;0,AW154="OK",AV158&lt;&gt;0,AV159&lt;&gt;0,AW159="OK",AV160&lt;&gt;0,AV161&lt;&gt;0,AW161&lt;&gt;0),"OK","NG")</f>
        <v>OK</v>
      </c>
      <c r="AW153" s="618" t="s">
        <v>2077</v>
      </c>
      <c r="AX153" s="201"/>
      <c r="BU153" s="24"/>
      <c r="BV153" s="24"/>
      <c r="BW153" s="24"/>
      <c r="BX153" s="24"/>
      <c r="BY153" s="24"/>
      <c r="BZ153" s="14"/>
      <c r="CA153" s="121"/>
      <c r="CB153" s="204"/>
      <c r="CC153" s="22"/>
      <c r="CD153" s="145"/>
      <c r="CE153" s="145"/>
      <c r="CF153" s="145"/>
      <c r="CG153" s="30"/>
      <c r="CH153" s="65" t="s">
        <v>128</v>
      </c>
      <c r="CI153" s="112"/>
      <c r="CJ153" s="112"/>
      <c r="CK153" s="112"/>
      <c r="CL153" s="112"/>
      <c r="CM153" s="112"/>
      <c r="CN153" s="112"/>
      <c r="CO153" s="113" t="s">
        <v>539</v>
      </c>
      <c r="CP153" s="67" t="str">
        <f>IF(AB152="","",ASC(AB152&amp;"-"&amp;AE152))</f>
        <v/>
      </c>
      <c r="CQ153" s="10"/>
      <c r="CR153" s="61"/>
      <c r="CS153" s="61"/>
      <c r="CT153" s="61"/>
      <c r="CU153" s="61"/>
      <c r="CV153" s="60"/>
      <c r="CY153" s="56"/>
      <c r="DC153" s="43"/>
      <c r="DE153" s="90"/>
      <c r="DF153" s="90"/>
      <c r="DH153" s="1029" t="s">
        <v>3772</v>
      </c>
      <c r="DI153" s="1029" t="s">
        <v>5487</v>
      </c>
      <c r="DJ153" s="1173"/>
      <c r="DK153" s="1029" t="str">
        <f t="shared" si="25"/>
        <v>94401Q87</v>
      </c>
      <c r="DL153" s="1031" t="s">
        <v>3804</v>
      </c>
      <c r="DM153" s="1031" t="s">
        <v>5492</v>
      </c>
      <c r="DN153" s="1032" t="str">
        <f>T(記入シート1!AB67)</f>
        <v/>
      </c>
      <c r="DP153" s="21"/>
      <c r="DQ153" s="468"/>
      <c r="DR153" s="468"/>
      <c r="DS153" s="468"/>
      <c r="DT153" s="468"/>
      <c r="DU153" s="468"/>
      <c r="DV153" s="39"/>
      <c r="DX153" s="115"/>
      <c r="DY153" s="115"/>
    </row>
    <row r="154" spans="1:129" ht="19.5" customHeight="1">
      <c r="A154" s="1048"/>
      <c r="B154" s="249"/>
      <c r="C154" s="1923" t="s">
        <v>4350</v>
      </c>
      <c r="D154" s="1924"/>
      <c r="E154" s="1924"/>
      <c r="F154" s="1924"/>
      <c r="G154" s="1924"/>
      <c r="H154" s="1924"/>
      <c r="I154" s="1924"/>
      <c r="J154" s="1925"/>
      <c r="K154" s="2649" t="s">
        <v>4351</v>
      </c>
      <c r="L154" s="2649"/>
      <c r="M154" s="2649"/>
      <c r="N154" s="2649"/>
      <c r="O154" s="2649"/>
      <c r="P154" s="2650"/>
      <c r="Q154" s="1132"/>
      <c r="R154" s="1132"/>
      <c r="S154" s="1881" t="s">
        <v>4359</v>
      </c>
      <c r="T154" s="1881"/>
      <c r="U154" s="1881"/>
      <c r="V154" s="1881"/>
      <c r="W154" s="1132"/>
      <c r="X154" s="1132"/>
      <c r="Y154" s="1881" t="s">
        <v>4360</v>
      </c>
      <c r="Z154" s="1881"/>
      <c r="AA154" s="1881"/>
      <c r="AB154" s="1881"/>
      <c r="AC154" s="1131"/>
      <c r="AD154" s="1132"/>
      <c r="AE154" s="1132"/>
      <c r="AF154" s="1132"/>
      <c r="AG154" s="1132"/>
      <c r="AH154" s="1132"/>
      <c r="AI154" s="1132"/>
      <c r="AJ154" s="1132"/>
      <c r="AK154" s="1132"/>
      <c r="AL154" s="1132"/>
      <c r="AM154" s="1132"/>
      <c r="AN154" s="1132"/>
      <c r="AO154" s="1132"/>
      <c r="AP154" s="1132"/>
      <c r="AQ154" s="1132"/>
      <c r="AR154" s="1132"/>
      <c r="AS154" s="1132"/>
      <c r="AT154" s="1135"/>
      <c r="AU154" s="234"/>
      <c r="AV154" s="199">
        <v>1</v>
      </c>
      <c r="AW154" s="19" t="str">
        <f>IF(AV154=2,IF(AND(Q155&lt;&gt;"",AV156&lt;&gt;0,AW156&lt;&gt;0,AV157&lt;&gt;0),"OK","NG"),"OK")</f>
        <v>OK</v>
      </c>
      <c r="AX154" s="201"/>
      <c r="BU154" s="24"/>
      <c r="BV154" s="24"/>
      <c r="BW154" s="24"/>
      <c r="BX154" s="24"/>
      <c r="BY154" s="24"/>
      <c r="BZ154" s="14"/>
      <c r="CA154" s="121"/>
      <c r="CB154" s="204"/>
      <c r="CC154" s="22"/>
      <c r="CD154" s="145"/>
      <c r="CE154" s="145"/>
      <c r="CF154" s="145"/>
      <c r="CG154" s="30"/>
      <c r="CH154" s="65" t="s">
        <v>125</v>
      </c>
      <c r="CI154" s="112"/>
      <c r="CJ154" s="112"/>
      <c r="CK154" s="112"/>
      <c r="CL154" s="112"/>
      <c r="CM154" s="112"/>
      <c r="CN154" s="112"/>
      <c r="CO154" s="113" t="s">
        <v>540</v>
      </c>
      <c r="CP154" s="67" t="str">
        <f>SUBSTITUTE(SUBSTITUTE(SUBSTITUTE(SUBSTITUTE(T(AA153),"　","")," ",""),"―","ー"),"－","‐")</f>
        <v/>
      </c>
      <c r="CQ154" s="10"/>
      <c r="CR154" s="61"/>
      <c r="CS154" s="61"/>
      <c r="CT154" s="61"/>
      <c r="CU154" s="61"/>
      <c r="CV154" s="60"/>
      <c r="CY154" s="56"/>
      <c r="DC154" s="43"/>
      <c r="DE154" s="90"/>
      <c r="DF154" s="90"/>
      <c r="DH154" s="1029" t="s">
        <v>3772</v>
      </c>
      <c r="DI154" s="1029" t="s">
        <v>5488</v>
      </c>
      <c r="DJ154" s="1173" t="s">
        <v>5489</v>
      </c>
      <c r="DK154" s="1029" t="str">
        <f t="shared" si="25"/>
        <v>94401Q88</v>
      </c>
      <c r="DL154" s="1031" t="s">
        <v>3804</v>
      </c>
      <c r="DM154" s="1031" t="s">
        <v>5493</v>
      </c>
      <c r="DN154" s="1032" t="str">
        <f>ASC(AZ79)</f>
        <v>2</v>
      </c>
      <c r="DP154" s="21"/>
      <c r="DQ154" s="468"/>
      <c r="DR154" s="468"/>
      <c r="DS154" s="468"/>
      <c r="DT154" s="468"/>
      <c r="DU154" s="468"/>
      <c r="DV154" s="39"/>
      <c r="DX154" s="115"/>
      <c r="DY154" s="115"/>
    </row>
    <row r="155" spans="1:129" ht="19.5" customHeight="1">
      <c r="A155" s="447"/>
      <c r="B155" s="249"/>
      <c r="C155" s="2661"/>
      <c r="D155" s="2488"/>
      <c r="E155" s="2488"/>
      <c r="F155" s="2488"/>
      <c r="G155" s="2488"/>
      <c r="H155" s="2488"/>
      <c r="I155" s="2488"/>
      <c r="J155" s="2662"/>
      <c r="K155" s="2684" t="s">
        <v>4352</v>
      </c>
      <c r="L155" s="2684"/>
      <c r="M155" s="2684"/>
      <c r="N155" s="2684"/>
      <c r="O155" s="2684"/>
      <c r="P155" s="2685"/>
      <c r="Q155" s="2686"/>
      <c r="R155" s="2687"/>
      <c r="S155" s="2687"/>
      <c r="T155" s="2687"/>
      <c r="U155" s="2687"/>
      <c r="V155" s="2687"/>
      <c r="W155" s="2687"/>
      <c r="X155" s="2687"/>
      <c r="Y155" s="2687"/>
      <c r="Z155" s="2687"/>
      <c r="AA155" s="2687"/>
      <c r="AB155" s="2687"/>
      <c r="AC155" s="2687"/>
      <c r="AD155" s="2687"/>
      <c r="AE155" s="2687"/>
      <c r="AF155" s="2687"/>
      <c r="AG155" s="2687"/>
      <c r="AH155" s="2687"/>
      <c r="AI155" s="1133"/>
      <c r="AJ155" s="1137"/>
      <c r="AK155" s="1137"/>
      <c r="AL155" s="1137"/>
      <c r="AM155" s="1137"/>
      <c r="AN155" s="1137"/>
      <c r="AO155" s="1137"/>
      <c r="AP155" s="1137"/>
      <c r="AQ155" s="1137"/>
      <c r="AR155" s="1137"/>
      <c r="AS155" s="1137"/>
      <c r="AT155" s="1138"/>
      <c r="AU155" s="234"/>
      <c r="AW155" s="19"/>
      <c r="AX155" s="201"/>
      <c r="BU155" s="24"/>
      <c r="BV155" s="24"/>
      <c r="BW155" s="24"/>
      <c r="BX155" s="24"/>
      <c r="BY155" s="24"/>
      <c r="BZ155" s="14"/>
      <c r="CA155" s="121"/>
      <c r="CB155" s="204"/>
      <c r="CC155" s="22"/>
      <c r="CD155" s="145"/>
      <c r="CE155" s="145"/>
      <c r="CF155" s="145"/>
      <c r="CG155" s="30"/>
      <c r="CH155" s="65" t="s">
        <v>124</v>
      </c>
      <c r="CI155" s="112"/>
      <c r="CJ155" s="112"/>
      <c r="CK155" s="112"/>
      <c r="CL155" s="112"/>
      <c r="CM155" s="112"/>
      <c r="CN155" s="112"/>
      <c r="CO155" s="113" t="s">
        <v>541</v>
      </c>
      <c r="CP155" s="114"/>
      <c r="CQ155" s="10"/>
      <c r="CR155" s="61"/>
      <c r="CS155" s="61"/>
      <c r="CT155" s="61"/>
      <c r="CU155" s="61"/>
      <c r="CV155" s="60"/>
      <c r="DE155" s="90"/>
      <c r="DF155" s="90"/>
      <c r="DH155" s="1029" t="s">
        <v>3772</v>
      </c>
      <c r="DI155" s="1029" t="s">
        <v>4862</v>
      </c>
      <c r="DJ155" s="1173"/>
      <c r="DK155" s="1029" t="str">
        <f t="shared" si="25"/>
        <v>94401Q89</v>
      </c>
      <c r="DL155" s="1031" t="s">
        <v>3804</v>
      </c>
      <c r="DM155" s="1031" t="s">
        <v>5494</v>
      </c>
      <c r="DN155" s="1032" t="str">
        <f>IF(OR(AX79="0000",AX79=""),"",ASC(AX79))</f>
        <v>1917</v>
      </c>
      <c r="DO155" s="24"/>
      <c r="DP155" s="21"/>
      <c r="DQ155" s="468"/>
      <c r="DR155" s="468"/>
      <c r="DS155" s="468"/>
      <c r="DT155" s="468"/>
      <c r="DU155" s="468"/>
      <c r="DV155" s="39"/>
      <c r="DX155" s="115"/>
      <c r="DY155" s="115"/>
    </row>
    <row r="156" spans="1:129" ht="19.5" customHeight="1">
      <c r="A156" s="447"/>
      <c r="B156" s="249"/>
      <c r="C156" s="2661"/>
      <c r="D156" s="2488"/>
      <c r="E156" s="2488"/>
      <c r="F156" s="2488"/>
      <c r="G156" s="2488"/>
      <c r="H156" s="2488"/>
      <c r="I156" s="2488"/>
      <c r="J156" s="2662"/>
      <c r="K156" s="2684" t="s">
        <v>4353</v>
      </c>
      <c r="L156" s="2684"/>
      <c r="M156" s="2684"/>
      <c r="N156" s="2684"/>
      <c r="O156" s="2684"/>
      <c r="P156" s="2685"/>
      <c r="Q156" s="1134"/>
      <c r="R156" s="1134"/>
      <c r="S156" s="2698" t="s">
        <v>4363</v>
      </c>
      <c r="T156" s="2698"/>
      <c r="U156" s="2698"/>
      <c r="V156" s="2698"/>
      <c r="W156" s="1134"/>
      <c r="X156" s="1134"/>
      <c r="Y156" s="2698" t="s">
        <v>4364</v>
      </c>
      <c r="Z156" s="2698"/>
      <c r="AA156" s="2698"/>
      <c r="AB156" s="2699"/>
      <c r="AC156" s="2734" t="s">
        <v>4354</v>
      </c>
      <c r="AD156" s="2698"/>
      <c r="AE156" s="2698"/>
      <c r="AF156" s="2698"/>
      <c r="AG156" s="2698"/>
      <c r="AH156" s="2735"/>
      <c r="AI156" s="1134"/>
      <c r="AJ156" s="1134"/>
      <c r="AK156" s="2698" t="s">
        <v>4372</v>
      </c>
      <c r="AL156" s="2698"/>
      <c r="AM156" s="2698"/>
      <c r="AN156" s="2698"/>
      <c r="AO156" s="1134"/>
      <c r="AP156" s="1134"/>
      <c r="AQ156" s="2698" t="s">
        <v>4371</v>
      </c>
      <c r="AR156" s="2698"/>
      <c r="AS156" s="2698"/>
      <c r="AT156" s="2783"/>
      <c r="AU156" s="234"/>
      <c r="AV156" s="199">
        <v>0</v>
      </c>
      <c r="AW156" s="199">
        <v>0</v>
      </c>
      <c r="AX156" s="201"/>
      <c r="BU156" s="24"/>
      <c r="BV156" s="24"/>
      <c r="BW156" s="24"/>
      <c r="BX156" s="24"/>
      <c r="BY156" s="24"/>
      <c r="BZ156" s="14"/>
      <c r="CA156" s="121"/>
      <c r="CB156" s="204"/>
      <c r="CC156" s="22"/>
      <c r="CD156" s="145"/>
      <c r="CE156" s="145"/>
      <c r="CF156" s="145"/>
      <c r="CG156" s="30"/>
      <c r="CH156" s="65" t="s">
        <v>119</v>
      </c>
      <c r="CI156" s="112"/>
      <c r="CJ156" s="112"/>
      <c r="CK156" s="112"/>
      <c r="CL156" s="112"/>
      <c r="CM156" s="112"/>
      <c r="CN156" s="112"/>
      <c r="CO156" s="113" t="s">
        <v>542</v>
      </c>
      <c r="CP156" s="114"/>
      <c r="CQ156" s="10"/>
      <c r="CR156" s="61"/>
      <c r="CS156" s="61"/>
      <c r="CT156" s="61"/>
      <c r="CU156" s="61"/>
      <c r="CV156" s="60"/>
      <c r="DE156" s="90"/>
      <c r="DF156" s="90"/>
      <c r="DH156" s="1029" t="s">
        <v>3772</v>
      </c>
      <c r="DI156" s="1029" t="s">
        <v>5490</v>
      </c>
      <c r="DJ156" s="1173" t="s">
        <v>3394</v>
      </c>
      <c r="DK156" s="1029" t="str">
        <f t="shared" si="25"/>
        <v>94401Q8A</v>
      </c>
      <c r="DL156" s="1031" t="s">
        <v>3804</v>
      </c>
      <c r="DM156" s="1031" t="s">
        <v>5495</v>
      </c>
      <c r="DN156" s="1032" t="str">
        <f>IF(BA79=1,"1","0")</f>
        <v>0</v>
      </c>
      <c r="DO156" s="21"/>
      <c r="DP156" s="21"/>
      <c r="DQ156" s="468"/>
      <c r="DR156" s="468"/>
      <c r="DS156" s="468"/>
      <c r="DT156" s="468"/>
      <c r="DU156" s="468"/>
      <c r="DV156" s="31"/>
      <c r="DX156" s="115"/>
      <c r="DY156" s="115"/>
    </row>
    <row r="157" spans="1:129" ht="19.5" customHeight="1">
      <c r="A157" s="447"/>
      <c r="B157" s="249"/>
      <c r="C157" s="2661"/>
      <c r="D157" s="2488"/>
      <c r="E157" s="2488"/>
      <c r="F157" s="2488"/>
      <c r="G157" s="2488"/>
      <c r="H157" s="2488"/>
      <c r="I157" s="2488"/>
      <c r="J157" s="2662"/>
      <c r="K157" s="2684" t="s">
        <v>4355</v>
      </c>
      <c r="L157" s="2684"/>
      <c r="M157" s="2684"/>
      <c r="N157" s="2684"/>
      <c r="O157" s="2684"/>
      <c r="P157" s="2685"/>
      <c r="Q157" s="1134"/>
      <c r="R157" s="1134"/>
      <c r="S157" s="2698" t="s">
        <v>4361</v>
      </c>
      <c r="T157" s="2698"/>
      <c r="U157" s="2698"/>
      <c r="V157" s="2698"/>
      <c r="W157" s="1134"/>
      <c r="X157" s="1134"/>
      <c r="Y157" s="2698" t="s">
        <v>4362</v>
      </c>
      <c r="Z157" s="2698"/>
      <c r="AA157" s="2698"/>
      <c r="AB157" s="2699"/>
      <c r="AC157" s="1133"/>
      <c r="AD157" s="1134"/>
      <c r="AE157" s="1134"/>
      <c r="AF157" s="1134"/>
      <c r="AG157" s="1134"/>
      <c r="AH157" s="1134"/>
      <c r="AI157" s="1134"/>
      <c r="AJ157" s="1134"/>
      <c r="AK157" s="1134"/>
      <c r="AL157" s="1134"/>
      <c r="AM157" s="1134"/>
      <c r="AN157" s="1134"/>
      <c r="AO157" s="1134"/>
      <c r="AP157" s="1134"/>
      <c r="AQ157" s="1134"/>
      <c r="AR157" s="1134"/>
      <c r="AS157" s="1134"/>
      <c r="AT157" s="1136"/>
      <c r="AU157" s="234"/>
      <c r="AV157" s="199">
        <v>0</v>
      </c>
      <c r="AW157" s="19"/>
      <c r="AX157" s="201"/>
      <c r="BU157" s="24"/>
      <c r="BV157" s="24"/>
      <c r="BW157" s="24"/>
      <c r="BX157" s="24"/>
      <c r="BY157" s="24"/>
      <c r="BZ157" s="14"/>
      <c r="CA157" s="121"/>
      <c r="CB157" s="204"/>
      <c r="CC157" s="22"/>
      <c r="CD157" s="145"/>
      <c r="CE157" s="145"/>
      <c r="CF157" s="145"/>
      <c r="CG157" s="39"/>
      <c r="CH157" s="65" t="s">
        <v>118</v>
      </c>
      <c r="CI157" s="112"/>
      <c r="CJ157" s="112"/>
      <c r="CK157" s="112"/>
      <c r="CL157" s="112"/>
      <c r="CM157" s="112"/>
      <c r="CN157" s="112"/>
      <c r="CO157" s="113" t="s">
        <v>543</v>
      </c>
      <c r="CP157" s="114"/>
      <c r="CQ157" s="10"/>
      <c r="CR157" s="61"/>
      <c r="CS157" s="61"/>
      <c r="CT157" s="61"/>
      <c r="CU157" s="61"/>
      <c r="CV157" s="60"/>
      <c r="DE157" s="90"/>
      <c r="DF157" s="90"/>
      <c r="DH157" s="1029" t="s">
        <v>3772</v>
      </c>
      <c r="DI157" s="1029" t="s">
        <v>4409</v>
      </c>
      <c r="DJ157" s="1173" t="s">
        <v>5491</v>
      </c>
      <c r="DK157" s="1029" t="str">
        <f t="shared" si="25"/>
        <v>94401Q8B</v>
      </c>
      <c r="DL157" s="1031" t="s">
        <v>3804</v>
      </c>
      <c r="DM157" s="1031" t="s">
        <v>5496</v>
      </c>
      <c r="DN157" s="1032" t="str">
        <f>IF(AS78="直接","4","1")</f>
        <v>1</v>
      </c>
      <c r="DO157" s="21"/>
      <c r="DP157" s="21"/>
      <c r="DQ157" s="468"/>
      <c r="DR157" s="468"/>
      <c r="DS157" s="468"/>
      <c r="DT157" s="468"/>
      <c r="DU157" s="468"/>
      <c r="DV157" s="31"/>
      <c r="DX157" s="115"/>
      <c r="DY157" s="115"/>
    </row>
    <row r="158" spans="1:129" ht="19.5" customHeight="1" thickBot="1">
      <c r="A158" s="447"/>
      <c r="B158" s="249"/>
      <c r="C158" s="2661"/>
      <c r="D158" s="2488"/>
      <c r="E158" s="2488"/>
      <c r="F158" s="2488"/>
      <c r="G158" s="2488"/>
      <c r="H158" s="2488"/>
      <c r="I158" s="2488"/>
      <c r="J158" s="2662"/>
      <c r="K158" s="2700" t="s">
        <v>4356</v>
      </c>
      <c r="L158" s="2700"/>
      <c r="M158" s="2700"/>
      <c r="N158" s="2700"/>
      <c r="O158" s="2700"/>
      <c r="P158" s="2701"/>
      <c r="Q158" s="1137"/>
      <c r="R158" s="1137"/>
      <c r="S158" s="2702" t="s">
        <v>4365</v>
      </c>
      <c r="T158" s="2702"/>
      <c r="U158" s="2702"/>
      <c r="V158" s="1137"/>
      <c r="W158" s="1137"/>
      <c r="X158" s="2702" t="s">
        <v>4367</v>
      </c>
      <c r="Y158" s="2702"/>
      <c r="Z158" s="2702"/>
      <c r="AA158" s="1137"/>
      <c r="AB158" s="1137"/>
      <c r="AC158" s="2702" t="s">
        <v>4366</v>
      </c>
      <c r="AD158" s="2702"/>
      <c r="AE158" s="2744"/>
      <c r="AF158" s="1350"/>
      <c r="AG158" s="1137"/>
      <c r="AH158" s="1137"/>
      <c r="AI158" s="1137"/>
      <c r="AJ158" s="1137"/>
      <c r="AK158" s="1137"/>
      <c r="AL158" s="1137"/>
      <c r="AM158" s="1137"/>
      <c r="AN158" s="1137"/>
      <c r="AO158" s="1137"/>
      <c r="AP158" s="1137"/>
      <c r="AQ158" s="1137"/>
      <c r="AR158" s="1137"/>
      <c r="AS158" s="1137"/>
      <c r="AT158" s="1138"/>
      <c r="AU158" s="234"/>
      <c r="AV158" s="199">
        <v>2</v>
      </c>
      <c r="AW158" s="19"/>
      <c r="AX158" s="201"/>
      <c r="BU158" s="24"/>
      <c r="BV158" s="24"/>
      <c r="BW158" s="24"/>
      <c r="BX158" s="24"/>
      <c r="BY158" s="24"/>
      <c r="BZ158" s="14"/>
      <c r="CA158" s="121"/>
      <c r="CB158" s="204"/>
      <c r="CC158" s="22"/>
      <c r="CD158" s="145"/>
      <c r="CE158" s="145"/>
      <c r="CF158" s="145"/>
      <c r="CG158" s="39"/>
      <c r="CH158" s="65" t="s">
        <v>109</v>
      </c>
      <c r="CI158" s="112"/>
      <c r="CJ158" s="112"/>
      <c r="CK158" s="112"/>
      <c r="CL158" s="112"/>
      <c r="CM158" s="112"/>
      <c r="CN158" s="112"/>
      <c r="CO158" s="113" t="s">
        <v>545</v>
      </c>
      <c r="CP158" s="114"/>
      <c r="CQ158" s="10"/>
      <c r="CR158" s="61"/>
      <c r="CS158" s="61"/>
      <c r="CT158" s="61"/>
      <c r="CU158" s="61"/>
      <c r="CV158" s="60"/>
      <c r="DE158" s="90"/>
      <c r="DF158" s="90"/>
      <c r="DH158" s="1029" t="s">
        <v>2152</v>
      </c>
      <c r="DI158" s="1029" t="s">
        <v>5498</v>
      </c>
      <c r="DJ158" s="1173"/>
      <c r="DK158" s="1029" t="str">
        <f t="shared" si="25"/>
        <v>93601Q04</v>
      </c>
      <c r="DL158" s="1031" t="s">
        <v>2186</v>
      </c>
      <c r="DM158" s="1031" t="s">
        <v>5497</v>
      </c>
      <c r="DN158" s="1032" t="str">
        <f>IF(AV83=2,"1:利用する","0:利用しない")</f>
        <v>0:利用しない</v>
      </c>
      <c r="DO158" s="21"/>
      <c r="DP158" s="21"/>
      <c r="DQ158" s="468"/>
      <c r="DR158" s="468"/>
      <c r="DS158" s="468"/>
      <c r="DT158" s="468"/>
      <c r="DU158" s="468"/>
      <c r="DV158" s="31"/>
      <c r="DX158" s="115"/>
      <c r="DY158" s="115"/>
    </row>
    <row r="159" spans="1:129" ht="19.5" customHeight="1" thickTop="1" thickBot="1">
      <c r="A159" s="1048"/>
      <c r="B159" s="249"/>
      <c r="C159" s="1346"/>
      <c r="D159" s="1347"/>
      <c r="E159" s="1347"/>
      <c r="F159" s="1347"/>
      <c r="G159" s="1860" t="s">
        <v>5648</v>
      </c>
      <c r="H159" s="1861"/>
      <c r="I159" s="1861"/>
      <c r="J159" s="1862"/>
      <c r="K159" s="2740" t="s">
        <v>4376</v>
      </c>
      <c r="L159" s="2741"/>
      <c r="M159" s="2741"/>
      <c r="N159" s="2741"/>
      <c r="O159" s="2741"/>
      <c r="P159" s="2742"/>
      <c r="Q159" s="1352"/>
      <c r="R159" s="1352"/>
      <c r="S159" s="2738" t="s">
        <v>4377</v>
      </c>
      <c r="T159" s="2738"/>
      <c r="U159" s="2738"/>
      <c r="V159" s="2738"/>
      <c r="W159" s="1353"/>
      <c r="X159" s="1353"/>
      <c r="Y159" s="2738" t="s">
        <v>4378</v>
      </c>
      <c r="Z159" s="2738"/>
      <c r="AA159" s="2738"/>
      <c r="AB159" s="2739"/>
      <c r="AC159" s="2740" t="s">
        <v>4357</v>
      </c>
      <c r="AD159" s="2741"/>
      <c r="AE159" s="2741"/>
      <c r="AF159" s="2741"/>
      <c r="AG159" s="2741"/>
      <c r="AH159" s="2741"/>
      <c r="AI159" s="2741"/>
      <c r="AJ159" s="2742"/>
      <c r="AK159" s="2688"/>
      <c r="AL159" s="2688"/>
      <c r="AM159" s="2688"/>
      <c r="AN159" s="2688"/>
      <c r="AO159" s="2688"/>
      <c r="AP159" s="2688"/>
      <c r="AQ159" s="2688"/>
      <c r="AR159" s="2688"/>
      <c r="AS159" s="2688"/>
      <c r="AT159" s="2689"/>
      <c r="AU159" s="234"/>
      <c r="AV159" s="199">
        <v>1</v>
      </c>
      <c r="AW159" s="199" t="str">
        <f>IF(AV159=2,IF(AK159&lt;&gt;"","OK","NG"),"OK")</f>
        <v>OK</v>
      </c>
      <c r="AX159" s="201"/>
      <c r="BU159" s="24"/>
      <c r="BV159" s="24"/>
      <c r="BW159" s="24"/>
      <c r="BX159" s="24"/>
      <c r="BY159" s="24"/>
      <c r="BZ159" s="14"/>
      <c r="CA159" s="121"/>
      <c r="CB159" s="204"/>
      <c r="CC159" s="22"/>
      <c r="CD159" s="145"/>
      <c r="CE159" s="145"/>
      <c r="CF159" s="145"/>
      <c r="CG159" s="39"/>
      <c r="CH159" s="65" t="s">
        <v>108</v>
      </c>
      <c r="CI159" s="112"/>
      <c r="CJ159" s="112"/>
      <c r="CK159" s="112"/>
      <c r="CL159" s="112"/>
      <c r="CM159" s="112"/>
      <c r="CN159" s="112"/>
      <c r="CO159" s="113" t="s">
        <v>546</v>
      </c>
      <c r="CP159" s="114"/>
      <c r="CQ159" s="10"/>
      <c r="CR159" s="61"/>
      <c r="CS159" s="61"/>
      <c r="CT159" s="61"/>
      <c r="CU159" s="61"/>
      <c r="CV159" s="60"/>
      <c r="DE159" s="90"/>
      <c r="DF159" s="90"/>
      <c r="DH159" s="1029" t="s">
        <v>5069</v>
      </c>
      <c r="DI159" s="1029" t="s">
        <v>5508</v>
      </c>
      <c r="DJ159" s="1173"/>
      <c r="DK159" s="1029" t="str">
        <f t="shared" si="25"/>
        <v>10624URC</v>
      </c>
      <c r="DL159" s="1031" t="s">
        <v>3644</v>
      </c>
      <c r="DM159" s="1031" t="s">
        <v>5509</v>
      </c>
      <c r="DN159" s="1032" t="str">
        <f>ASC(AO15)</f>
        <v/>
      </c>
      <c r="DO159" s="21"/>
      <c r="DP159" s="21"/>
      <c r="DQ159" s="468"/>
      <c r="DR159" s="468"/>
      <c r="DS159" s="468"/>
      <c r="DT159" s="468"/>
      <c r="DU159" s="468"/>
      <c r="DV159" s="31"/>
      <c r="DX159" s="115"/>
      <c r="DY159" s="115"/>
    </row>
    <row r="160" spans="1:129" ht="19.5" hidden="1" customHeight="1" thickTop="1">
      <c r="A160" s="1048" t="s">
        <v>1234</v>
      </c>
      <c r="B160" s="249"/>
      <c r="C160" s="1346"/>
      <c r="D160" s="1347"/>
      <c r="E160" s="1347"/>
      <c r="F160" s="1347"/>
      <c r="G160" s="1347"/>
      <c r="H160" s="1347"/>
      <c r="I160" s="1347"/>
      <c r="J160" s="1347"/>
      <c r="K160" s="2692" t="s">
        <v>4358</v>
      </c>
      <c r="L160" s="2693"/>
      <c r="M160" s="2693"/>
      <c r="N160" s="2693"/>
      <c r="O160" s="2693"/>
      <c r="P160" s="2694"/>
      <c r="Q160" s="1351"/>
      <c r="R160" s="1351"/>
      <c r="S160" s="2693" t="s">
        <v>4359</v>
      </c>
      <c r="T160" s="2693"/>
      <c r="U160" s="2693"/>
      <c r="V160" s="2693"/>
      <c r="W160" s="1351"/>
      <c r="X160" s="1351"/>
      <c r="Y160" s="2693" t="s">
        <v>4360</v>
      </c>
      <c r="Z160" s="2693"/>
      <c r="AA160" s="2693"/>
      <c r="AB160" s="2693"/>
      <c r="AC160" s="1152"/>
      <c r="AD160" s="670"/>
      <c r="AE160" s="670"/>
      <c r="AF160" s="670"/>
      <c r="AG160" s="670"/>
      <c r="AH160" s="670"/>
      <c r="AI160" s="670"/>
      <c r="AJ160" s="670"/>
      <c r="AK160" s="670"/>
      <c r="AL160" s="222"/>
      <c r="AM160" s="222"/>
      <c r="AN160" s="222"/>
      <c r="AO160" s="222"/>
      <c r="AP160" s="222"/>
      <c r="AQ160" s="222"/>
      <c r="AR160" s="222"/>
      <c r="AS160" s="222"/>
      <c r="AT160" s="1153"/>
      <c r="AU160" s="234"/>
      <c r="AV160" s="199">
        <v>1</v>
      </c>
      <c r="AW160" s="199"/>
      <c r="AX160" s="201"/>
      <c r="BU160" s="24"/>
      <c r="BV160" s="24"/>
      <c r="BW160" s="24"/>
      <c r="BX160" s="24"/>
      <c r="BY160" s="24"/>
      <c r="BZ160" s="14"/>
      <c r="CA160" s="121"/>
      <c r="CB160" s="204"/>
      <c r="CC160" s="22"/>
      <c r="CD160" s="145"/>
      <c r="CE160" s="145"/>
      <c r="CF160" s="145"/>
      <c r="CG160" s="31"/>
      <c r="CH160" s="65" t="s">
        <v>104</v>
      </c>
      <c r="CI160" s="112"/>
      <c r="CJ160" s="112"/>
      <c r="CK160" s="112"/>
      <c r="CL160" s="112"/>
      <c r="CM160" s="112"/>
      <c r="CN160" s="112"/>
      <c r="CO160" s="113" t="s">
        <v>103</v>
      </c>
      <c r="CP160" s="114"/>
      <c r="CQ160" s="10"/>
      <c r="CR160" s="61"/>
      <c r="CS160" s="61"/>
      <c r="CT160" s="61"/>
      <c r="CU160" s="61"/>
      <c r="CV160" s="60"/>
      <c r="DE160" s="90"/>
      <c r="DH160" s="1029" t="s">
        <v>3776</v>
      </c>
      <c r="DI160" s="1029" t="s">
        <v>4409</v>
      </c>
      <c r="DJ160" s="1173"/>
      <c r="DK160" s="1029" t="str">
        <f t="shared" si="25"/>
        <v>11201344</v>
      </c>
      <c r="DL160" s="1031" t="s">
        <v>5539</v>
      </c>
      <c r="DM160" s="1031" t="s">
        <v>5540</v>
      </c>
      <c r="DN160" s="1032">
        <f>IF(AS35="包括",1,4)</f>
        <v>1</v>
      </c>
      <c r="DO160" s="21"/>
      <c r="DP160" s="21"/>
      <c r="DQ160" s="468"/>
      <c r="DR160" s="468"/>
      <c r="DS160" s="468"/>
      <c r="DT160" s="468"/>
      <c r="DU160" s="468"/>
      <c r="DV160" s="31"/>
      <c r="DX160" s="115"/>
      <c r="DY160" s="115"/>
    </row>
    <row r="161" spans="1:129" ht="19.5" hidden="1" customHeight="1" thickBot="1">
      <c r="A161" s="1048" t="s">
        <v>1234</v>
      </c>
      <c r="B161" s="249"/>
      <c r="C161" s="1348"/>
      <c r="D161" s="1349"/>
      <c r="E161" s="1349"/>
      <c r="F161" s="1349"/>
      <c r="G161" s="1349"/>
      <c r="H161" s="1349"/>
      <c r="I161" s="1349"/>
      <c r="J161" s="1349"/>
      <c r="K161" s="2736" t="s">
        <v>4368</v>
      </c>
      <c r="L161" s="2737"/>
      <c r="M161" s="2737"/>
      <c r="N161" s="2737"/>
      <c r="O161" s="2695" t="s">
        <v>4369</v>
      </c>
      <c r="P161" s="2696"/>
      <c r="Q161" s="2696"/>
      <c r="R161" s="2697"/>
      <c r="S161" s="1139"/>
      <c r="T161" s="1139"/>
      <c r="U161" s="2690" t="s">
        <v>4359</v>
      </c>
      <c r="V161" s="2690"/>
      <c r="W161" s="2690"/>
      <c r="X161" s="2690"/>
      <c r="Y161" s="1139"/>
      <c r="Z161" s="1139"/>
      <c r="AA161" s="2690" t="s">
        <v>4360</v>
      </c>
      <c r="AB161" s="2690"/>
      <c r="AC161" s="2690"/>
      <c r="AD161" s="2743"/>
      <c r="AE161" s="2695" t="s">
        <v>4370</v>
      </c>
      <c r="AF161" s="2696"/>
      <c r="AG161" s="2696"/>
      <c r="AH161" s="2697"/>
      <c r="AI161" s="1139"/>
      <c r="AJ161" s="1139"/>
      <c r="AK161" s="2690" t="s">
        <v>4359</v>
      </c>
      <c r="AL161" s="2690"/>
      <c r="AM161" s="2690"/>
      <c r="AN161" s="2690"/>
      <c r="AO161" s="1139"/>
      <c r="AP161" s="1139"/>
      <c r="AQ161" s="2690" t="s">
        <v>4360</v>
      </c>
      <c r="AR161" s="2690"/>
      <c r="AS161" s="2690"/>
      <c r="AT161" s="2691"/>
      <c r="AU161" s="234"/>
      <c r="AV161" s="199">
        <v>1</v>
      </c>
      <c r="AW161" s="488">
        <v>1</v>
      </c>
      <c r="AX161" s="201"/>
      <c r="BU161" s="24"/>
      <c r="BV161" s="24"/>
      <c r="BW161" s="24"/>
      <c r="BX161" s="24"/>
      <c r="BY161" s="24"/>
      <c r="BZ161" s="14"/>
      <c r="CA161" s="121"/>
      <c r="CB161" s="204"/>
      <c r="CC161" s="22"/>
      <c r="CD161" s="145"/>
      <c r="CE161" s="145"/>
      <c r="CF161" s="145"/>
      <c r="CG161" s="31"/>
      <c r="CH161" s="65" t="s">
        <v>98</v>
      </c>
      <c r="CI161" s="112"/>
      <c r="CJ161" s="112"/>
      <c r="CK161" s="112"/>
      <c r="CL161" s="112"/>
      <c r="CM161" s="112"/>
      <c r="CN161" s="112"/>
      <c r="CO161" s="113" t="s">
        <v>547</v>
      </c>
      <c r="CP161" s="114"/>
      <c r="CQ161" s="10"/>
      <c r="CR161" s="61"/>
      <c r="CS161" s="61"/>
      <c r="CT161" s="61"/>
      <c r="CU161" s="61"/>
      <c r="CV161" s="60"/>
      <c r="DE161" s="90"/>
      <c r="DH161" s="1029" t="s">
        <v>4408</v>
      </c>
      <c r="DI161" s="1029" t="s">
        <v>5529</v>
      </c>
      <c r="DJ161" s="1173"/>
      <c r="DK161" s="1029" t="str">
        <f t="shared" si="25"/>
        <v>10607UQ6</v>
      </c>
      <c r="DL161" s="1031" t="s">
        <v>5541</v>
      </c>
      <c r="DM161" s="1031" t="s">
        <v>5542</v>
      </c>
      <c r="DN161" s="1032">
        <f>IF(DN135=1,1,0)</f>
        <v>1</v>
      </c>
      <c r="DO161" s="21"/>
      <c r="DP161" s="21"/>
      <c r="DQ161" s="468"/>
      <c r="DR161" s="468"/>
      <c r="DS161" s="468"/>
      <c r="DT161" s="468"/>
      <c r="DU161" s="468"/>
      <c r="DV161" s="31"/>
      <c r="DX161" s="115"/>
      <c r="DY161" s="115"/>
    </row>
    <row r="162" spans="1:129" ht="19.5" customHeight="1" thickTop="1" thickBot="1">
      <c r="A162" s="447"/>
      <c r="B162" s="249"/>
      <c r="C162" s="1239"/>
      <c r="D162" s="1239"/>
      <c r="E162" s="1239"/>
      <c r="F162" s="1239"/>
      <c r="G162" s="1239"/>
      <c r="H162" s="1239"/>
      <c r="I162" s="1239"/>
      <c r="J162" s="1239"/>
      <c r="K162" s="1239"/>
      <c r="L162" s="1240"/>
      <c r="M162" s="1240"/>
      <c r="N162" s="1240"/>
      <c r="O162" s="1241"/>
      <c r="P162" s="1241"/>
      <c r="Q162" s="1242"/>
      <c r="R162" s="1242"/>
      <c r="S162" s="1242"/>
      <c r="T162" s="1242"/>
      <c r="U162" s="1242"/>
      <c r="V162" s="1242"/>
      <c r="W162" s="1242"/>
      <c r="X162" s="1242"/>
      <c r="Y162" s="1243"/>
      <c r="Z162" s="1243"/>
      <c r="AA162" s="1243"/>
      <c r="AB162" s="1243"/>
      <c r="AC162" s="1243"/>
      <c r="AD162" s="1243"/>
      <c r="AE162" s="1243"/>
      <c r="AF162" s="1243"/>
      <c r="AG162" s="1242"/>
      <c r="AH162" s="1242"/>
      <c r="AI162" s="1242"/>
      <c r="AJ162" s="1242"/>
      <c r="AK162" s="1244"/>
      <c r="AL162" s="1244"/>
      <c r="AM162" s="1245"/>
      <c r="AN162" s="1245"/>
      <c r="AO162" s="1244"/>
      <c r="AP162" s="1244"/>
      <c r="AQ162" s="1244"/>
      <c r="AR162" s="1244"/>
      <c r="AS162" s="1244"/>
      <c r="AT162" s="1244"/>
      <c r="AU162" s="234"/>
      <c r="AX162" s="201"/>
      <c r="BU162" s="24"/>
      <c r="BV162" s="24"/>
      <c r="BW162" s="24"/>
      <c r="BX162" s="24"/>
      <c r="BY162" s="24"/>
      <c r="BZ162" s="14"/>
      <c r="CA162" s="121"/>
      <c r="CB162" s="204"/>
      <c r="CC162" s="22"/>
      <c r="CD162" s="145"/>
      <c r="CE162" s="145"/>
      <c r="CF162" s="145"/>
      <c r="CG162" s="31"/>
      <c r="CH162" s="65" t="s">
        <v>97</v>
      </c>
      <c r="CI162" s="112"/>
      <c r="CJ162" s="112"/>
      <c r="CK162" s="112"/>
      <c r="CL162" s="112"/>
      <c r="CM162" s="112"/>
      <c r="CN162" s="112"/>
      <c r="CO162" s="113" t="s">
        <v>548</v>
      </c>
      <c r="CP162" s="114"/>
      <c r="CQ162" s="10"/>
      <c r="CR162" s="61"/>
      <c r="CS162" s="61"/>
      <c r="CT162" s="61"/>
      <c r="CU162" s="61"/>
      <c r="CV162" s="60"/>
      <c r="DE162" s="90"/>
      <c r="DH162" s="1029" t="s">
        <v>4408</v>
      </c>
      <c r="DI162" s="1029" t="s">
        <v>5530</v>
      </c>
      <c r="DJ162" s="1173"/>
      <c r="DK162" s="1029" t="str">
        <f t="shared" si="25"/>
        <v>10607UQ7</v>
      </c>
      <c r="DL162" s="1031" t="s">
        <v>5541</v>
      </c>
      <c r="DM162" s="1031" t="s">
        <v>5543</v>
      </c>
      <c r="DN162" s="1032">
        <f>IF(DN135=1,1,0)</f>
        <v>1</v>
      </c>
      <c r="DO162" s="21"/>
      <c r="DP162" s="21"/>
      <c r="DQ162" s="468"/>
      <c r="DR162" s="468"/>
      <c r="DS162" s="468"/>
      <c r="DT162" s="468"/>
      <c r="DU162" s="468"/>
      <c r="DV162" s="31"/>
      <c r="DX162" s="115"/>
      <c r="DY162" s="115"/>
    </row>
    <row r="163" spans="1:129" ht="19.5" customHeight="1" thickTop="1">
      <c r="A163" s="447"/>
      <c r="B163" s="249"/>
      <c r="C163" s="2712" t="s">
        <v>2052</v>
      </c>
      <c r="D163" s="2713"/>
      <c r="E163" s="2713"/>
      <c r="F163" s="2713"/>
      <c r="G163" s="2713"/>
      <c r="H163" s="2713"/>
      <c r="I163" s="2713"/>
      <c r="J163" s="2714"/>
      <c r="K163" s="1195"/>
      <c r="L163" s="1196"/>
      <c r="M163" s="1196"/>
      <c r="N163" s="1196"/>
      <c r="O163" s="1196"/>
      <c r="P163" s="1196"/>
      <c r="Q163" s="1196"/>
      <c r="R163" s="1196"/>
      <c r="S163" s="1196"/>
      <c r="T163" s="1196"/>
      <c r="U163" s="1196"/>
      <c r="V163" s="1196"/>
      <c r="W163" s="1196"/>
      <c r="X163" s="1196"/>
      <c r="Y163" s="2721" t="s">
        <v>5023</v>
      </c>
      <c r="Z163" s="2722"/>
      <c r="AA163" s="2722"/>
      <c r="AB163" s="2723"/>
      <c r="AC163" s="2721" t="s">
        <v>5022</v>
      </c>
      <c r="AD163" s="2722"/>
      <c r="AE163" s="2722"/>
      <c r="AF163" s="2723"/>
      <c r="AG163" s="1196"/>
      <c r="AH163" s="1196"/>
      <c r="AI163" s="1196"/>
      <c r="AJ163" s="1196"/>
      <c r="AK163" s="1196"/>
      <c r="AL163" s="1196"/>
      <c r="AM163" s="1196"/>
      <c r="AN163" s="1196"/>
      <c r="AO163" s="1196"/>
      <c r="AP163" s="1196"/>
      <c r="AQ163" s="1196"/>
      <c r="AR163" s="1196"/>
      <c r="AS163" s="1196"/>
      <c r="AT163" s="1197"/>
      <c r="AU163" s="234"/>
      <c r="AX163" s="201"/>
      <c r="BU163" s="24"/>
      <c r="BV163" s="24"/>
      <c r="BW163" s="24"/>
      <c r="BX163" s="24"/>
      <c r="BY163" s="24"/>
      <c r="BZ163" s="14"/>
      <c r="CA163" s="121"/>
      <c r="CB163" s="204"/>
      <c r="CC163" s="22"/>
      <c r="CD163" s="145"/>
      <c r="CE163" s="145"/>
      <c r="CF163" s="145"/>
      <c r="CG163" s="31"/>
      <c r="CH163" s="65" t="s">
        <v>87</v>
      </c>
      <c r="CI163" s="112"/>
      <c r="CJ163" s="112"/>
      <c r="CK163" s="112"/>
      <c r="CL163" s="112"/>
      <c r="CM163" s="112"/>
      <c r="CN163" s="112"/>
      <c r="CO163" s="113" t="s">
        <v>549</v>
      </c>
      <c r="CP163" s="114"/>
      <c r="CQ163" s="10"/>
      <c r="CR163" s="61"/>
      <c r="CS163" s="61"/>
      <c r="CT163" s="61"/>
      <c r="CU163" s="61"/>
      <c r="CV163" s="60"/>
      <c r="CW163" s="55"/>
      <c r="DE163" s="90"/>
      <c r="DH163" s="1029" t="s">
        <v>4408</v>
      </c>
      <c r="DI163" s="1029" t="s">
        <v>5531</v>
      </c>
      <c r="DJ163" s="1173"/>
      <c r="DK163" s="1029" t="str">
        <f t="shared" si="25"/>
        <v>10607UQX</v>
      </c>
      <c r="DL163" s="1031" t="s">
        <v>5541</v>
      </c>
      <c r="DM163" s="1031" t="s">
        <v>5544</v>
      </c>
      <c r="DN163" s="1032">
        <f>IF(DN135=1,1,0)</f>
        <v>1</v>
      </c>
      <c r="DO163" s="21"/>
      <c r="DP163" s="21"/>
      <c r="DQ163" s="468"/>
      <c r="DR163" s="468"/>
      <c r="DS163" s="468"/>
      <c r="DT163" s="468"/>
      <c r="DU163" s="468"/>
      <c r="DV163" s="31"/>
      <c r="DX163" s="115"/>
      <c r="DY163" s="115"/>
    </row>
    <row r="164" spans="1:129" ht="19.5" customHeight="1">
      <c r="A164" s="447"/>
      <c r="B164" s="249"/>
      <c r="C164" s="2715"/>
      <c r="D164" s="2716"/>
      <c r="E164" s="2716"/>
      <c r="F164" s="2716"/>
      <c r="G164" s="2716"/>
      <c r="H164" s="2716"/>
      <c r="I164" s="2716"/>
      <c r="J164" s="2717"/>
      <c r="K164" s="2724" t="s">
        <v>5015</v>
      </c>
      <c r="L164" s="2725"/>
      <c r="M164" s="2725"/>
      <c r="N164" s="2725"/>
      <c r="O164" s="2725"/>
      <c r="P164" s="2726"/>
      <c r="Q164" s="2731" t="s">
        <v>5016</v>
      </c>
      <c r="R164" s="2731"/>
      <c r="S164" s="2731"/>
      <c r="T164" s="2731"/>
      <c r="U164" s="2731"/>
      <c r="V164" s="2731"/>
      <c r="W164" s="2731"/>
      <c r="X164" s="2731"/>
      <c r="Y164" s="2732" t="s">
        <v>5024</v>
      </c>
      <c r="Z164" s="2732"/>
      <c r="AA164" s="2732"/>
      <c r="AB164" s="2732"/>
      <c r="AC164" s="2732" t="s">
        <v>5030</v>
      </c>
      <c r="AD164" s="2732"/>
      <c r="AE164" s="2732"/>
      <c r="AF164" s="2732"/>
      <c r="AG164" s="1192"/>
      <c r="AH164" s="1193"/>
      <c r="AI164" s="1193"/>
      <c r="AJ164" s="1193"/>
      <c r="AK164" s="1193"/>
      <c r="AL164" s="1193"/>
      <c r="AM164" s="1193"/>
      <c r="AN164" s="1193"/>
      <c r="AO164" s="1193"/>
      <c r="AP164" s="1193"/>
      <c r="AQ164" s="1193"/>
      <c r="AR164" s="1193"/>
      <c r="AS164" s="1193"/>
      <c r="AT164" s="1194"/>
      <c r="AU164" s="234"/>
      <c r="AX164" s="201"/>
      <c r="BU164" s="24"/>
      <c r="BV164" s="24"/>
      <c r="BW164" s="24"/>
      <c r="BX164" s="24"/>
      <c r="BY164" s="24"/>
      <c r="BZ164" s="14"/>
      <c r="CA164" s="121"/>
      <c r="CB164" s="204"/>
      <c r="CC164" s="22"/>
      <c r="CD164" s="145"/>
      <c r="CE164" s="145"/>
      <c r="CF164" s="145"/>
      <c r="CG164" s="31"/>
      <c r="CH164" s="65" t="s">
        <v>45</v>
      </c>
      <c r="CI164" s="112"/>
      <c r="CJ164" s="112"/>
      <c r="CK164" s="112"/>
      <c r="CL164" s="112"/>
      <c r="CM164" s="112"/>
      <c r="CN164" s="112"/>
      <c r="CO164" s="113" t="s">
        <v>44</v>
      </c>
      <c r="CP164" s="114"/>
      <c r="CQ164" s="10"/>
      <c r="CR164" s="61"/>
      <c r="CS164" s="61"/>
      <c r="CT164" s="61"/>
      <c r="CU164" s="61"/>
      <c r="CV164" s="60"/>
      <c r="CW164" s="55"/>
      <c r="DE164" s="90"/>
      <c r="DH164" s="1029" t="s">
        <v>4408</v>
      </c>
      <c r="DI164" s="1029" t="s">
        <v>5532</v>
      </c>
      <c r="DJ164" s="1173"/>
      <c r="DK164" s="1029" t="str">
        <f t="shared" si="25"/>
        <v>10607UQY</v>
      </c>
      <c r="DL164" s="1031" t="s">
        <v>5541</v>
      </c>
      <c r="DM164" s="1031" t="s">
        <v>5545</v>
      </c>
      <c r="DN164" s="1032">
        <f>IF(DN135=1,1,0)</f>
        <v>1</v>
      </c>
      <c r="DO164" s="21"/>
      <c r="DP164" s="21"/>
      <c r="DQ164" s="468"/>
      <c r="DR164" s="468"/>
      <c r="DS164" s="468"/>
      <c r="DT164" s="468"/>
      <c r="DU164" s="468"/>
      <c r="DV164" s="31"/>
      <c r="DX164" s="115"/>
      <c r="DY164" s="115"/>
    </row>
    <row r="165" spans="1:129" ht="19.5" customHeight="1">
      <c r="A165" s="447"/>
      <c r="B165" s="249"/>
      <c r="C165" s="2715"/>
      <c r="D165" s="2716"/>
      <c r="E165" s="2716"/>
      <c r="F165" s="2716"/>
      <c r="G165" s="2716"/>
      <c r="H165" s="2716"/>
      <c r="I165" s="2716"/>
      <c r="J165" s="2717"/>
      <c r="K165" s="2727"/>
      <c r="L165" s="2725"/>
      <c r="M165" s="2725"/>
      <c r="N165" s="2725"/>
      <c r="O165" s="2725"/>
      <c r="P165" s="2726"/>
      <c r="Q165" s="2731" t="s">
        <v>5017</v>
      </c>
      <c r="R165" s="2731"/>
      <c r="S165" s="2731"/>
      <c r="T165" s="2731"/>
      <c r="U165" s="2731"/>
      <c r="V165" s="2731"/>
      <c r="W165" s="2731"/>
      <c r="X165" s="2731"/>
      <c r="Y165" s="2732" t="s">
        <v>5025</v>
      </c>
      <c r="Z165" s="2732"/>
      <c r="AA165" s="2732"/>
      <c r="AB165" s="2732"/>
      <c r="AC165" s="2732" t="s">
        <v>5025</v>
      </c>
      <c r="AD165" s="2732"/>
      <c r="AE165" s="2732"/>
      <c r="AF165" s="2732"/>
      <c r="AG165" s="781"/>
      <c r="AH165" s="782"/>
      <c r="AI165" s="782"/>
      <c r="AJ165" s="782"/>
      <c r="AK165" s="782"/>
      <c r="AL165" s="782"/>
      <c r="AM165" s="782"/>
      <c r="AN165" s="782"/>
      <c r="AO165" s="782"/>
      <c r="AP165" s="782"/>
      <c r="AQ165" s="782"/>
      <c r="AR165" s="782"/>
      <c r="AS165" s="782"/>
      <c r="AT165" s="1198"/>
      <c r="AU165" s="234"/>
      <c r="AX165" s="201"/>
      <c r="BU165" s="24"/>
      <c r="BV165" s="24"/>
      <c r="BW165" s="24"/>
      <c r="BX165" s="24"/>
      <c r="BY165" s="24"/>
      <c r="BZ165" s="14"/>
      <c r="CA165" s="121"/>
      <c r="CB165" s="204"/>
      <c r="CC165" s="22"/>
      <c r="CD165" s="145"/>
      <c r="CE165" s="145"/>
      <c r="CF165" s="145"/>
      <c r="CG165" s="31"/>
      <c r="CH165" s="65" t="s">
        <v>43</v>
      </c>
      <c r="CI165" s="112"/>
      <c r="CJ165" s="112"/>
      <c r="CK165" s="112"/>
      <c r="CL165" s="112"/>
      <c r="CM165" s="112"/>
      <c r="CN165" s="112"/>
      <c r="CO165" s="113" t="s">
        <v>42</v>
      </c>
      <c r="CP165" s="114"/>
      <c r="CQ165" s="10"/>
      <c r="CR165" s="61"/>
      <c r="CS165" s="61"/>
      <c r="CT165" s="61"/>
      <c r="CU165" s="61"/>
      <c r="CV165" s="60"/>
      <c r="CW165" s="55"/>
      <c r="CX165" s="55"/>
      <c r="CZ165" s="90"/>
      <c r="DE165" s="90"/>
      <c r="DH165" s="1029" t="s">
        <v>5533</v>
      </c>
      <c r="DI165" s="1029" t="s">
        <v>5534</v>
      </c>
      <c r="DJ165" s="1173"/>
      <c r="DK165" s="1029" t="str">
        <f t="shared" si="25"/>
        <v>107042Z7</v>
      </c>
      <c r="DL165" s="1031" t="s">
        <v>5546</v>
      </c>
      <c r="DM165" s="1031" t="s">
        <v>5547</v>
      </c>
      <c r="DN165" s="1032">
        <f>IF(AS29="包括",1,4)</f>
        <v>1</v>
      </c>
      <c r="DO165" s="21"/>
      <c r="DP165" s="21"/>
      <c r="DQ165" s="468"/>
      <c r="DR165" s="468"/>
      <c r="DS165" s="468"/>
      <c r="DT165" s="468"/>
      <c r="DU165" s="468"/>
      <c r="DV165" s="33"/>
      <c r="DX165" s="115"/>
      <c r="DY165" s="115"/>
    </row>
    <row r="166" spans="1:129" ht="19.5" customHeight="1">
      <c r="A166" s="447"/>
      <c r="B166" s="249"/>
      <c r="C166" s="2715"/>
      <c r="D166" s="2716"/>
      <c r="E166" s="2716"/>
      <c r="F166" s="2716"/>
      <c r="G166" s="2716"/>
      <c r="H166" s="2716"/>
      <c r="I166" s="2716"/>
      <c r="J166" s="2717"/>
      <c r="K166" s="2727"/>
      <c r="L166" s="2725"/>
      <c r="M166" s="2725"/>
      <c r="N166" s="2725"/>
      <c r="O166" s="2725"/>
      <c r="P166" s="2726"/>
      <c r="Q166" s="2731" t="s">
        <v>5018</v>
      </c>
      <c r="R166" s="2731"/>
      <c r="S166" s="2731"/>
      <c r="T166" s="2731"/>
      <c r="U166" s="2731"/>
      <c r="V166" s="2731"/>
      <c r="W166" s="2731"/>
      <c r="X166" s="2731"/>
      <c r="Y166" s="2732" t="s">
        <v>5026</v>
      </c>
      <c r="Z166" s="2732"/>
      <c r="AA166" s="2732"/>
      <c r="AB166" s="2732"/>
      <c r="AC166" s="2732" t="s">
        <v>5029</v>
      </c>
      <c r="AD166" s="2732"/>
      <c r="AE166" s="2732"/>
      <c r="AF166" s="2732"/>
      <c r="AG166" s="781"/>
      <c r="AH166" s="782"/>
      <c r="AI166" s="782"/>
      <c r="AJ166" s="782"/>
      <c r="AK166" s="782"/>
      <c r="AL166" s="782"/>
      <c r="AM166" s="782"/>
      <c r="AN166" s="782"/>
      <c r="AO166" s="782"/>
      <c r="AP166" s="782"/>
      <c r="AQ166" s="782"/>
      <c r="AR166" s="782"/>
      <c r="AS166" s="782"/>
      <c r="AT166" s="1198"/>
      <c r="AU166" s="234"/>
      <c r="AX166" s="201"/>
      <c r="BU166" s="24"/>
      <c r="BV166" s="24"/>
      <c r="BW166" s="24"/>
      <c r="BX166" s="24"/>
      <c r="BY166" s="24"/>
      <c r="BZ166" s="14"/>
      <c r="CA166" s="121"/>
      <c r="CB166" s="204"/>
      <c r="CC166" s="22"/>
      <c r="CD166" s="145"/>
      <c r="CE166" s="145"/>
      <c r="CF166" s="145"/>
      <c r="CG166" s="31"/>
      <c r="CH166" s="65" t="s">
        <v>41</v>
      </c>
      <c r="CI166" s="112"/>
      <c r="CJ166" s="112"/>
      <c r="CK166" s="112"/>
      <c r="CL166" s="112"/>
      <c r="CM166" s="112"/>
      <c r="CN166" s="112"/>
      <c r="CO166" s="113" t="s">
        <v>40</v>
      </c>
      <c r="CP166" s="114"/>
      <c r="CQ166" s="10"/>
      <c r="CR166" s="61"/>
      <c r="CS166" s="61"/>
      <c r="CT166" s="61"/>
      <c r="CU166" s="61"/>
      <c r="CV166" s="60"/>
      <c r="CX166" s="55"/>
      <c r="CZ166" s="90"/>
      <c r="DE166" s="43"/>
      <c r="DH166" s="1029" t="s">
        <v>5535</v>
      </c>
      <c r="DI166" s="1029" t="s">
        <v>5534</v>
      </c>
      <c r="DJ166" s="1173"/>
      <c r="DK166" s="1029" t="str">
        <f t="shared" si="25"/>
        <v>1080230B</v>
      </c>
      <c r="DL166" s="1031" t="s">
        <v>5548</v>
      </c>
      <c r="DM166" s="1031" t="s">
        <v>5549</v>
      </c>
      <c r="DN166" s="1032">
        <f>IF(AS30="包括",1,4)</f>
        <v>1</v>
      </c>
      <c r="DO166" s="21"/>
      <c r="DP166" s="21"/>
      <c r="DQ166" s="468"/>
      <c r="DR166" s="468"/>
      <c r="DS166" s="468"/>
      <c r="DT166" s="468"/>
      <c r="DU166" s="468"/>
      <c r="DV166" s="33"/>
      <c r="DX166" s="115"/>
      <c r="DY166" s="115"/>
    </row>
    <row r="167" spans="1:129" ht="19.5" customHeight="1" thickBot="1">
      <c r="A167" s="447"/>
      <c r="B167" s="249"/>
      <c r="C167" s="2718"/>
      <c r="D167" s="2719"/>
      <c r="E167" s="2719"/>
      <c r="F167" s="2719"/>
      <c r="G167" s="2719"/>
      <c r="H167" s="2719"/>
      <c r="I167" s="2719"/>
      <c r="J167" s="2720"/>
      <c r="K167" s="2728"/>
      <c r="L167" s="2729"/>
      <c r="M167" s="2729"/>
      <c r="N167" s="2729"/>
      <c r="O167" s="2729"/>
      <c r="P167" s="2730"/>
      <c r="Q167" s="2733" t="s">
        <v>5019</v>
      </c>
      <c r="R167" s="2733"/>
      <c r="S167" s="2733"/>
      <c r="T167" s="2733"/>
      <c r="U167" s="2733"/>
      <c r="V167" s="2733"/>
      <c r="W167" s="2733"/>
      <c r="X167" s="2733"/>
      <c r="Y167" s="2711" t="s">
        <v>5027</v>
      </c>
      <c r="Z167" s="2711"/>
      <c r="AA167" s="2711"/>
      <c r="AB167" s="2711"/>
      <c r="AC167" s="2711" t="s">
        <v>5028</v>
      </c>
      <c r="AD167" s="2711"/>
      <c r="AE167" s="2711"/>
      <c r="AF167" s="2711"/>
      <c r="AG167" s="1199"/>
      <c r="AH167" s="1200"/>
      <c r="AI167" s="1200"/>
      <c r="AJ167" s="1200"/>
      <c r="AK167" s="1200"/>
      <c r="AL167" s="1200"/>
      <c r="AM167" s="1200"/>
      <c r="AN167" s="1200"/>
      <c r="AO167" s="1200"/>
      <c r="AP167" s="1200"/>
      <c r="AQ167" s="1200"/>
      <c r="AR167" s="1200"/>
      <c r="AS167" s="1200"/>
      <c r="AT167" s="1201"/>
      <c r="AU167" s="234"/>
      <c r="AX167" s="201"/>
      <c r="BU167" s="24"/>
      <c r="BV167" s="24"/>
      <c r="BW167" s="24"/>
      <c r="BX167" s="24"/>
      <c r="BY167" s="24"/>
      <c r="BZ167" s="14"/>
      <c r="CA167" s="121"/>
      <c r="CB167" s="204"/>
      <c r="CC167" s="22"/>
      <c r="CD167" s="145"/>
      <c r="CE167" s="145"/>
      <c r="CF167" s="145"/>
      <c r="CG167" s="31"/>
      <c r="CH167" s="65" t="s">
        <v>39</v>
      </c>
      <c r="CI167" s="112"/>
      <c r="CJ167" s="112"/>
      <c r="CK167" s="112"/>
      <c r="CL167" s="112"/>
      <c r="CM167" s="112"/>
      <c r="CN167" s="112"/>
      <c r="CO167" s="113" t="s">
        <v>38</v>
      </c>
      <c r="CP167" s="114"/>
      <c r="CQ167" s="10"/>
      <c r="CR167" s="61"/>
      <c r="CS167" s="61"/>
      <c r="CT167" s="61"/>
      <c r="CU167" s="61"/>
      <c r="CV167" s="60"/>
      <c r="CX167" s="55"/>
      <c r="CZ167" s="90"/>
      <c r="DE167" s="43"/>
      <c r="DH167" s="1029" t="s">
        <v>5536</v>
      </c>
      <c r="DI167" s="1029" t="s">
        <v>5534</v>
      </c>
      <c r="DJ167" s="1173"/>
      <c r="DK167" s="1029" t="str">
        <f t="shared" si="25"/>
        <v>11003326</v>
      </c>
      <c r="DL167" s="1031" t="s">
        <v>5550</v>
      </c>
      <c r="DM167" s="1031" t="s">
        <v>5551</v>
      </c>
      <c r="DN167" s="1032">
        <f>IF(AS33="包括",1,4)</f>
        <v>1</v>
      </c>
      <c r="DO167" s="21"/>
      <c r="DP167" s="21"/>
      <c r="DQ167" s="468"/>
      <c r="DR167" s="468"/>
      <c r="DS167" s="468"/>
      <c r="DT167" s="468"/>
      <c r="DU167" s="468"/>
      <c r="DX167" s="115"/>
      <c r="DY167" s="115"/>
    </row>
    <row r="168" spans="1:129" ht="19.5" customHeight="1" thickTop="1">
      <c r="A168" s="210"/>
      <c r="B168" s="249"/>
      <c r="C168" s="1259"/>
      <c r="D168" s="1259"/>
      <c r="E168" s="1259"/>
      <c r="F168" s="1259"/>
      <c r="G168" s="1259"/>
      <c r="H168" s="1259"/>
      <c r="I168" s="1259"/>
      <c r="J168" s="1259"/>
      <c r="K168" s="1259"/>
      <c r="L168" s="212"/>
      <c r="M168" s="212"/>
      <c r="N168" s="212"/>
      <c r="O168" s="254"/>
      <c r="P168" s="254"/>
      <c r="Q168" s="213"/>
      <c r="R168" s="213"/>
      <c r="S168" s="213"/>
      <c r="T168" s="213"/>
      <c r="U168" s="213"/>
      <c r="V168" s="213"/>
      <c r="W168" s="213"/>
      <c r="X168" s="213"/>
      <c r="Y168" s="214"/>
      <c r="Z168" s="214"/>
      <c r="AA168" s="214"/>
      <c r="AB168" s="214"/>
      <c r="AC168" s="214"/>
      <c r="AD168" s="214"/>
      <c r="AE168" s="214"/>
      <c r="AF168" s="214"/>
      <c r="AG168" s="213"/>
      <c r="AH168" s="213"/>
      <c r="AI168" s="213"/>
      <c r="AJ168" s="213"/>
      <c r="AK168" s="253"/>
      <c r="AL168" s="253"/>
      <c r="AM168" s="215"/>
      <c r="AN168" s="215"/>
      <c r="AO168" s="253"/>
      <c r="AP168" s="253"/>
      <c r="AQ168" s="253"/>
      <c r="AR168" s="253"/>
      <c r="AS168" s="253"/>
      <c r="AT168" s="253"/>
      <c r="AU168" s="234"/>
      <c r="AX168" s="201"/>
      <c r="BZ168" s="21"/>
      <c r="CA168" s="121"/>
      <c r="CB168" s="204"/>
      <c r="CC168" s="22"/>
      <c r="CD168" s="145"/>
      <c r="CE168" s="145"/>
      <c r="CF168" s="145"/>
      <c r="CG168" s="31"/>
      <c r="CH168" s="65" t="s">
        <v>37</v>
      </c>
      <c r="CI168" s="112"/>
      <c r="CJ168" s="112"/>
      <c r="CK168" s="112"/>
      <c r="CL168" s="112"/>
      <c r="CM168" s="112"/>
      <c r="CN168" s="112"/>
      <c r="CO168" s="113" t="s">
        <v>36</v>
      </c>
      <c r="CP168" s="114"/>
      <c r="CQ168" s="10"/>
      <c r="CR168" s="61"/>
      <c r="CS168" s="61"/>
      <c r="CT168" s="61"/>
      <c r="CU168" s="61"/>
      <c r="CV168" s="60"/>
      <c r="DE168" s="43"/>
      <c r="DH168" s="1029" t="s">
        <v>5537</v>
      </c>
      <c r="DI168" s="1029" t="s">
        <v>5534</v>
      </c>
      <c r="DJ168" s="1173"/>
      <c r="DK168" s="1029" t="str">
        <f t="shared" si="25"/>
        <v>11102334</v>
      </c>
      <c r="DL168" s="1031" t="s">
        <v>5552</v>
      </c>
      <c r="DM168" s="1031" t="s">
        <v>5553</v>
      </c>
      <c r="DN168" s="1032">
        <f>IF(AS34="包括",1,4)</f>
        <v>1</v>
      </c>
      <c r="DO168" s="21"/>
      <c r="DP168" s="21"/>
      <c r="DQ168" s="468"/>
      <c r="DR168" s="468"/>
      <c r="DS168" s="468"/>
      <c r="DT168" s="468"/>
      <c r="DU168" s="468"/>
      <c r="DX168" s="115"/>
      <c r="DY168" s="115"/>
    </row>
    <row r="169" spans="1:129" ht="19.5" hidden="1" customHeight="1">
      <c r="A169" s="1048" t="s">
        <v>1234</v>
      </c>
      <c r="B169" s="249"/>
      <c r="C169" s="1259"/>
      <c r="D169" s="1259"/>
      <c r="E169" s="1259"/>
      <c r="F169" s="1259"/>
      <c r="G169" s="1259"/>
      <c r="H169" s="1259"/>
      <c r="I169" s="1259"/>
      <c r="J169" s="1259"/>
      <c r="K169" s="1259"/>
      <c r="L169" s="212"/>
      <c r="M169" s="212"/>
      <c r="N169" s="212"/>
      <c r="O169" s="254"/>
      <c r="P169" s="254"/>
      <c r="Q169" s="213"/>
      <c r="R169" s="213"/>
      <c r="S169" s="213"/>
      <c r="T169" s="213"/>
      <c r="U169" s="213"/>
      <c r="V169" s="213"/>
      <c r="W169" s="213"/>
      <c r="X169" s="213"/>
      <c r="Y169" s="214"/>
      <c r="Z169" s="214"/>
      <c r="AA169" s="214"/>
      <c r="AB169" s="214"/>
      <c r="AC169" s="214"/>
      <c r="AD169" s="214"/>
      <c r="AE169" s="214"/>
      <c r="AF169" s="214"/>
      <c r="AG169" s="213"/>
      <c r="AH169" s="213"/>
      <c r="AI169" s="213"/>
      <c r="AJ169" s="213"/>
      <c r="AK169" s="253"/>
      <c r="AL169" s="253"/>
      <c r="AM169" s="215"/>
      <c r="AN169" s="215"/>
      <c r="AO169" s="253"/>
      <c r="AP169" s="253"/>
      <c r="AQ169" s="253"/>
      <c r="AR169" s="253"/>
      <c r="AS169" s="253"/>
      <c r="AT169" s="253"/>
      <c r="AU169" s="234"/>
      <c r="BZ169" s="14"/>
      <c r="CA169" s="121"/>
      <c r="CB169" s="204"/>
      <c r="CC169" s="22"/>
      <c r="CD169" s="145"/>
      <c r="CE169" s="145"/>
      <c r="CF169" s="145"/>
      <c r="CG169" s="33"/>
      <c r="CH169" s="65" t="s">
        <v>35</v>
      </c>
      <c r="CI169" s="112"/>
      <c r="CJ169" s="112"/>
      <c r="CK169" s="112"/>
      <c r="CL169" s="112"/>
      <c r="CM169" s="112"/>
      <c r="CN169" s="112"/>
      <c r="CO169" s="113" t="s">
        <v>34</v>
      </c>
      <c r="CP169" s="114"/>
      <c r="CQ169" s="10"/>
      <c r="CR169" s="61"/>
      <c r="CS169" s="61"/>
      <c r="CT169" s="61"/>
      <c r="CU169" s="61"/>
      <c r="CV169" s="60"/>
      <c r="DE169" s="43"/>
      <c r="DH169" s="1029" t="s">
        <v>5537</v>
      </c>
      <c r="DI169" s="1029" t="s">
        <v>5538</v>
      </c>
      <c r="DJ169" s="1173"/>
      <c r="DK169" s="1029" t="str">
        <f t="shared" si="25"/>
        <v>11102335</v>
      </c>
      <c r="DL169" s="1031" t="s">
        <v>5552</v>
      </c>
      <c r="DM169" s="1031" t="s">
        <v>5554</v>
      </c>
      <c r="DN169" s="1032" t="str">
        <f>IF(VALUE(DN168)=1,"012000613","")</f>
        <v>012000613</v>
      </c>
      <c r="DO169" s="21"/>
      <c r="DP169" s="21"/>
      <c r="DQ169" s="468"/>
      <c r="DR169" s="468"/>
      <c r="DS169" s="468"/>
      <c r="DT169" s="468"/>
      <c r="DU169" s="468"/>
      <c r="DV169" s="33"/>
      <c r="DX169" s="115"/>
      <c r="DY169" s="115"/>
    </row>
    <row r="170" spans="1:129" ht="19.5" hidden="1" customHeight="1">
      <c r="A170" s="1048" t="s">
        <v>1234</v>
      </c>
      <c r="B170" s="249"/>
      <c r="C170" s="1259"/>
      <c r="D170" s="1259"/>
      <c r="E170" s="1259"/>
      <c r="F170" s="1259"/>
      <c r="G170" s="1259"/>
      <c r="H170" s="1259"/>
      <c r="I170" s="1259"/>
      <c r="J170" s="1259"/>
      <c r="K170" s="1259"/>
      <c r="L170" s="212"/>
      <c r="M170" s="212"/>
      <c r="N170" s="212"/>
      <c r="O170" s="254"/>
      <c r="P170" s="254"/>
      <c r="Q170" s="213"/>
      <c r="R170" s="213"/>
      <c r="S170" s="213"/>
      <c r="T170" s="213"/>
      <c r="U170" s="213"/>
      <c r="V170" s="213"/>
      <c r="W170" s="213"/>
      <c r="X170" s="213"/>
      <c r="Y170" s="214"/>
      <c r="Z170" s="214"/>
      <c r="AA170" s="214"/>
      <c r="AB170" s="214"/>
      <c r="AC170" s="214"/>
      <c r="AD170" s="214"/>
      <c r="AE170" s="214"/>
      <c r="AF170" s="214"/>
      <c r="AG170" s="213"/>
      <c r="AH170" s="213"/>
      <c r="AI170" s="213"/>
      <c r="AJ170" s="213"/>
      <c r="AK170" s="253"/>
      <c r="AL170" s="253"/>
      <c r="AM170" s="215"/>
      <c r="AN170" s="215"/>
      <c r="AO170" s="253"/>
      <c r="AP170" s="253"/>
      <c r="AQ170" s="253"/>
      <c r="AR170" s="253"/>
      <c r="AS170" s="253"/>
      <c r="AT170" s="253"/>
      <c r="AU170" s="234"/>
      <c r="BZ170" s="21"/>
      <c r="CA170" s="121"/>
      <c r="CB170" s="204"/>
      <c r="CC170" s="22"/>
      <c r="CD170" s="145"/>
      <c r="CE170" s="145"/>
      <c r="CF170" s="145"/>
      <c r="CG170" s="33"/>
      <c r="CH170" s="65" t="s">
        <v>640</v>
      </c>
      <c r="CI170" s="112"/>
      <c r="CJ170" s="112"/>
      <c r="CK170" s="112"/>
      <c r="CL170" s="112"/>
      <c r="CM170" s="112"/>
      <c r="CN170" s="112"/>
      <c r="CO170" s="113" t="s">
        <v>33</v>
      </c>
      <c r="CP170" s="114"/>
      <c r="CQ170" s="10"/>
      <c r="CR170" s="61"/>
      <c r="CS170" s="61"/>
      <c r="CT170" s="61"/>
      <c r="CU170" s="61"/>
      <c r="CV170" s="60"/>
      <c r="DE170" s="43"/>
      <c r="DH170" s="1029" t="s">
        <v>5519</v>
      </c>
      <c r="DI170" s="1029" t="s">
        <v>897</v>
      </c>
      <c r="DJ170" s="1173"/>
      <c r="DK170" s="1029" t="str">
        <f t="shared" si="25"/>
        <v>106272YC</v>
      </c>
      <c r="DL170" s="1031" t="s">
        <v>5557</v>
      </c>
      <c r="DM170" s="1031" t="s">
        <v>919</v>
      </c>
      <c r="DN170" s="1032">
        <f>DN12</f>
        <v>0</v>
      </c>
      <c r="DO170" s="21"/>
      <c r="DP170" s="21"/>
      <c r="DQ170" s="468"/>
      <c r="DR170" s="468"/>
      <c r="DS170" s="468"/>
      <c r="DT170" s="468"/>
      <c r="DU170" s="468"/>
      <c r="DV170" s="31"/>
      <c r="DX170" s="115"/>
      <c r="DY170" s="115"/>
    </row>
    <row r="171" spans="1:129" ht="19.5" hidden="1" customHeight="1">
      <c r="A171" s="1048" t="s">
        <v>1234</v>
      </c>
      <c r="B171" s="249"/>
      <c r="C171" s="1259"/>
      <c r="D171" s="1259"/>
      <c r="E171" s="1259"/>
      <c r="F171" s="1259"/>
      <c r="G171" s="1259"/>
      <c r="H171" s="1259"/>
      <c r="I171" s="1259"/>
      <c r="J171" s="1259"/>
      <c r="K171" s="1259"/>
      <c r="L171" s="212"/>
      <c r="M171" s="212"/>
      <c r="N171" s="212"/>
      <c r="O171" s="254"/>
      <c r="P171" s="254"/>
      <c r="Q171" s="213"/>
      <c r="R171" s="213"/>
      <c r="S171" s="213"/>
      <c r="T171" s="213"/>
      <c r="U171" s="213"/>
      <c r="V171" s="213"/>
      <c r="W171" s="213"/>
      <c r="X171" s="213"/>
      <c r="Y171" s="214"/>
      <c r="Z171" s="214"/>
      <c r="AA171" s="214"/>
      <c r="AB171" s="214"/>
      <c r="AC171" s="214"/>
      <c r="AD171" s="214"/>
      <c r="AE171" s="214"/>
      <c r="AF171" s="214"/>
      <c r="AG171" s="213"/>
      <c r="AH171" s="213"/>
      <c r="AI171" s="213"/>
      <c r="AJ171" s="213"/>
      <c r="AK171" s="253"/>
      <c r="AL171" s="253"/>
      <c r="AM171" s="215"/>
      <c r="AN171" s="215"/>
      <c r="AO171" s="253"/>
      <c r="AP171" s="253"/>
      <c r="AQ171" s="253"/>
      <c r="AR171" s="253"/>
      <c r="AS171" s="253"/>
      <c r="AT171" s="253"/>
      <c r="AU171" s="234"/>
      <c r="BZ171" s="21"/>
      <c r="CA171" s="121"/>
      <c r="CB171" s="204"/>
      <c r="CC171" s="22"/>
      <c r="CD171" s="145"/>
      <c r="CE171" s="145"/>
      <c r="CF171" s="145"/>
      <c r="CH171" s="65" t="s">
        <v>32</v>
      </c>
      <c r="CI171" s="112"/>
      <c r="CJ171" s="112"/>
      <c r="CK171" s="112"/>
      <c r="CL171" s="112"/>
      <c r="CM171" s="112"/>
      <c r="CN171" s="112"/>
      <c r="CO171" s="113" t="s">
        <v>31</v>
      </c>
      <c r="CP171" s="114"/>
      <c r="CQ171" s="10"/>
      <c r="CR171" s="61"/>
      <c r="CS171" s="61"/>
      <c r="CT171" s="61"/>
      <c r="CU171" s="61"/>
      <c r="CV171" s="60"/>
      <c r="DE171" s="43"/>
      <c r="DH171" s="1029" t="s">
        <v>5519</v>
      </c>
      <c r="DI171" s="1029" t="s">
        <v>898</v>
      </c>
      <c r="DJ171" s="1173"/>
      <c r="DK171" s="1029" t="str">
        <f t="shared" si="25"/>
        <v>106272YD</v>
      </c>
      <c r="DL171" s="1031" t="s">
        <v>5557</v>
      </c>
      <c r="DM171" s="1031" t="s">
        <v>920</v>
      </c>
      <c r="DN171" s="1032">
        <f>DN13</f>
        <v>0</v>
      </c>
      <c r="DO171" s="21"/>
      <c r="DP171" s="21"/>
      <c r="DQ171" s="468"/>
      <c r="DR171" s="468"/>
      <c r="DS171" s="468"/>
      <c r="DT171" s="468"/>
      <c r="DU171" s="468"/>
      <c r="DV171" s="31"/>
      <c r="DX171" s="115"/>
      <c r="DY171" s="115"/>
    </row>
    <row r="172" spans="1:129" ht="19.5" customHeight="1">
      <c r="A172" s="186"/>
      <c r="B172" s="249"/>
      <c r="C172" s="1259"/>
      <c r="D172" s="1259"/>
      <c r="E172" s="1259"/>
      <c r="F172" s="1259"/>
      <c r="G172" s="1259"/>
      <c r="H172" s="1259"/>
      <c r="I172" s="1259"/>
      <c r="J172" s="1259"/>
      <c r="K172" s="1259"/>
      <c r="L172" s="212"/>
      <c r="M172" s="212"/>
      <c r="N172" s="212"/>
      <c r="O172" s="254"/>
      <c r="P172" s="254"/>
      <c r="Q172" s="213"/>
      <c r="R172" s="213"/>
      <c r="S172" s="213"/>
      <c r="T172" s="213"/>
      <c r="U172" s="213"/>
      <c r="V172" s="213"/>
      <c r="W172" s="213"/>
      <c r="X172" s="213"/>
      <c r="Y172" s="214"/>
      <c r="Z172" s="214"/>
      <c r="AA172" s="214"/>
      <c r="AB172" s="214"/>
      <c r="AC172" s="214"/>
      <c r="AD172" s="214"/>
      <c r="AE172" s="214"/>
      <c r="AF172" s="214"/>
      <c r="AG172" s="213"/>
      <c r="AH172" s="213"/>
      <c r="AI172" s="213"/>
      <c r="AJ172" s="213"/>
      <c r="AK172" s="253"/>
      <c r="AL172" s="253"/>
      <c r="AM172" s="215"/>
      <c r="AN172" s="215"/>
      <c r="AO172" s="253"/>
      <c r="AP172" s="253"/>
      <c r="AQ172" s="253"/>
      <c r="AR172" s="253"/>
      <c r="AS172" s="253"/>
      <c r="AT172" s="253"/>
      <c r="AU172" s="234"/>
      <c r="BZ172" s="21"/>
      <c r="CA172" s="121"/>
      <c r="CB172" s="204"/>
      <c r="CC172" s="22"/>
      <c r="CD172" s="145"/>
      <c r="CE172" s="145"/>
      <c r="CF172" s="145"/>
      <c r="CH172" s="65" t="s">
        <v>30</v>
      </c>
      <c r="CI172" s="112"/>
      <c r="CJ172" s="112"/>
      <c r="CK172" s="112"/>
      <c r="CL172" s="112"/>
      <c r="CM172" s="112"/>
      <c r="CN172" s="112"/>
      <c r="CO172" s="113" t="s">
        <v>29</v>
      </c>
      <c r="CP172" s="114"/>
      <c r="CQ172" s="10"/>
      <c r="CR172" s="61"/>
      <c r="CS172" s="61"/>
      <c r="CT172" s="61"/>
      <c r="CU172" s="61"/>
      <c r="CV172" s="60"/>
      <c r="DE172" s="43"/>
      <c r="DH172" s="1029" t="s">
        <v>5519</v>
      </c>
      <c r="DI172" s="1029" t="s">
        <v>899</v>
      </c>
      <c r="DJ172" s="1173"/>
      <c r="DK172" s="1029" t="str">
        <f t="shared" si="25"/>
        <v>106272YE</v>
      </c>
      <c r="DL172" s="1031" t="s">
        <v>5557</v>
      </c>
      <c r="DM172" s="1031" t="s">
        <v>921</v>
      </c>
      <c r="DN172" s="1032">
        <f>DN14</f>
        <v>0</v>
      </c>
      <c r="DO172" s="21"/>
      <c r="DP172" s="21"/>
      <c r="DQ172" s="468"/>
      <c r="DR172" s="468"/>
      <c r="DS172" s="468"/>
      <c r="DT172" s="468"/>
      <c r="DU172" s="468"/>
      <c r="DV172" s="31"/>
      <c r="DX172" s="115"/>
      <c r="DY172" s="115"/>
    </row>
    <row r="173" spans="1:129" ht="19.5" customHeight="1" thickBot="1">
      <c r="A173" s="186"/>
      <c r="B173" s="249"/>
      <c r="C173" s="1259"/>
      <c r="D173" s="1259"/>
      <c r="E173" s="1259"/>
      <c r="F173" s="1259"/>
      <c r="G173" s="1259"/>
      <c r="H173" s="1259"/>
      <c r="I173" s="1259"/>
      <c r="J173" s="1259"/>
      <c r="K173" s="1259"/>
      <c r="L173" s="212"/>
      <c r="M173" s="212"/>
      <c r="N173" s="212"/>
      <c r="O173" s="254"/>
      <c r="P173" s="254"/>
      <c r="Q173" s="213"/>
      <c r="R173" s="213"/>
      <c r="S173" s="213"/>
      <c r="T173" s="213"/>
      <c r="U173" s="213"/>
      <c r="V173" s="213"/>
      <c r="W173" s="213"/>
      <c r="X173" s="213"/>
      <c r="Y173" s="214"/>
      <c r="Z173" s="214"/>
      <c r="AA173" s="214"/>
      <c r="AB173" s="214"/>
      <c r="AC173" s="214"/>
      <c r="AD173" s="214"/>
      <c r="AE173" s="214"/>
      <c r="AF173" s="214"/>
      <c r="AG173" s="213"/>
      <c r="AH173" s="213"/>
      <c r="AI173" s="213"/>
      <c r="AJ173" s="213"/>
      <c r="AK173" s="253"/>
      <c r="AL173" s="253"/>
      <c r="AM173" s="215"/>
      <c r="AN173" s="215"/>
      <c r="AO173" s="253"/>
      <c r="AP173" s="253"/>
      <c r="AQ173" s="253"/>
      <c r="AR173" s="253"/>
      <c r="AS173" s="253"/>
      <c r="AT173" s="253"/>
      <c r="AU173" s="234"/>
      <c r="BZ173" s="21"/>
      <c r="CA173" s="121"/>
      <c r="CB173" s="204"/>
      <c r="CC173" s="22"/>
      <c r="CD173" s="145"/>
      <c r="CE173" s="145"/>
      <c r="CF173" s="145"/>
      <c r="CG173" s="33"/>
      <c r="CH173" s="65" t="s">
        <v>28</v>
      </c>
      <c r="CI173" s="112"/>
      <c r="CJ173" s="112"/>
      <c r="CK173" s="112"/>
      <c r="CL173" s="112"/>
      <c r="CM173" s="112"/>
      <c r="CN173" s="112"/>
      <c r="CO173" s="113" t="s">
        <v>551</v>
      </c>
      <c r="CP173" s="114"/>
      <c r="CQ173" s="10"/>
      <c r="CR173" s="61"/>
      <c r="CS173" s="61"/>
      <c r="CT173" s="61"/>
      <c r="CU173" s="61"/>
      <c r="CV173" s="60"/>
      <c r="DE173" s="43"/>
      <c r="DH173" s="1029" t="s">
        <v>5519</v>
      </c>
      <c r="DI173" s="1029" t="s">
        <v>174</v>
      </c>
      <c r="DJ173" s="1173"/>
      <c r="DK173" s="1029" t="str">
        <f t="shared" si="25"/>
        <v>106272YF</v>
      </c>
      <c r="DL173" s="1031" t="s">
        <v>5557</v>
      </c>
      <c r="DM173" s="1031" t="s">
        <v>922</v>
      </c>
      <c r="DN173" s="1032">
        <f>DN15</f>
        <v>0</v>
      </c>
      <c r="DO173" s="21"/>
      <c r="DP173" s="21"/>
      <c r="DQ173" s="468"/>
      <c r="DR173" s="468"/>
      <c r="DS173" s="468"/>
      <c r="DT173" s="468"/>
      <c r="DU173" s="468"/>
      <c r="DV173" s="31"/>
      <c r="DX173" s="115"/>
      <c r="DY173" s="115"/>
    </row>
    <row r="174" spans="1:129" ht="19.5" customHeight="1">
      <c r="A174" s="186"/>
      <c r="B174" s="249"/>
      <c r="C174" s="1923" t="s">
        <v>5107</v>
      </c>
      <c r="D174" s="1924"/>
      <c r="E174" s="1924"/>
      <c r="F174" s="1924"/>
      <c r="G174" s="1924"/>
      <c r="H174" s="1924"/>
      <c r="I174" s="1924"/>
      <c r="J174" s="1925"/>
      <c r="K174" s="1929" t="s">
        <v>5108</v>
      </c>
      <c r="L174" s="1929"/>
      <c r="M174" s="1929"/>
      <c r="N174" s="1929"/>
      <c r="O174" s="1929"/>
      <c r="P174" s="1929"/>
      <c r="Q174" s="1929"/>
      <c r="R174" s="1929"/>
      <c r="S174" s="1929"/>
      <c r="T174" s="1929"/>
      <c r="U174" s="1929"/>
      <c r="V174" s="1929"/>
      <c r="W174" s="1929"/>
      <c r="X174" s="1929"/>
      <c r="Y174" s="1929"/>
      <c r="Z174" s="1929"/>
      <c r="AA174" s="1929"/>
      <c r="AB174" s="1929"/>
      <c r="AC174" s="1929"/>
      <c r="AD174" s="1929"/>
      <c r="AE174" s="1929"/>
      <c r="AF174" s="1929"/>
      <c r="AG174" s="1929"/>
      <c r="AH174" s="1929"/>
      <c r="AI174" s="1929"/>
      <c r="AJ174" s="1929"/>
      <c r="AK174" s="1929"/>
      <c r="AL174" s="1929"/>
      <c r="AM174" s="1929"/>
      <c r="AN174" s="1929"/>
      <c r="AO174" s="1929"/>
      <c r="AP174" s="1929"/>
      <c r="AQ174" s="1929"/>
      <c r="AR174" s="1929"/>
      <c r="AS174" s="1929"/>
      <c r="AT174" s="1930"/>
      <c r="AU174" s="234"/>
      <c r="AV174" s="651">
        <f>【追加アプリ用記入シート】チェックシート!J4</f>
        <v>0</v>
      </c>
      <c r="AW174" s="618" t="s">
        <v>5127</v>
      </c>
      <c r="BA174" s="200"/>
      <c r="BB174" s="200"/>
      <c r="BC174" s="200"/>
      <c r="BD174" s="200"/>
      <c r="BE174" s="200"/>
      <c r="BF174" s="200"/>
      <c r="BG174" s="200"/>
      <c r="BH174" s="200"/>
      <c r="BI174" s="200"/>
      <c r="BZ174" s="24"/>
      <c r="CA174" s="121"/>
      <c r="CB174" s="204"/>
      <c r="CD174" s="145"/>
      <c r="CE174" s="145"/>
      <c r="CF174" s="145"/>
      <c r="CG174" s="31"/>
      <c r="CH174" s="65" t="s">
        <v>27</v>
      </c>
      <c r="CI174" s="112"/>
      <c r="CJ174" s="112"/>
      <c r="CK174" s="112"/>
      <c r="CL174" s="112"/>
      <c r="CM174" s="112"/>
      <c r="CN174" s="112"/>
      <c r="CO174" s="113" t="s">
        <v>552</v>
      </c>
      <c r="CP174" s="114"/>
      <c r="CQ174" s="10"/>
      <c r="CR174" s="61"/>
      <c r="CS174" s="61"/>
      <c r="CT174" s="61"/>
      <c r="CU174" s="61"/>
      <c r="CV174" s="60"/>
      <c r="DE174" s="43"/>
      <c r="DH174" s="1029" t="s">
        <v>5519</v>
      </c>
      <c r="DI174" s="1029" t="s">
        <v>5078</v>
      </c>
      <c r="DJ174" s="1173"/>
      <c r="DK174" s="1029" t="str">
        <f t="shared" ref="DK174:DK191" si="31">DL174&amp;DM174</f>
        <v>10627UR8</v>
      </c>
      <c r="DL174" s="1031" t="s">
        <v>5557</v>
      </c>
      <c r="DM174" s="1031" t="s">
        <v>5070</v>
      </c>
      <c r="DN174" s="1032" t="str">
        <f>DN145</f>
        <v>00</v>
      </c>
      <c r="DO174" s="21"/>
      <c r="DP174" s="21"/>
      <c r="DQ174" s="468"/>
      <c r="DR174" s="468"/>
      <c r="DS174" s="468"/>
      <c r="DT174" s="468"/>
      <c r="DU174" s="468"/>
      <c r="DV174" s="31"/>
      <c r="DX174" s="115"/>
      <c r="DY174" s="115"/>
    </row>
    <row r="175" spans="1:129" ht="19.5" customHeight="1">
      <c r="A175" s="186"/>
      <c r="B175" s="249"/>
      <c r="C175" s="1926"/>
      <c r="D175" s="1927"/>
      <c r="E175" s="1927"/>
      <c r="F175" s="1927"/>
      <c r="G175" s="1927"/>
      <c r="H175" s="1927"/>
      <c r="I175" s="1927"/>
      <c r="J175" s="1928"/>
      <c r="K175" s="1931" t="s">
        <v>5109</v>
      </c>
      <c r="L175" s="1931"/>
      <c r="M175" s="1931"/>
      <c r="N175" s="1931"/>
      <c r="O175" s="1931"/>
      <c r="P175" s="1931"/>
      <c r="Q175" s="1931"/>
      <c r="R175" s="1931"/>
      <c r="S175" s="1931"/>
      <c r="T175" s="1931"/>
      <c r="U175" s="1931"/>
      <c r="V175" s="1931"/>
      <c r="W175" s="1931"/>
      <c r="X175" s="1931"/>
      <c r="Y175" s="1931"/>
      <c r="Z175" s="1931"/>
      <c r="AA175" s="1931"/>
      <c r="AB175" s="1931"/>
      <c r="AC175" s="1931"/>
      <c r="AD175" s="1931"/>
      <c r="AE175" s="1931"/>
      <c r="AF175" s="1931"/>
      <c r="AG175" s="1931"/>
      <c r="AH175" s="1931"/>
      <c r="AI175" s="1931"/>
      <c r="AJ175" s="1931"/>
      <c r="AK175" s="1931"/>
      <c r="AL175" s="1931"/>
      <c r="AM175" s="1931"/>
      <c r="AN175" s="1931"/>
      <c r="AO175" s="1931"/>
      <c r="AP175" s="1931"/>
      <c r="AQ175" s="1931"/>
      <c r="AR175" s="1931"/>
      <c r="AS175" s="1931"/>
      <c r="AT175" s="1932"/>
      <c r="AU175" s="234"/>
      <c r="AV175" s="199" t="b">
        <v>0</v>
      </c>
      <c r="AX175" s="166" t="s">
        <v>2078</v>
      </c>
      <c r="AY175" s="166" t="s">
        <v>2275</v>
      </c>
      <c r="AZ175" s="166" t="s">
        <v>2276</v>
      </c>
      <c r="BA175" s="158" t="s">
        <v>2277</v>
      </c>
      <c r="BB175" s="158" t="s">
        <v>2278</v>
      </c>
      <c r="BC175" s="158" t="s">
        <v>2279</v>
      </c>
      <c r="BD175" s="158" t="s">
        <v>2280</v>
      </c>
      <c r="BE175" s="158" t="s">
        <v>2281</v>
      </c>
      <c r="BF175" s="158" t="s">
        <v>2282</v>
      </c>
      <c r="BG175" s="158" t="s">
        <v>2283</v>
      </c>
      <c r="BH175" s="158"/>
      <c r="BI175" s="158"/>
      <c r="BZ175" s="24"/>
      <c r="CA175" s="121"/>
      <c r="CB175" s="204"/>
      <c r="CD175" s="145"/>
      <c r="CE175" s="145"/>
      <c r="CF175" s="145"/>
      <c r="CG175" s="31"/>
      <c r="CH175" s="65" t="s">
        <v>26</v>
      </c>
      <c r="CI175" s="112"/>
      <c r="CJ175" s="112"/>
      <c r="CK175" s="112"/>
      <c r="CL175" s="112"/>
      <c r="CM175" s="112"/>
      <c r="CN175" s="112"/>
      <c r="CO175" s="113" t="s">
        <v>553</v>
      </c>
      <c r="CP175" s="114"/>
      <c r="CQ175" s="10"/>
      <c r="CR175" s="61"/>
      <c r="CS175" s="61"/>
      <c r="CT175" s="61"/>
      <c r="CU175" s="61"/>
      <c r="CV175" s="60"/>
      <c r="DE175" s="43"/>
      <c r="DH175" s="1029" t="s">
        <v>5519</v>
      </c>
      <c r="DI175" s="1029" t="s">
        <v>5079</v>
      </c>
      <c r="DJ175" s="1173"/>
      <c r="DK175" s="1029" t="str">
        <f t="shared" si="31"/>
        <v>10627UR9</v>
      </c>
      <c r="DL175" s="1031" t="s">
        <v>5557</v>
      </c>
      <c r="DM175" s="1031" t="s">
        <v>5072</v>
      </c>
      <c r="DN175" s="1032" t="str">
        <f>DN146</f>
        <v>00</v>
      </c>
      <c r="DO175" s="21"/>
      <c r="DP175" s="21"/>
      <c r="DQ175" s="468"/>
      <c r="DR175" s="468"/>
      <c r="DS175" s="468"/>
      <c r="DT175" s="468"/>
      <c r="DU175" s="468"/>
      <c r="DV175" s="31"/>
      <c r="DX175" s="115"/>
      <c r="DY175" s="115"/>
    </row>
    <row r="176" spans="1:129" ht="19.5" customHeight="1" thickBot="1">
      <c r="A176" s="186"/>
      <c r="B176" s="249"/>
      <c r="C176" s="1262"/>
      <c r="D176" s="1263"/>
      <c r="E176" s="1263"/>
      <c r="F176" s="1263"/>
      <c r="G176" s="1263"/>
      <c r="H176" s="1263"/>
      <c r="I176" s="1263"/>
      <c r="J176" s="1264"/>
      <c r="K176" s="2709" t="s">
        <v>5110</v>
      </c>
      <c r="L176" s="2709"/>
      <c r="M176" s="2709"/>
      <c r="N176" s="2709"/>
      <c r="O176" s="2709"/>
      <c r="P176" s="2709"/>
      <c r="Q176" s="2709"/>
      <c r="R176" s="2709"/>
      <c r="S176" s="2709"/>
      <c r="T176" s="2709"/>
      <c r="U176" s="2709"/>
      <c r="V176" s="2709"/>
      <c r="W176" s="2709"/>
      <c r="X176" s="2709"/>
      <c r="Y176" s="2709"/>
      <c r="Z176" s="2709"/>
      <c r="AA176" s="2709"/>
      <c r="AB176" s="2709"/>
      <c r="AC176" s="2709"/>
      <c r="AD176" s="2709"/>
      <c r="AE176" s="2709"/>
      <c r="AF176" s="2709"/>
      <c r="AG176" s="2709"/>
      <c r="AH176" s="2709"/>
      <c r="AI176" s="2709"/>
      <c r="AJ176" s="2709"/>
      <c r="AK176" s="2709"/>
      <c r="AL176" s="2709"/>
      <c r="AM176" s="2709"/>
      <c r="AN176" s="2709"/>
      <c r="AO176" s="2709"/>
      <c r="AP176" s="2709"/>
      <c r="AQ176" s="2709"/>
      <c r="AR176" s="2709"/>
      <c r="AS176" s="2709"/>
      <c r="AT176" s="2710"/>
      <c r="AU176" s="234"/>
      <c r="AX176" s="659" t="s">
        <v>2072</v>
      </c>
      <c r="AY176" s="788" t="s">
        <v>2284</v>
      </c>
      <c r="AZ176" s="788" t="s">
        <v>2283</v>
      </c>
      <c r="BA176" s="789" t="s">
        <v>2285</v>
      </c>
      <c r="BB176" s="789" t="s">
        <v>2286</v>
      </c>
      <c r="BC176" s="788" t="s">
        <v>2287</v>
      </c>
      <c r="BD176" s="789" t="s">
        <v>2276</v>
      </c>
      <c r="BE176" s="660" t="s">
        <v>2281</v>
      </c>
      <c r="BF176" s="789" t="s">
        <v>2288</v>
      </c>
      <c r="BG176" s="788" t="s">
        <v>2289</v>
      </c>
      <c r="BH176" s="661" t="s">
        <v>2290</v>
      </c>
      <c r="BI176" s="661" t="s">
        <v>2291</v>
      </c>
      <c r="BZ176" s="24"/>
      <c r="CA176" s="121"/>
      <c r="CB176" s="204"/>
      <c r="CD176" s="145"/>
      <c r="CE176" s="145"/>
      <c r="CF176" s="145"/>
      <c r="CG176" s="31"/>
      <c r="CH176" s="65" t="s">
        <v>25</v>
      </c>
      <c r="CI176" s="112"/>
      <c r="CJ176" s="112"/>
      <c r="CK176" s="112"/>
      <c r="CL176" s="112"/>
      <c r="CM176" s="112"/>
      <c r="CN176" s="112"/>
      <c r="CO176" s="113" t="s">
        <v>554</v>
      </c>
      <c r="CP176" s="114"/>
      <c r="CQ176" s="23"/>
      <c r="CR176" s="61"/>
      <c r="CS176" s="61"/>
      <c r="CT176" s="61"/>
      <c r="CU176" s="61"/>
      <c r="CV176" s="60"/>
      <c r="DE176" s="43"/>
      <c r="DH176" s="1029" t="s">
        <v>5519</v>
      </c>
      <c r="DI176" s="1029" t="s">
        <v>5080</v>
      </c>
      <c r="DJ176" s="1173"/>
      <c r="DK176" s="1029" t="str">
        <f t="shared" si="31"/>
        <v>10627URA</v>
      </c>
      <c r="DL176" s="1031" t="s">
        <v>5557</v>
      </c>
      <c r="DM176" s="1031" t="s">
        <v>5074</v>
      </c>
      <c r="DN176" s="1032" t="str">
        <f>DN147</f>
        <v>0000000</v>
      </c>
      <c r="DO176" s="21"/>
      <c r="DP176" s="21"/>
      <c r="DQ176" s="468"/>
      <c r="DR176" s="468"/>
      <c r="DS176" s="468"/>
      <c r="DT176" s="468"/>
      <c r="DU176" s="468"/>
      <c r="DV176" s="31"/>
      <c r="DX176" s="115"/>
      <c r="DY176" s="115"/>
    </row>
    <row r="177" spans="1:129" ht="19.5" customHeight="1">
      <c r="A177" s="186"/>
      <c r="B177" s="249"/>
      <c r="C177" s="1259"/>
      <c r="D177" s="1259"/>
      <c r="E177" s="1259"/>
      <c r="F177" s="1259"/>
      <c r="G177" s="1259"/>
      <c r="H177" s="1259"/>
      <c r="I177" s="1259"/>
      <c r="J177" s="1259"/>
      <c r="K177" s="1259"/>
      <c r="L177" s="212"/>
      <c r="M177" s="212"/>
      <c r="N177" s="212"/>
      <c r="O177" s="254"/>
      <c r="P177" s="254"/>
      <c r="Q177" s="213"/>
      <c r="R177" s="213"/>
      <c r="S177" s="213"/>
      <c r="T177" s="213"/>
      <c r="U177" s="213"/>
      <c r="V177" s="213"/>
      <c r="W177" s="213"/>
      <c r="X177" s="213"/>
      <c r="Y177" s="214"/>
      <c r="Z177" s="214"/>
      <c r="AA177" s="214"/>
      <c r="AB177" s="214"/>
      <c r="AC177" s="214"/>
      <c r="AD177" s="214"/>
      <c r="AE177" s="214"/>
      <c r="AF177" s="214"/>
      <c r="AG177" s="213"/>
      <c r="AH177" s="213"/>
      <c r="AI177" s="213"/>
      <c r="AJ177" s="213"/>
      <c r="AK177" s="253"/>
      <c r="AL177" s="253"/>
      <c r="AM177" s="215"/>
      <c r="AN177" s="215"/>
      <c r="AO177" s="253"/>
      <c r="AP177" s="253"/>
      <c r="AQ177" s="253"/>
      <c r="AR177" s="253"/>
      <c r="AS177" s="253"/>
      <c r="AT177" s="253"/>
      <c r="AU177" s="234"/>
      <c r="AX177" s="786" t="s">
        <v>2073</v>
      </c>
      <c r="AY177" s="786" t="s">
        <v>2073</v>
      </c>
      <c r="AZ177" s="786" t="s">
        <v>2073</v>
      </c>
      <c r="BA177" s="786" t="s">
        <v>2073</v>
      </c>
      <c r="BB177" s="786" t="s">
        <v>2073</v>
      </c>
      <c r="BC177" s="786" t="s">
        <v>2073</v>
      </c>
      <c r="BD177" s="663" t="s">
        <v>2073</v>
      </c>
      <c r="BE177" s="151" t="s">
        <v>2073</v>
      </c>
      <c r="BF177" s="786" t="s">
        <v>2073</v>
      </c>
      <c r="BG177" s="786" t="s">
        <v>2073</v>
      </c>
      <c r="BH177" s="663" t="s">
        <v>2073</v>
      </c>
      <c r="BI177" s="790" t="s">
        <v>2073</v>
      </c>
      <c r="BZ177" s="24"/>
      <c r="CA177" s="121"/>
      <c r="CB177" s="204"/>
      <c r="CD177" s="145"/>
      <c r="CE177" s="145"/>
      <c r="CF177" s="145"/>
      <c r="CG177" s="31"/>
      <c r="CH177" s="65" t="s">
        <v>641</v>
      </c>
      <c r="CI177" s="112"/>
      <c r="CJ177" s="112"/>
      <c r="CK177" s="112"/>
      <c r="CL177" s="112"/>
      <c r="CM177" s="112"/>
      <c r="CN177" s="112"/>
      <c r="CO177" s="113" t="s">
        <v>561</v>
      </c>
      <c r="CP177" s="114"/>
      <c r="CQ177" s="23"/>
      <c r="CR177" s="61"/>
      <c r="CS177" s="61"/>
      <c r="CT177" s="61"/>
      <c r="CU177" s="61"/>
      <c r="CV177" s="60"/>
      <c r="DE177" s="43"/>
      <c r="DH177" s="1029" t="s">
        <v>5519</v>
      </c>
      <c r="DI177" s="1029" t="s">
        <v>5081</v>
      </c>
      <c r="DJ177" s="1173"/>
      <c r="DK177" s="1029" t="str">
        <f t="shared" si="31"/>
        <v>10627URB</v>
      </c>
      <c r="DL177" s="1031" t="s">
        <v>5557</v>
      </c>
      <c r="DM177" s="1031" t="s">
        <v>5076</v>
      </c>
      <c r="DN177" s="1032" t="str">
        <f>DN148</f>
        <v>0000000</v>
      </c>
      <c r="DO177" s="21"/>
      <c r="DP177" s="21"/>
      <c r="DQ177" s="468"/>
      <c r="DR177" s="468"/>
      <c r="DS177" s="468"/>
      <c r="DT177" s="468"/>
      <c r="DU177" s="468"/>
      <c r="DV177" s="31"/>
      <c r="DX177" s="115"/>
      <c r="DY177" s="115"/>
    </row>
    <row r="178" spans="1:129" ht="19.5" customHeight="1">
      <c r="A178" s="186"/>
      <c r="B178" s="249"/>
      <c r="C178" s="1259"/>
      <c r="D178" s="1259"/>
      <c r="E178" s="1259"/>
      <c r="F178" s="1259"/>
      <c r="G178" s="1259"/>
      <c r="H178" s="1259"/>
      <c r="I178" s="1259"/>
      <c r="J178" s="1259"/>
      <c r="K178" s="1259"/>
      <c r="L178" s="212"/>
      <c r="M178" s="212"/>
      <c r="N178" s="212"/>
      <c r="O178" s="254"/>
      <c r="P178" s="254"/>
      <c r="Q178" s="213"/>
      <c r="R178" s="213"/>
      <c r="S178" s="213"/>
      <c r="T178" s="213"/>
      <c r="U178" s="213"/>
      <c r="V178" s="213"/>
      <c r="W178" s="213"/>
      <c r="X178" s="213"/>
      <c r="Y178" s="214"/>
      <c r="Z178" s="214"/>
      <c r="AA178" s="214"/>
      <c r="AB178" s="214"/>
      <c r="AC178" s="214"/>
      <c r="AD178" s="214"/>
      <c r="AE178" s="214"/>
      <c r="AF178" s="214"/>
      <c r="AG178" s="213"/>
      <c r="AH178" s="213"/>
      <c r="AI178" s="213"/>
      <c r="AJ178" s="213"/>
      <c r="AK178" s="253"/>
      <c r="AL178" s="253"/>
      <c r="AM178" s="215"/>
      <c r="AN178" s="215"/>
      <c r="AO178" s="253"/>
      <c r="AP178" s="253"/>
      <c r="AQ178" s="253"/>
      <c r="AR178" s="253"/>
      <c r="AS178" s="253"/>
      <c r="AT178" s="253"/>
      <c r="AU178" s="234"/>
      <c r="AX178" s="664" t="s">
        <v>2265</v>
      </c>
      <c r="AY178" s="664" t="s">
        <v>2292</v>
      </c>
      <c r="AZ178" s="664" t="s">
        <v>2293</v>
      </c>
      <c r="BA178" s="666" t="s">
        <v>2294</v>
      </c>
      <c r="BB178" s="666" t="s">
        <v>2295</v>
      </c>
      <c r="BC178" s="666" t="s">
        <v>2296</v>
      </c>
      <c r="BD178" s="667" t="s">
        <v>2297</v>
      </c>
      <c r="BE178" s="152" t="s">
        <v>2298</v>
      </c>
      <c r="BF178" s="666" t="s">
        <v>2299</v>
      </c>
      <c r="BG178" s="666" t="s">
        <v>2300</v>
      </c>
      <c r="BH178" s="667" t="s">
        <v>2301</v>
      </c>
      <c r="BI178" s="158"/>
      <c r="BZ178" s="24"/>
      <c r="CA178" s="121"/>
      <c r="CB178" s="204"/>
      <c r="CD178" s="145"/>
      <c r="CE178" s="145"/>
      <c r="CF178" s="145"/>
      <c r="CG178" s="31"/>
      <c r="CH178" s="65" t="s">
        <v>580</v>
      </c>
      <c r="CI178" s="112"/>
      <c r="CJ178" s="112"/>
      <c r="CK178" s="112"/>
      <c r="CL178" s="112"/>
      <c r="CM178" s="112"/>
      <c r="CN178" s="112"/>
      <c r="CO178" s="113" t="s">
        <v>636</v>
      </c>
      <c r="CP178" s="114"/>
      <c r="CQ178" s="23"/>
      <c r="CR178" s="61"/>
      <c r="CS178" s="61"/>
      <c r="CT178" s="61"/>
      <c r="CU178" s="61"/>
      <c r="CV178" s="60"/>
      <c r="DE178" s="43"/>
      <c r="DH178" s="1029" t="s">
        <v>5101</v>
      </c>
      <c r="DI178" s="1029" t="s">
        <v>4409</v>
      </c>
      <c r="DJ178" s="1173"/>
      <c r="DK178" s="1029" t="str">
        <f t="shared" si="31"/>
        <v>94501Q91</v>
      </c>
      <c r="DL178" s="1031" t="s">
        <v>5697</v>
      </c>
      <c r="DM178" s="1031" t="s">
        <v>5698</v>
      </c>
      <c r="DN178" s="1374" t="str">
        <f>""</f>
        <v/>
      </c>
      <c r="DO178" s="21"/>
      <c r="DP178" s="21"/>
      <c r="DQ178" s="468"/>
      <c r="DR178" s="468"/>
      <c r="DS178" s="468"/>
      <c r="DT178" s="468"/>
      <c r="DU178" s="468"/>
      <c r="DV178" s="31"/>
      <c r="DX178" s="115"/>
      <c r="DY178" s="115"/>
    </row>
    <row r="179" spans="1:129" ht="19.5" customHeight="1">
      <c r="A179" s="186"/>
      <c r="B179" s="249"/>
      <c r="C179" s="1259"/>
      <c r="D179" s="1259"/>
      <c r="E179" s="1259"/>
      <c r="F179" s="1259"/>
      <c r="G179" s="1259"/>
      <c r="H179" s="1259"/>
      <c r="I179" s="1259"/>
      <c r="J179" s="1259"/>
      <c r="K179" s="1259"/>
      <c r="L179" s="212"/>
      <c r="M179" s="212"/>
      <c r="N179" s="212"/>
      <c r="O179" s="254"/>
      <c r="P179" s="254"/>
      <c r="Q179" s="213"/>
      <c r="R179" s="213"/>
      <c r="S179" s="213"/>
      <c r="T179" s="213"/>
      <c r="U179" s="213"/>
      <c r="V179" s="213"/>
      <c r="W179" s="213"/>
      <c r="X179" s="213"/>
      <c r="Y179" s="214"/>
      <c r="Z179" s="214"/>
      <c r="AA179" s="214"/>
      <c r="AB179" s="214"/>
      <c r="AC179" s="214"/>
      <c r="AD179" s="214"/>
      <c r="AE179" s="214"/>
      <c r="AF179" s="214"/>
      <c r="AG179" s="213"/>
      <c r="AH179" s="213"/>
      <c r="AI179" s="213"/>
      <c r="AJ179" s="213"/>
      <c r="AK179" s="253"/>
      <c r="AL179" s="253"/>
      <c r="AM179" s="215"/>
      <c r="AN179" s="215"/>
      <c r="AO179" s="253"/>
      <c r="AP179" s="253"/>
      <c r="AQ179" s="253"/>
      <c r="AR179" s="253"/>
      <c r="AS179" s="253"/>
      <c r="AT179" s="253"/>
      <c r="AU179" s="234"/>
      <c r="AX179" s="664" t="s">
        <v>2266</v>
      </c>
      <c r="AY179" s="664" t="s">
        <v>2302</v>
      </c>
      <c r="AZ179" s="664" t="s">
        <v>2303</v>
      </c>
      <c r="BA179" s="666" t="s">
        <v>2304</v>
      </c>
      <c r="BB179" s="666" t="s">
        <v>2305</v>
      </c>
      <c r="BC179" s="666" t="s">
        <v>2306</v>
      </c>
      <c r="BD179" s="667" t="s">
        <v>2307</v>
      </c>
      <c r="BE179" s="152" t="s">
        <v>2308</v>
      </c>
      <c r="BF179" s="666" t="s">
        <v>2309</v>
      </c>
      <c r="BG179" s="666" t="s">
        <v>2310</v>
      </c>
      <c r="BH179" s="667" t="s">
        <v>2311</v>
      </c>
      <c r="BI179" s="158"/>
      <c r="BZ179" s="24"/>
      <c r="CA179" s="121"/>
      <c r="CB179" s="204"/>
      <c r="CD179" s="145"/>
      <c r="CE179" s="145"/>
      <c r="CF179" s="145"/>
      <c r="CG179" s="31"/>
      <c r="CH179" s="1354" t="s">
        <v>5668</v>
      </c>
      <c r="CI179" s="1355"/>
      <c r="CJ179" s="1355"/>
      <c r="CK179" s="1355"/>
      <c r="CL179" s="1355"/>
      <c r="CM179" s="1355"/>
      <c r="CN179" s="1355"/>
      <c r="CO179" s="1356" t="s">
        <v>5669</v>
      </c>
      <c r="CP179" s="1357" t="str">
        <f>IF(記入シート1!AR97="","",記入シート1!AR97)</f>
        <v/>
      </c>
      <c r="CQ179" s="23"/>
      <c r="CR179" s="61"/>
      <c r="CS179" s="61"/>
      <c r="CT179" s="61"/>
      <c r="CU179" s="61"/>
      <c r="CV179" s="60"/>
      <c r="DE179" s="43"/>
      <c r="DH179" s="1029" t="s">
        <v>5101</v>
      </c>
      <c r="DI179" s="1029" t="s">
        <v>2173</v>
      </c>
      <c r="DJ179" s="1173"/>
      <c r="DK179" s="1029" t="str">
        <f t="shared" si="31"/>
        <v>94501Q93</v>
      </c>
      <c r="DL179" s="1031" t="s">
        <v>5697</v>
      </c>
      <c r="DM179" s="1031" t="s">
        <v>5699</v>
      </c>
      <c r="DN179" s="1374" t="str">
        <f>""</f>
        <v/>
      </c>
      <c r="DO179" s="21"/>
      <c r="DP179" s="21"/>
      <c r="DQ179" s="468"/>
      <c r="DR179" s="468"/>
      <c r="DS179" s="468"/>
      <c r="DT179" s="468"/>
      <c r="DU179" s="468"/>
      <c r="DV179" s="31"/>
      <c r="DX179" s="115"/>
      <c r="DY179" s="115"/>
    </row>
    <row r="180" spans="1:129" ht="19.5" customHeight="1">
      <c r="A180" s="186"/>
      <c r="B180" s="249"/>
      <c r="C180" s="217" t="s">
        <v>852</v>
      </c>
      <c r="D180" s="218"/>
      <c r="E180" s="218"/>
      <c r="F180" s="218"/>
      <c r="G180" s="218"/>
      <c r="H180" s="218"/>
      <c r="I180" s="218"/>
      <c r="J180" s="218"/>
      <c r="K180" s="218"/>
      <c r="L180" s="218"/>
      <c r="M180" s="218"/>
      <c r="N180" s="219"/>
      <c r="O180" s="219"/>
      <c r="P180" s="219"/>
      <c r="Q180" s="219"/>
      <c r="R180" s="219"/>
      <c r="S180" s="219"/>
      <c r="T180" s="219"/>
      <c r="U180" s="219"/>
      <c r="V180" s="219"/>
      <c r="W180" s="219"/>
      <c r="X180" s="219"/>
      <c r="Y180" s="220"/>
      <c r="Z180" s="220"/>
      <c r="AA180" s="220"/>
      <c r="AB180" s="220"/>
      <c r="AC180" s="220"/>
      <c r="AD180" s="220"/>
      <c r="AE180" s="220"/>
      <c r="AF180" s="220"/>
      <c r="AG180" s="220"/>
      <c r="AH180" s="220"/>
      <c r="AI180" s="220"/>
      <c r="AJ180" s="220"/>
      <c r="AK180" s="220"/>
      <c r="AL180" s="220"/>
      <c r="AM180" s="220"/>
      <c r="AN180" s="220"/>
      <c r="AO180" s="220"/>
      <c r="AP180" s="220"/>
      <c r="AQ180" s="220"/>
      <c r="AR180" s="220"/>
      <c r="AS180" s="220"/>
      <c r="AT180" s="220"/>
      <c r="AU180" s="234"/>
      <c r="AX180" s="664" t="s">
        <v>2267</v>
      </c>
      <c r="AY180" s="664" t="s">
        <v>2312</v>
      </c>
      <c r="AZ180" s="787" t="s">
        <v>2313</v>
      </c>
      <c r="BA180" s="666" t="s">
        <v>2314</v>
      </c>
      <c r="BB180" s="668" t="s">
        <v>2315</v>
      </c>
      <c r="BC180" s="666" t="s">
        <v>2316</v>
      </c>
      <c r="BD180" s="667" t="s">
        <v>2317</v>
      </c>
      <c r="BE180" s="791" t="s">
        <v>2318</v>
      </c>
      <c r="BF180" s="666" t="s">
        <v>2319</v>
      </c>
      <c r="BG180" s="666" t="s">
        <v>2320</v>
      </c>
      <c r="BH180" s="667" t="s">
        <v>2321</v>
      </c>
      <c r="BI180" s="158"/>
      <c r="BZ180" s="24"/>
      <c r="CA180" s="121"/>
      <c r="CB180" s="204"/>
      <c r="CD180" s="145"/>
      <c r="CE180" s="145"/>
      <c r="CF180" s="145"/>
      <c r="CG180" s="31"/>
      <c r="CH180" s="86"/>
      <c r="CI180" s="57"/>
      <c r="CJ180" s="57"/>
      <c r="CK180" s="57"/>
      <c r="CL180" s="57"/>
      <c r="CO180" s="10"/>
      <c r="CP180" s="58"/>
      <c r="CQ180" s="23"/>
      <c r="CR180" s="61"/>
      <c r="CS180" s="61"/>
      <c r="CT180" s="61"/>
      <c r="CU180" s="61"/>
      <c r="CV180" s="60"/>
      <c r="DE180" s="43"/>
      <c r="DH180" s="1029" t="s">
        <v>5101</v>
      </c>
      <c r="DI180" s="1029" t="s">
        <v>3238</v>
      </c>
      <c r="DJ180" s="1173"/>
      <c r="DK180" s="1029" t="str">
        <f t="shared" si="31"/>
        <v>94501Q94</v>
      </c>
      <c r="DL180" s="1031" t="s">
        <v>5697</v>
      </c>
      <c r="DM180" s="1031" t="s">
        <v>5700</v>
      </c>
      <c r="DN180" s="1374" t="str">
        <f>""</f>
        <v/>
      </c>
      <c r="DO180" s="21"/>
      <c r="DP180" s="21"/>
      <c r="DQ180" s="468"/>
      <c r="DR180" s="468"/>
      <c r="DS180" s="468"/>
      <c r="DT180" s="468"/>
      <c r="DU180" s="468"/>
      <c r="DV180" s="31"/>
      <c r="DX180" s="115"/>
      <c r="DY180" s="115"/>
    </row>
    <row r="181" spans="1:129" ht="19.5" customHeight="1">
      <c r="A181" s="186"/>
      <c r="B181" s="249"/>
      <c r="C181" s="2703" t="s">
        <v>943</v>
      </c>
      <c r="D181" s="2704"/>
      <c r="E181" s="2704"/>
      <c r="F181" s="2704"/>
      <c r="G181" s="2704"/>
      <c r="H181" s="2704"/>
      <c r="I181" s="2704"/>
      <c r="J181" s="2704"/>
      <c r="K181" s="2704"/>
      <c r="L181" s="2704"/>
      <c r="M181" s="2705"/>
      <c r="N181" s="2706" t="s">
        <v>1014</v>
      </c>
      <c r="O181" s="2706"/>
      <c r="P181" s="2706"/>
      <c r="Q181" s="2706"/>
      <c r="R181" s="2706" t="s">
        <v>3825</v>
      </c>
      <c r="S181" s="2706"/>
      <c r="T181" s="2706"/>
      <c r="U181" s="2706"/>
      <c r="V181" s="2707" t="s">
        <v>942</v>
      </c>
      <c r="W181" s="2707"/>
      <c r="X181" s="2707"/>
      <c r="Y181" s="2707"/>
      <c r="Z181" s="2707"/>
      <c r="AA181" s="2707"/>
      <c r="AB181" s="2707"/>
      <c r="AC181" s="2707"/>
      <c r="AD181" s="2707"/>
      <c r="AE181" s="2707"/>
      <c r="AF181" s="2707"/>
      <c r="AG181" s="2707"/>
      <c r="AH181" s="2707"/>
      <c r="AI181" s="2707"/>
      <c r="AJ181" s="2707"/>
      <c r="AK181" s="2707"/>
      <c r="AL181" s="2707"/>
      <c r="AM181" s="2707"/>
      <c r="AN181" s="2707"/>
      <c r="AO181" s="2707"/>
      <c r="AP181" s="2707"/>
      <c r="AQ181" s="2707"/>
      <c r="AR181" s="2707"/>
      <c r="AS181" s="2707"/>
      <c r="AT181" s="2708"/>
      <c r="AU181" s="234"/>
      <c r="AX181" s="664" t="s">
        <v>2268</v>
      </c>
      <c r="AY181" s="664" t="s">
        <v>2322</v>
      </c>
      <c r="AZ181" s="151"/>
      <c r="BA181" s="666" t="s">
        <v>2323</v>
      </c>
      <c r="BB181" s="152"/>
      <c r="BC181" s="666" t="s">
        <v>2324</v>
      </c>
      <c r="BD181" s="667" t="s">
        <v>2325</v>
      </c>
      <c r="BE181" s="158"/>
      <c r="BF181" s="666" t="s">
        <v>2326</v>
      </c>
      <c r="BG181" s="668" t="s">
        <v>2327</v>
      </c>
      <c r="BH181" s="667" t="s">
        <v>2328</v>
      </c>
      <c r="BI181" s="158"/>
      <c r="BZ181" s="21"/>
      <c r="CA181" s="22"/>
      <c r="CB181" s="204"/>
      <c r="CD181" s="145"/>
      <c r="CE181" s="145"/>
      <c r="CF181" s="145"/>
      <c r="CG181" s="31"/>
      <c r="CH181" s="86"/>
      <c r="CI181" s="57"/>
      <c r="CJ181" s="57"/>
      <c r="CK181" s="57"/>
      <c r="CL181" s="57"/>
      <c r="CO181" s="10"/>
      <c r="CP181" s="58"/>
      <c r="CQ181" s="23"/>
      <c r="CR181" s="61"/>
      <c r="CS181" s="61"/>
      <c r="CT181" s="61"/>
      <c r="CU181" s="61"/>
      <c r="CV181" s="60"/>
      <c r="DE181" s="43"/>
      <c r="DH181" s="1029" t="s">
        <v>5701</v>
      </c>
      <c r="DI181" s="1029" t="s">
        <v>5702</v>
      </c>
      <c r="DJ181" s="1173"/>
      <c r="DK181" s="1029" t="str">
        <f t="shared" si="31"/>
        <v>10903314</v>
      </c>
      <c r="DL181" s="1031" t="s">
        <v>5705</v>
      </c>
      <c r="DM181" s="1031" t="s">
        <v>5706</v>
      </c>
      <c r="DN181" s="1032" t="str">
        <f>IF(O32="タクシー","17","01")</f>
        <v>01</v>
      </c>
      <c r="DO181" s="21"/>
      <c r="DP181" s="21"/>
      <c r="DQ181" s="468"/>
      <c r="DR181" s="468"/>
      <c r="DS181" s="468"/>
      <c r="DT181" s="468"/>
      <c r="DU181" s="468"/>
      <c r="DV181" s="31"/>
      <c r="DX181" s="115"/>
      <c r="DY181" s="115"/>
    </row>
    <row r="182" spans="1:129" ht="19.5" customHeight="1">
      <c r="A182" s="186"/>
      <c r="B182" s="249"/>
      <c r="C182" s="1874" t="s">
        <v>3573</v>
      </c>
      <c r="D182" s="1875"/>
      <c r="E182" s="1875"/>
      <c r="F182" s="1875"/>
      <c r="G182" s="1875"/>
      <c r="H182" s="1875"/>
      <c r="I182" s="1875"/>
      <c r="J182" s="1875"/>
      <c r="K182" s="1875"/>
      <c r="L182" s="1875"/>
      <c r="M182" s="1875"/>
      <c r="N182" s="1900" t="s">
        <v>3826</v>
      </c>
      <c r="O182" s="1900"/>
      <c r="P182" s="1900"/>
      <c r="Q182" s="1900"/>
      <c r="R182" s="1900" t="s">
        <v>3826</v>
      </c>
      <c r="S182" s="1900"/>
      <c r="T182" s="1900"/>
      <c r="U182" s="1900"/>
      <c r="V182" s="1901" t="s">
        <v>3852</v>
      </c>
      <c r="W182" s="1902"/>
      <c r="X182" s="1902"/>
      <c r="Y182" s="1902"/>
      <c r="Z182" s="1902"/>
      <c r="AA182" s="1902"/>
      <c r="AB182" s="1902"/>
      <c r="AC182" s="1902"/>
      <c r="AD182" s="1902"/>
      <c r="AE182" s="1902"/>
      <c r="AF182" s="1902"/>
      <c r="AG182" s="1902"/>
      <c r="AH182" s="1902"/>
      <c r="AI182" s="1902"/>
      <c r="AJ182" s="1902"/>
      <c r="AK182" s="1902"/>
      <c r="AL182" s="1902"/>
      <c r="AM182" s="1902"/>
      <c r="AN182" s="1902"/>
      <c r="AO182" s="1902"/>
      <c r="AP182" s="1902"/>
      <c r="AQ182" s="1902"/>
      <c r="AR182" s="1902"/>
      <c r="AS182" s="1902"/>
      <c r="AT182" s="1902"/>
      <c r="AU182" s="234"/>
      <c r="AX182" s="664" t="s">
        <v>2269</v>
      </c>
      <c r="AY182" s="664" t="s">
        <v>2329</v>
      </c>
      <c r="AZ182" s="151"/>
      <c r="BA182" s="666" t="s">
        <v>2330</v>
      </c>
      <c r="BB182" s="152"/>
      <c r="BC182" s="668" t="s">
        <v>2331</v>
      </c>
      <c r="BD182" s="667" t="s">
        <v>2332</v>
      </c>
      <c r="BE182" s="158"/>
      <c r="BF182" s="667" t="s">
        <v>2333</v>
      </c>
      <c r="BG182" s="158"/>
      <c r="BH182" s="667" t="s">
        <v>2334</v>
      </c>
      <c r="BI182" s="158"/>
      <c r="BZ182" s="120"/>
      <c r="CA182" s="22"/>
      <c r="CB182" s="204"/>
      <c r="CD182" s="145"/>
      <c r="CE182" s="145"/>
      <c r="CF182" s="145"/>
      <c r="CG182" s="31"/>
      <c r="CH182" s="86"/>
      <c r="CI182" s="57"/>
      <c r="CJ182" s="57"/>
      <c r="CK182" s="57"/>
      <c r="CL182" s="57"/>
      <c r="CO182" s="10"/>
      <c r="CP182" s="58"/>
      <c r="CQ182" s="23"/>
      <c r="CR182" s="61"/>
      <c r="CS182" s="61"/>
      <c r="CT182" s="61"/>
      <c r="CU182" s="61"/>
      <c r="CV182" s="60"/>
      <c r="DE182" s="43"/>
      <c r="DH182" s="1029" t="s">
        <v>5701</v>
      </c>
      <c r="DI182" s="1029" t="s">
        <v>5703</v>
      </c>
      <c r="DJ182" s="1173"/>
      <c r="DK182" s="1029" t="str">
        <f t="shared" si="31"/>
        <v>10903316</v>
      </c>
      <c r="DL182" s="1031" t="s">
        <v>5705</v>
      </c>
      <c r="DM182" s="1031" t="s">
        <v>5707</v>
      </c>
      <c r="DN182" s="1032">
        <f>IF(AS31="包括",1,4)</f>
        <v>1</v>
      </c>
      <c r="DO182" s="21"/>
      <c r="DP182" s="21"/>
      <c r="DQ182" s="468"/>
      <c r="DR182" s="468"/>
      <c r="DS182" s="468"/>
      <c r="DT182" s="468"/>
      <c r="DU182" s="468"/>
      <c r="DV182" s="31"/>
      <c r="DX182" s="115"/>
      <c r="DY182" s="115"/>
    </row>
    <row r="183" spans="1:129" ht="19.5" customHeight="1">
      <c r="A183" s="186"/>
      <c r="B183" s="249"/>
      <c r="C183" s="1875"/>
      <c r="D183" s="1875"/>
      <c r="E183" s="1875"/>
      <c r="F183" s="1875"/>
      <c r="G183" s="1875"/>
      <c r="H183" s="1875"/>
      <c r="I183" s="1875"/>
      <c r="J183" s="1875"/>
      <c r="K183" s="1875"/>
      <c r="L183" s="1875"/>
      <c r="M183" s="1875"/>
      <c r="N183" s="1900"/>
      <c r="O183" s="1900"/>
      <c r="P183" s="1900"/>
      <c r="Q183" s="1900"/>
      <c r="R183" s="1900"/>
      <c r="S183" s="1900"/>
      <c r="T183" s="1900"/>
      <c r="U183" s="1900"/>
      <c r="V183" s="1902"/>
      <c r="W183" s="1902"/>
      <c r="X183" s="1902"/>
      <c r="Y183" s="1902"/>
      <c r="Z183" s="1902"/>
      <c r="AA183" s="1902"/>
      <c r="AB183" s="1902"/>
      <c r="AC183" s="1902"/>
      <c r="AD183" s="1902"/>
      <c r="AE183" s="1902"/>
      <c r="AF183" s="1902"/>
      <c r="AG183" s="1902"/>
      <c r="AH183" s="1902"/>
      <c r="AI183" s="1902"/>
      <c r="AJ183" s="1902"/>
      <c r="AK183" s="1902"/>
      <c r="AL183" s="1902"/>
      <c r="AM183" s="1902"/>
      <c r="AN183" s="1902"/>
      <c r="AO183" s="1902"/>
      <c r="AP183" s="1902"/>
      <c r="AQ183" s="1902"/>
      <c r="AR183" s="1902"/>
      <c r="AS183" s="1902"/>
      <c r="AT183" s="1902"/>
      <c r="AU183" s="234"/>
      <c r="AX183" s="664" t="s">
        <v>2270</v>
      </c>
      <c r="AY183" s="664" t="s">
        <v>2335</v>
      </c>
      <c r="AZ183" s="151"/>
      <c r="BA183" s="666" t="s">
        <v>2336</v>
      </c>
      <c r="BB183" s="152"/>
      <c r="BC183" s="152"/>
      <c r="BD183" s="667" t="s">
        <v>2337</v>
      </c>
      <c r="BE183" s="158"/>
      <c r="BF183" s="667" t="s">
        <v>2338</v>
      </c>
      <c r="BG183" s="158"/>
      <c r="BH183" s="667" t="s">
        <v>2339</v>
      </c>
      <c r="BI183" s="158"/>
      <c r="BZ183" s="120"/>
      <c r="CA183" s="22"/>
      <c r="CB183" s="204"/>
      <c r="CD183" s="145"/>
      <c r="CE183" s="145"/>
      <c r="CF183" s="145"/>
      <c r="CG183" s="31"/>
      <c r="CH183" s="86"/>
      <c r="CI183" s="57"/>
      <c r="CJ183" s="57"/>
      <c r="CK183" s="57"/>
      <c r="CL183" s="57"/>
      <c r="CO183" s="10"/>
      <c r="CP183" s="58"/>
      <c r="CQ183" s="10"/>
      <c r="CR183" s="61"/>
      <c r="CS183" s="61"/>
      <c r="CT183" s="61"/>
      <c r="CU183" s="61"/>
      <c r="CV183" s="60"/>
      <c r="DE183" s="43"/>
      <c r="DH183" s="1029" t="s">
        <v>5701</v>
      </c>
      <c r="DI183" s="1029" t="s">
        <v>5704</v>
      </c>
      <c r="DJ183" s="1173"/>
      <c r="DK183" s="1029" t="str">
        <f t="shared" si="31"/>
        <v>10903317</v>
      </c>
      <c r="DL183" s="1031" t="s">
        <v>5705</v>
      </c>
      <c r="DM183" s="1031" t="s">
        <v>5708</v>
      </c>
      <c r="DN183" s="1032" t="str">
        <f>TEXT(記入シート1!AI85,"0000")&amp;TEXT(記入シート1!AM85,"00")&amp;TEXT(記入シート1!AQ85,"00")</f>
        <v>00000000</v>
      </c>
      <c r="DO183" s="21"/>
      <c r="DP183" s="21"/>
      <c r="DQ183" s="468"/>
      <c r="DR183" s="468"/>
      <c r="DS183" s="468"/>
      <c r="DT183" s="468"/>
      <c r="DU183" s="468"/>
      <c r="DV183" s="31"/>
      <c r="DX183" s="115"/>
      <c r="DY183" s="115"/>
    </row>
    <row r="184" spans="1:129" ht="19.5" customHeight="1">
      <c r="A184" s="186"/>
      <c r="B184" s="249"/>
      <c r="C184" s="1874" t="s">
        <v>3828</v>
      </c>
      <c r="D184" s="1874"/>
      <c r="E184" s="1874"/>
      <c r="F184" s="1874"/>
      <c r="G184" s="1874"/>
      <c r="H184" s="1874"/>
      <c r="I184" s="1874"/>
      <c r="J184" s="1874"/>
      <c r="K184" s="1874"/>
      <c r="L184" s="1874"/>
      <c r="M184" s="1874"/>
      <c r="N184" s="1876" t="s">
        <v>3826</v>
      </c>
      <c r="O184" s="1876"/>
      <c r="P184" s="1876"/>
      <c r="Q184" s="1876"/>
      <c r="R184" s="1876" t="s">
        <v>3827</v>
      </c>
      <c r="S184" s="1876"/>
      <c r="T184" s="1876"/>
      <c r="U184" s="1876"/>
      <c r="V184" s="1902"/>
      <c r="W184" s="1902"/>
      <c r="X184" s="1902"/>
      <c r="Y184" s="1902"/>
      <c r="Z184" s="1902"/>
      <c r="AA184" s="1902"/>
      <c r="AB184" s="1902"/>
      <c r="AC184" s="1902"/>
      <c r="AD184" s="1902"/>
      <c r="AE184" s="1902"/>
      <c r="AF184" s="1902"/>
      <c r="AG184" s="1902"/>
      <c r="AH184" s="1902"/>
      <c r="AI184" s="1902"/>
      <c r="AJ184" s="1902"/>
      <c r="AK184" s="1902"/>
      <c r="AL184" s="1902"/>
      <c r="AM184" s="1902"/>
      <c r="AN184" s="1902"/>
      <c r="AO184" s="1902"/>
      <c r="AP184" s="1902"/>
      <c r="AQ184" s="1902"/>
      <c r="AR184" s="1902"/>
      <c r="AS184" s="1902"/>
      <c r="AT184" s="1902"/>
      <c r="AU184" s="234"/>
      <c r="AX184" s="664" t="s">
        <v>2271</v>
      </c>
      <c r="AY184" s="664" t="s">
        <v>2340</v>
      </c>
      <c r="AZ184" s="151"/>
      <c r="BA184" s="666" t="s">
        <v>2341</v>
      </c>
      <c r="BB184" s="152"/>
      <c r="BC184" s="152"/>
      <c r="BD184" s="667" t="s">
        <v>2342</v>
      </c>
      <c r="BE184" s="158"/>
      <c r="BF184" s="667" t="s">
        <v>2343</v>
      </c>
      <c r="BG184" s="158"/>
      <c r="BH184" s="667" t="s">
        <v>2344</v>
      </c>
      <c r="BI184" s="158"/>
      <c r="CA184" s="22"/>
      <c r="CB184" s="204"/>
      <c r="CD184" s="145"/>
      <c r="CE184" s="145"/>
      <c r="CF184" s="145"/>
      <c r="CG184" s="31"/>
      <c r="CH184" s="86"/>
      <c r="CI184" s="57"/>
      <c r="CJ184" s="57"/>
      <c r="CK184" s="57"/>
      <c r="CL184" s="57"/>
      <c r="CO184" s="10"/>
      <c r="CP184" s="58"/>
      <c r="CQ184" s="23"/>
      <c r="CR184" s="61"/>
      <c r="CS184" s="61"/>
      <c r="CT184" s="61"/>
      <c r="CU184" s="61"/>
      <c r="CV184" s="60"/>
      <c r="DE184" s="43"/>
      <c r="DH184" s="1388" t="s">
        <v>5720</v>
      </c>
      <c r="DI184" s="1029" t="s">
        <v>2170</v>
      </c>
      <c r="DJ184" s="1173"/>
      <c r="DK184" s="1029" t="str">
        <f t="shared" si="31"/>
        <v>94901QD2</v>
      </c>
      <c r="DL184" s="1031" t="s">
        <v>5722</v>
      </c>
      <c r="DM184" s="1031" t="s">
        <v>5723</v>
      </c>
      <c r="DN184" s="1032" t="str">
        <f>T(記入シート1!I67)</f>
        <v/>
      </c>
      <c r="DO184" s="21"/>
      <c r="DP184" s="21"/>
      <c r="DQ184" s="468"/>
      <c r="DR184" s="468"/>
      <c r="DS184" s="468"/>
      <c r="DT184" s="468"/>
      <c r="DU184" s="468"/>
      <c r="DV184" s="31"/>
      <c r="DX184" s="115"/>
      <c r="DY184" s="115"/>
    </row>
    <row r="185" spans="1:129" ht="19.5" customHeight="1">
      <c r="A185" s="186"/>
      <c r="B185" s="249"/>
      <c r="C185" s="1874"/>
      <c r="D185" s="1874"/>
      <c r="E185" s="1874"/>
      <c r="F185" s="1874"/>
      <c r="G185" s="1874"/>
      <c r="H185" s="1874"/>
      <c r="I185" s="1874"/>
      <c r="J185" s="1874"/>
      <c r="K185" s="1874"/>
      <c r="L185" s="1874"/>
      <c r="M185" s="1874"/>
      <c r="N185" s="1876"/>
      <c r="O185" s="1876"/>
      <c r="P185" s="1876"/>
      <c r="Q185" s="1876"/>
      <c r="R185" s="1876"/>
      <c r="S185" s="1876"/>
      <c r="T185" s="1876"/>
      <c r="U185" s="1876"/>
      <c r="V185" s="1902"/>
      <c r="W185" s="1902"/>
      <c r="X185" s="1902"/>
      <c r="Y185" s="1902"/>
      <c r="Z185" s="1902"/>
      <c r="AA185" s="1902"/>
      <c r="AB185" s="1902"/>
      <c r="AC185" s="1902"/>
      <c r="AD185" s="1902"/>
      <c r="AE185" s="1902"/>
      <c r="AF185" s="1902"/>
      <c r="AG185" s="1902"/>
      <c r="AH185" s="1902"/>
      <c r="AI185" s="1902"/>
      <c r="AJ185" s="1902"/>
      <c r="AK185" s="1902"/>
      <c r="AL185" s="1902"/>
      <c r="AM185" s="1902"/>
      <c r="AN185" s="1902"/>
      <c r="AO185" s="1902"/>
      <c r="AP185" s="1902"/>
      <c r="AQ185" s="1902"/>
      <c r="AR185" s="1902"/>
      <c r="AS185" s="1902"/>
      <c r="AT185" s="1902"/>
      <c r="AU185" s="234"/>
      <c r="AX185" s="664" t="s">
        <v>2272</v>
      </c>
      <c r="AY185" s="664" t="s">
        <v>2345</v>
      </c>
      <c r="AZ185" s="151"/>
      <c r="BA185" s="666" t="s">
        <v>2346</v>
      </c>
      <c r="BB185" s="152"/>
      <c r="BC185" s="152"/>
      <c r="BD185" s="667" t="s">
        <v>2347</v>
      </c>
      <c r="BE185" s="158"/>
      <c r="BF185" s="667" t="s">
        <v>2348</v>
      </c>
      <c r="BG185" s="158"/>
      <c r="BH185" s="669" t="s">
        <v>2349</v>
      </c>
      <c r="BI185" s="158"/>
      <c r="CA185" s="22"/>
      <c r="CB185" s="204"/>
      <c r="CD185" s="145"/>
      <c r="CE185" s="145"/>
      <c r="CF185" s="145"/>
      <c r="CG185" s="31"/>
      <c r="CH185" s="86"/>
      <c r="CI185" s="57"/>
      <c r="CJ185" s="57"/>
      <c r="CK185" s="57"/>
      <c r="CL185" s="57"/>
      <c r="CO185" s="10"/>
      <c r="CP185" s="58"/>
      <c r="CQ185" s="23"/>
      <c r="CR185" s="61"/>
      <c r="CS185" s="61"/>
      <c r="CT185" s="61"/>
      <c r="CU185" s="61"/>
      <c r="CV185" s="60"/>
      <c r="DE185" s="43"/>
      <c r="DH185" s="1388" t="s">
        <v>5720</v>
      </c>
      <c r="DI185" s="1029" t="s">
        <v>2171</v>
      </c>
      <c r="DJ185" s="1173"/>
      <c r="DK185" s="1029" t="str">
        <f t="shared" si="31"/>
        <v>94901QD3</v>
      </c>
      <c r="DL185" s="1031" t="s">
        <v>5722</v>
      </c>
      <c r="DM185" s="1031" t="s">
        <v>5724</v>
      </c>
      <c r="DN185" s="1032" t="str">
        <f>"15"</f>
        <v>15</v>
      </c>
      <c r="DO185" s="21"/>
      <c r="DV185" s="31"/>
      <c r="DX185" s="115"/>
      <c r="DY185" s="115"/>
    </row>
    <row r="186" spans="1:129" ht="19.5" customHeight="1">
      <c r="A186" s="186"/>
      <c r="B186" s="249"/>
      <c r="C186" s="1874"/>
      <c r="D186" s="1874"/>
      <c r="E186" s="1874"/>
      <c r="F186" s="1874"/>
      <c r="G186" s="1874"/>
      <c r="H186" s="1874"/>
      <c r="I186" s="1874"/>
      <c r="J186" s="1874"/>
      <c r="K186" s="1874"/>
      <c r="L186" s="1874"/>
      <c r="M186" s="1874"/>
      <c r="N186" s="1876"/>
      <c r="O186" s="1876"/>
      <c r="P186" s="1876"/>
      <c r="Q186" s="1876"/>
      <c r="R186" s="1876"/>
      <c r="S186" s="1876"/>
      <c r="T186" s="1876"/>
      <c r="U186" s="1876"/>
      <c r="V186" s="1902"/>
      <c r="W186" s="1902"/>
      <c r="X186" s="1902"/>
      <c r="Y186" s="1902"/>
      <c r="Z186" s="1902"/>
      <c r="AA186" s="1902"/>
      <c r="AB186" s="1902"/>
      <c r="AC186" s="1902"/>
      <c r="AD186" s="1902"/>
      <c r="AE186" s="1902"/>
      <c r="AF186" s="1902"/>
      <c r="AG186" s="1902"/>
      <c r="AH186" s="1902"/>
      <c r="AI186" s="1902"/>
      <c r="AJ186" s="1902"/>
      <c r="AK186" s="1902"/>
      <c r="AL186" s="1902"/>
      <c r="AM186" s="1902"/>
      <c r="AN186" s="1902"/>
      <c r="AO186" s="1902"/>
      <c r="AP186" s="1902"/>
      <c r="AQ186" s="1902"/>
      <c r="AR186" s="1902"/>
      <c r="AS186" s="1902"/>
      <c r="AT186" s="1902"/>
      <c r="AU186" s="234"/>
      <c r="AX186" s="664" t="s">
        <v>2273</v>
      </c>
      <c r="AY186" s="664" t="s">
        <v>2350</v>
      </c>
      <c r="AZ186" s="151"/>
      <c r="BA186" s="667" t="s">
        <v>2351</v>
      </c>
      <c r="BB186" s="158"/>
      <c r="BC186" s="152"/>
      <c r="BD186" s="667" t="s">
        <v>2352</v>
      </c>
      <c r="BE186" s="158"/>
      <c r="BF186" s="669" t="s">
        <v>2353</v>
      </c>
      <c r="BG186" s="158"/>
      <c r="BH186" s="158"/>
      <c r="BI186" s="158"/>
      <c r="CA186" s="22"/>
      <c r="CB186" s="204"/>
      <c r="CD186" s="145"/>
      <c r="CE186" s="145"/>
      <c r="CF186" s="145"/>
      <c r="CG186" s="31"/>
      <c r="CH186" s="86"/>
      <c r="CI186" s="57"/>
      <c r="CJ186" s="57"/>
      <c r="CK186" s="57"/>
      <c r="CL186" s="57"/>
      <c r="CO186" s="10"/>
      <c r="CP186" s="58"/>
      <c r="CQ186" s="23"/>
      <c r="CR186" s="61"/>
      <c r="CS186" s="61"/>
      <c r="CT186" s="61"/>
      <c r="CU186" s="61"/>
      <c r="CV186" s="60"/>
      <c r="DE186" s="43"/>
      <c r="DH186" s="1388" t="s">
        <v>5720</v>
      </c>
      <c r="DI186" s="1029" t="s">
        <v>3245</v>
      </c>
      <c r="DJ186" s="1173"/>
      <c r="DK186" s="1029" t="str">
        <f t="shared" si="31"/>
        <v>94901QD4</v>
      </c>
      <c r="DL186" s="1031" t="s">
        <v>5722</v>
      </c>
      <c r="DM186" s="1031" t="s">
        <v>5725</v>
      </c>
      <c r="DN186" s="1032" t="str">
        <f>T(記入シート1!I31)</f>
        <v/>
      </c>
      <c r="DO186" s="21"/>
      <c r="DV186" s="31"/>
      <c r="DX186" s="115"/>
      <c r="DY186" s="115"/>
    </row>
    <row r="187" spans="1:129" ht="19.5" customHeight="1">
      <c r="A187" s="186"/>
      <c r="B187" s="249"/>
      <c r="C187" s="1874"/>
      <c r="D187" s="1874"/>
      <c r="E187" s="1874"/>
      <c r="F187" s="1874"/>
      <c r="G187" s="1874"/>
      <c r="H187" s="1874"/>
      <c r="I187" s="1874"/>
      <c r="J187" s="1874"/>
      <c r="K187" s="1874"/>
      <c r="L187" s="1874"/>
      <c r="M187" s="1874"/>
      <c r="N187" s="1876"/>
      <c r="O187" s="1876"/>
      <c r="P187" s="1876"/>
      <c r="Q187" s="1876"/>
      <c r="R187" s="1876"/>
      <c r="S187" s="1876"/>
      <c r="T187" s="1876"/>
      <c r="U187" s="1876"/>
      <c r="V187" s="1902"/>
      <c r="W187" s="1902"/>
      <c r="X187" s="1902"/>
      <c r="Y187" s="1902"/>
      <c r="Z187" s="1902"/>
      <c r="AA187" s="1902"/>
      <c r="AB187" s="1902"/>
      <c r="AC187" s="1902"/>
      <c r="AD187" s="1902"/>
      <c r="AE187" s="1902"/>
      <c r="AF187" s="1902"/>
      <c r="AG187" s="1902"/>
      <c r="AH187" s="1902"/>
      <c r="AI187" s="1902"/>
      <c r="AJ187" s="1902"/>
      <c r="AK187" s="1902"/>
      <c r="AL187" s="1902"/>
      <c r="AM187" s="1902"/>
      <c r="AN187" s="1902"/>
      <c r="AO187" s="1902"/>
      <c r="AP187" s="1902"/>
      <c r="AQ187" s="1902"/>
      <c r="AR187" s="1902"/>
      <c r="AS187" s="1902"/>
      <c r="AT187" s="1902"/>
      <c r="AU187" s="234"/>
      <c r="AX187" s="787" t="s">
        <v>2274</v>
      </c>
      <c r="AY187" s="664" t="s">
        <v>2354</v>
      </c>
      <c r="AZ187" s="151"/>
      <c r="BA187" s="669" t="s">
        <v>2355</v>
      </c>
      <c r="BB187" s="158"/>
      <c r="BC187" s="152"/>
      <c r="BD187" s="667" t="s">
        <v>2356</v>
      </c>
      <c r="BE187" s="158"/>
      <c r="BF187" s="158"/>
      <c r="BG187" s="158"/>
      <c r="BH187" s="158"/>
      <c r="BI187" s="158"/>
      <c r="CA187" s="22"/>
      <c r="CB187" s="204"/>
      <c r="CD187" s="145"/>
      <c r="CE187" s="145"/>
      <c r="CF187" s="145"/>
      <c r="CG187" s="31"/>
      <c r="CH187" s="86"/>
      <c r="CI187" s="57"/>
      <c r="CJ187" s="57"/>
      <c r="CK187" s="57"/>
      <c r="CL187" s="57"/>
      <c r="CO187" s="10"/>
      <c r="CP187" s="58"/>
      <c r="CQ187" s="23"/>
      <c r="CR187" s="61"/>
      <c r="CS187" s="61"/>
      <c r="CT187" s="61"/>
      <c r="CU187" s="61"/>
      <c r="CV187" s="60"/>
      <c r="DE187" s="43"/>
      <c r="DH187" s="1388" t="s">
        <v>5720</v>
      </c>
      <c r="DI187" s="1029" t="s">
        <v>3246</v>
      </c>
      <c r="DJ187" s="1173"/>
      <c r="DK187" s="1029" t="str">
        <f t="shared" si="31"/>
        <v>94901QD5</v>
      </c>
      <c r="DL187" s="1031" t="s">
        <v>5722</v>
      </c>
      <c r="DM187" s="1031" t="s">
        <v>5726</v>
      </c>
      <c r="DN187" s="1032" t="str">
        <f>T(記入シート1!AB64)</f>
        <v/>
      </c>
      <c r="DO187" s="21"/>
      <c r="DV187" s="31"/>
      <c r="DX187" s="115"/>
      <c r="DY187" s="115"/>
    </row>
    <row r="188" spans="1:129" ht="19.5" customHeight="1">
      <c r="A188" s="186"/>
      <c r="B188" s="249"/>
      <c r="C188" s="1874" t="s">
        <v>3829</v>
      </c>
      <c r="D188" s="1875"/>
      <c r="E188" s="1875"/>
      <c r="F188" s="1875"/>
      <c r="G188" s="1875"/>
      <c r="H188" s="1875"/>
      <c r="I188" s="1875"/>
      <c r="J188" s="1875"/>
      <c r="K188" s="1875"/>
      <c r="L188" s="1875"/>
      <c r="M188" s="1875"/>
      <c r="N188" s="1876" t="s">
        <v>3826</v>
      </c>
      <c r="O188" s="1876"/>
      <c r="P188" s="1876"/>
      <c r="Q188" s="1876"/>
      <c r="R188" s="1876" t="s">
        <v>3826</v>
      </c>
      <c r="S188" s="1876"/>
      <c r="T188" s="1876"/>
      <c r="U188" s="1876"/>
      <c r="V188" s="1902"/>
      <c r="W188" s="1902"/>
      <c r="X188" s="1902"/>
      <c r="Y188" s="1902"/>
      <c r="Z188" s="1902"/>
      <c r="AA188" s="1902"/>
      <c r="AB188" s="1902"/>
      <c r="AC188" s="1902"/>
      <c r="AD188" s="1902"/>
      <c r="AE188" s="1902"/>
      <c r="AF188" s="1902"/>
      <c r="AG188" s="1902"/>
      <c r="AH188" s="1902"/>
      <c r="AI188" s="1902"/>
      <c r="AJ188" s="1902"/>
      <c r="AK188" s="1902"/>
      <c r="AL188" s="1902"/>
      <c r="AM188" s="1902"/>
      <c r="AN188" s="1902"/>
      <c r="AO188" s="1902"/>
      <c r="AP188" s="1902"/>
      <c r="AQ188" s="1902"/>
      <c r="AR188" s="1902"/>
      <c r="AS188" s="1902"/>
      <c r="AT188" s="1902"/>
      <c r="AU188" s="234"/>
      <c r="AX188" s="166"/>
      <c r="AY188" s="664" t="s">
        <v>2357</v>
      </c>
      <c r="AZ188" s="151"/>
      <c r="BA188" s="158"/>
      <c r="BB188" s="158"/>
      <c r="BC188" s="152"/>
      <c r="BD188" s="667" t="s">
        <v>2358</v>
      </c>
      <c r="BE188" s="158"/>
      <c r="BF188" s="158"/>
      <c r="BG188" s="158"/>
      <c r="BH188" s="158"/>
      <c r="BI188" s="158"/>
      <c r="CA188" s="22"/>
      <c r="CB188" s="204"/>
      <c r="CD188" s="145"/>
      <c r="CE188" s="145"/>
      <c r="CF188" s="145"/>
      <c r="CG188" s="31"/>
      <c r="CH188" s="86"/>
      <c r="CI188" s="57"/>
      <c r="CJ188" s="57"/>
      <c r="CK188" s="57"/>
      <c r="CL188" s="57"/>
      <c r="CO188" s="10"/>
      <c r="CP188" s="58"/>
      <c r="CQ188" s="23"/>
      <c r="CR188" s="61"/>
      <c r="CS188" s="61"/>
      <c r="CT188" s="61"/>
      <c r="CU188" s="61"/>
      <c r="CV188" s="60"/>
      <c r="DE188" s="43"/>
      <c r="DH188" s="1388" t="s">
        <v>5720</v>
      </c>
      <c r="DI188" s="1029" t="s">
        <v>3247</v>
      </c>
      <c r="DJ188" s="1173"/>
      <c r="DK188" s="1029" t="str">
        <f t="shared" si="31"/>
        <v>94901QD6</v>
      </c>
      <c r="DL188" s="1031" t="s">
        <v>5722</v>
      </c>
      <c r="DM188" s="1031" t="s">
        <v>5727</v>
      </c>
      <c r="DN188" s="1032" t="str">
        <f>T(記入シート1!AB67)</f>
        <v/>
      </c>
      <c r="DV188" s="31"/>
      <c r="DX188" s="115"/>
      <c r="DY188" s="115"/>
    </row>
    <row r="189" spans="1:129" ht="19.5" customHeight="1">
      <c r="A189" s="186"/>
      <c r="B189" s="249"/>
      <c r="C189" s="1875"/>
      <c r="D189" s="1875"/>
      <c r="E189" s="1875"/>
      <c r="F189" s="1875"/>
      <c r="G189" s="1875"/>
      <c r="H189" s="1875"/>
      <c r="I189" s="1875"/>
      <c r="J189" s="1875"/>
      <c r="K189" s="1875"/>
      <c r="L189" s="1875"/>
      <c r="M189" s="1875"/>
      <c r="N189" s="1876"/>
      <c r="O189" s="1876"/>
      <c r="P189" s="1876"/>
      <c r="Q189" s="1876"/>
      <c r="R189" s="1876"/>
      <c r="S189" s="1876"/>
      <c r="T189" s="1876"/>
      <c r="U189" s="1876"/>
      <c r="V189" s="1902"/>
      <c r="W189" s="1902"/>
      <c r="X189" s="1902"/>
      <c r="Y189" s="1902"/>
      <c r="Z189" s="1902"/>
      <c r="AA189" s="1902"/>
      <c r="AB189" s="1902"/>
      <c r="AC189" s="1902"/>
      <c r="AD189" s="1902"/>
      <c r="AE189" s="1902"/>
      <c r="AF189" s="1902"/>
      <c r="AG189" s="1902"/>
      <c r="AH189" s="1902"/>
      <c r="AI189" s="1902"/>
      <c r="AJ189" s="1902"/>
      <c r="AK189" s="1902"/>
      <c r="AL189" s="1902"/>
      <c r="AM189" s="1902"/>
      <c r="AN189" s="1902"/>
      <c r="AO189" s="1902"/>
      <c r="AP189" s="1902"/>
      <c r="AQ189" s="1902"/>
      <c r="AR189" s="1902"/>
      <c r="AS189" s="1902"/>
      <c r="AT189" s="1902"/>
      <c r="AU189" s="234"/>
      <c r="AX189" s="166"/>
      <c r="AY189" s="664" t="s">
        <v>2359</v>
      </c>
      <c r="AZ189" s="151"/>
      <c r="BA189" s="158"/>
      <c r="BB189" s="158"/>
      <c r="BC189" s="152"/>
      <c r="BD189" s="667" t="s">
        <v>2360</v>
      </c>
      <c r="BE189" s="158"/>
      <c r="BF189" s="158"/>
      <c r="BG189" s="158"/>
      <c r="BH189" s="158"/>
      <c r="BI189" s="158"/>
      <c r="CA189" s="14"/>
      <c r="CB189" s="204"/>
      <c r="CD189" s="145"/>
      <c r="CE189" s="145"/>
      <c r="CF189" s="145"/>
      <c r="CG189" s="31"/>
      <c r="CH189" s="86"/>
      <c r="CI189" s="57"/>
      <c r="CJ189" s="57"/>
      <c r="CK189" s="57"/>
      <c r="CL189" s="57"/>
      <c r="CO189" s="10"/>
      <c r="CP189" s="58"/>
      <c r="CQ189" s="23"/>
      <c r="CR189" s="61"/>
      <c r="CS189" s="61"/>
      <c r="CT189" s="61"/>
      <c r="CU189" s="61"/>
      <c r="CV189" s="60"/>
      <c r="DE189" s="43"/>
      <c r="DH189" s="1388" t="s">
        <v>5720</v>
      </c>
      <c r="DI189" s="1029" t="s">
        <v>3251</v>
      </c>
      <c r="DJ189" s="1173"/>
      <c r="DK189" s="1029" t="str">
        <f t="shared" si="31"/>
        <v>94901QD7</v>
      </c>
      <c r="DL189" s="1031" t="s">
        <v>5722</v>
      </c>
      <c r="DM189" s="1031" t="s">
        <v>5728</v>
      </c>
      <c r="DN189" s="1374" t="str">
        <f>""</f>
        <v/>
      </c>
      <c r="DV189" s="31"/>
      <c r="DX189" s="115"/>
      <c r="DY189" s="115"/>
    </row>
    <row r="190" spans="1:129" ht="19.5" customHeight="1">
      <c r="A190" s="186"/>
      <c r="B190" s="249"/>
      <c r="C190" s="1874" t="s">
        <v>3830</v>
      </c>
      <c r="D190" s="1875"/>
      <c r="E190" s="1875"/>
      <c r="F190" s="1875"/>
      <c r="G190" s="1875"/>
      <c r="H190" s="1875"/>
      <c r="I190" s="1875"/>
      <c r="J190" s="1875"/>
      <c r="K190" s="1875"/>
      <c r="L190" s="1875"/>
      <c r="M190" s="1875"/>
      <c r="N190" s="1876" t="s">
        <v>3827</v>
      </c>
      <c r="O190" s="1876"/>
      <c r="P190" s="1876"/>
      <c r="Q190" s="1876"/>
      <c r="R190" s="1876" t="s">
        <v>3826</v>
      </c>
      <c r="S190" s="1876"/>
      <c r="T190" s="1876"/>
      <c r="U190" s="1876"/>
      <c r="V190" s="1877"/>
      <c r="W190" s="1877"/>
      <c r="X190" s="1877"/>
      <c r="Y190" s="1877"/>
      <c r="Z190" s="1877"/>
      <c r="AA190" s="1877"/>
      <c r="AB190" s="1877"/>
      <c r="AC190" s="1877"/>
      <c r="AD190" s="1877"/>
      <c r="AE190" s="1877"/>
      <c r="AF190" s="1877"/>
      <c r="AG190" s="1877"/>
      <c r="AH190" s="1877"/>
      <c r="AI190" s="1877"/>
      <c r="AJ190" s="1877"/>
      <c r="AK190" s="1877"/>
      <c r="AL190" s="1877"/>
      <c r="AM190" s="1877"/>
      <c r="AN190" s="1877"/>
      <c r="AO190" s="1877"/>
      <c r="AP190" s="1877"/>
      <c r="AQ190" s="1877"/>
      <c r="AR190" s="1877"/>
      <c r="AS190" s="1877"/>
      <c r="AT190" s="1877"/>
      <c r="AU190" s="234"/>
      <c r="AX190" s="166"/>
      <c r="AY190" s="664" t="s">
        <v>2361</v>
      </c>
      <c r="AZ190" s="151"/>
      <c r="BA190" s="158"/>
      <c r="BB190" s="158"/>
      <c r="BC190" s="152"/>
      <c r="BD190" s="667" t="s">
        <v>2362</v>
      </c>
      <c r="BE190" s="158"/>
      <c r="BF190" s="158"/>
      <c r="BG190" s="158"/>
      <c r="BH190" s="158"/>
      <c r="BI190" s="158"/>
      <c r="CA190" s="14"/>
      <c r="CB190" s="204"/>
      <c r="CC190" s="21"/>
      <c r="CD190" s="145"/>
      <c r="CE190" s="145"/>
      <c r="CF190" s="145"/>
      <c r="CG190" s="31"/>
      <c r="CH190" s="86"/>
      <c r="CI190" s="57"/>
      <c r="CJ190" s="57"/>
      <c r="CK190" s="57"/>
      <c r="CL190" s="57"/>
      <c r="CO190" s="10"/>
      <c r="CP190" s="58"/>
      <c r="CQ190" s="23"/>
      <c r="CR190" s="61"/>
      <c r="CS190" s="61"/>
      <c r="CT190" s="61"/>
      <c r="CU190" s="61"/>
      <c r="CV190" s="60"/>
      <c r="DE190" s="43"/>
      <c r="DH190" s="1388" t="s">
        <v>5720</v>
      </c>
      <c r="DI190" s="1029" t="s">
        <v>3264</v>
      </c>
      <c r="DJ190" s="1173"/>
      <c r="DK190" s="1029" t="str">
        <f t="shared" si="31"/>
        <v>94901QD8</v>
      </c>
      <c r="DL190" s="1031" t="s">
        <v>5722</v>
      </c>
      <c r="DM190" s="1031" t="s">
        <v>5729</v>
      </c>
      <c r="DN190" s="1374" t="str">
        <f>""</f>
        <v/>
      </c>
      <c r="DV190" s="31"/>
      <c r="DX190" s="115"/>
      <c r="DY190" s="115"/>
    </row>
    <row r="191" spans="1:129" ht="19.5" customHeight="1">
      <c r="A191" s="186"/>
      <c r="B191" s="249"/>
      <c r="C191" s="1875"/>
      <c r="D191" s="1875"/>
      <c r="E191" s="1875"/>
      <c r="F191" s="1875"/>
      <c r="G191" s="1875"/>
      <c r="H191" s="1875"/>
      <c r="I191" s="1875"/>
      <c r="J191" s="1875"/>
      <c r="K191" s="1875"/>
      <c r="L191" s="1875"/>
      <c r="M191" s="1875"/>
      <c r="N191" s="1876"/>
      <c r="O191" s="1876"/>
      <c r="P191" s="1876"/>
      <c r="Q191" s="1876"/>
      <c r="R191" s="1876"/>
      <c r="S191" s="1876"/>
      <c r="T191" s="1876"/>
      <c r="U191" s="1876"/>
      <c r="V191" s="1877"/>
      <c r="W191" s="1877"/>
      <c r="X191" s="1877"/>
      <c r="Y191" s="1877"/>
      <c r="Z191" s="1877"/>
      <c r="AA191" s="1877"/>
      <c r="AB191" s="1877"/>
      <c r="AC191" s="1877"/>
      <c r="AD191" s="1877"/>
      <c r="AE191" s="1877"/>
      <c r="AF191" s="1877"/>
      <c r="AG191" s="1877"/>
      <c r="AH191" s="1877"/>
      <c r="AI191" s="1877"/>
      <c r="AJ191" s="1877"/>
      <c r="AK191" s="1877"/>
      <c r="AL191" s="1877"/>
      <c r="AM191" s="1877"/>
      <c r="AN191" s="1877"/>
      <c r="AO191" s="1877"/>
      <c r="AP191" s="1877"/>
      <c r="AQ191" s="1877"/>
      <c r="AR191" s="1877"/>
      <c r="AS191" s="1877"/>
      <c r="AT191" s="1877"/>
      <c r="AU191" s="234"/>
      <c r="AX191" s="166"/>
      <c r="AY191" s="664" t="s">
        <v>2363</v>
      </c>
      <c r="AZ191" s="151"/>
      <c r="BA191" s="158"/>
      <c r="BB191" s="158"/>
      <c r="BC191" s="152"/>
      <c r="BD191" s="667" t="s">
        <v>2364</v>
      </c>
      <c r="BE191" s="158"/>
      <c r="BF191" s="158"/>
      <c r="BG191" s="158"/>
      <c r="BH191" s="158"/>
      <c r="BI191" s="158"/>
      <c r="CA191" s="14"/>
      <c r="CB191" s="206"/>
      <c r="CC191" s="21"/>
      <c r="CD191" s="145"/>
      <c r="CE191" s="145"/>
      <c r="CF191" s="145"/>
      <c r="CG191" s="31"/>
      <c r="CH191" s="86"/>
      <c r="CI191" s="57"/>
      <c r="CJ191" s="57"/>
      <c r="CK191" s="57"/>
      <c r="CL191" s="57"/>
      <c r="CO191" s="10"/>
      <c r="CP191" s="58"/>
      <c r="CQ191" s="10"/>
      <c r="CR191" s="61"/>
      <c r="CS191" s="61"/>
      <c r="CT191" s="61"/>
      <c r="CU191" s="61"/>
      <c r="CV191" s="60"/>
      <c r="DE191" s="43"/>
      <c r="DH191" s="1388" t="s">
        <v>5720</v>
      </c>
      <c r="DI191" s="1029" t="s">
        <v>3270</v>
      </c>
      <c r="DJ191" s="1173"/>
      <c r="DK191" s="1029" t="str">
        <f t="shared" si="31"/>
        <v>94901QD9</v>
      </c>
      <c r="DL191" s="1031" t="s">
        <v>5722</v>
      </c>
      <c r="DM191" s="1031" t="s">
        <v>5730</v>
      </c>
      <c r="DN191" s="1032" t="str">
        <f>"+81"&amp;MID(SUBSTITUTE(ASC(CP22),"-",""),2,15)</f>
        <v>+81</v>
      </c>
      <c r="DV191" s="31"/>
      <c r="DX191" s="115"/>
      <c r="DY191" s="115"/>
    </row>
    <row r="192" spans="1:129" ht="19.5" customHeight="1">
      <c r="A192" s="186"/>
      <c r="B192" s="249"/>
      <c r="C192" s="221" t="s">
        <v>950</v>
      </c>
      <c r="D192" s="221"/>
      <c r="E192" s="221"/>
      <c r="F192" s="221"/>
      <c r="G192" s="221"/>
      <c r="H192" s="221"/>
      <c r="I192" s="221"/>
      <c r="J192" s="218"/>
      <c r="K192" s="218"/>
      <c r="L192" s="218"/>
      <c r="M192" s="218"/>
      <c r="N192" s="218"/>
      <c r="O192" s="218"/>
      <c r="P192" s="218"/>
      <c r="Q192" s="218"/>
      <c r="R192" s="218"/>
      <c r="S192" s="218"/>
      <c r="T192" s="218"/>
      <c r="U192" s="218"/>
      <c r="V192" s="218"/>
      <c r="W192" s="218"/>
      <c r="X192" s="218"/>
      <c r="Y192" s="218"/>
      <c r="Z192" s="218"/>
      <c r="AA192" s="218"/>
      <c r="AB192" s="218"/>
      <c r="AC192" s="218"/>
      <c r="AD192" s="218"/>
      <c r="AE192" s="218"/>
      <c r="AF192" s="218"/>
      <c r="AG192" s="218"/>
      <c r="AH192" s="218"/>
      <c r="AI192" s="218"/>
      <c r="AJ192" s="218"/>
      <c r="AK192" s="218"/>
      <c r="AL192" s="218"/>
      <c r="AM192" s="218"/>
      <c r="AN192" s="218"/>
      <c r="AO192" s="218"/>
      <c r="AP192" s="218"/>
      <c r="AQ192" s="218"/>
      <c r="AR192" s="218"/>
      <c r="AS192" s="218"/>
      <c r="AT192" s="218"/>
      <c r="AU192" s="234"/>
      <c r="AX192" s="166"/>
      <c r="AY192" s="664" t="s">
        <v>2365</v>
      </c>
      <c r="AZ192" s="151"/>
      <c r="BA192" s="158"/>
      <c r="BB192" s="158"/>
      <c r="BC192" s="158"/>
      <c r="BD192" s="667" t="s">
        <v>2366</v>
      </c>
      <c r="BE192" s="158"/>
      <c r="BF192" s="158"/>
      <c r="BG192" s="158"/>
      <c r="BH192" s="158"/>
      <c r="BI192" s="158"/>
      <c r="CA192" s="14"/>
      <c r="CB192" s="206"/>
      <c r="CD192" s="145"/>
      <c r="CE192" s="145"/>
      <c r="CF192" s="145"/>
      <c r="CG192" s="31"/>
      <c r="CH192" s="86"/>
      <c r="CI192" s="57"/>
      <c r="CJ192" s="57"/>
      <c r="CK192" s="57"/>
      <c r="CL192" s="57"/>
      <c r="CO192" s="10"/>
      <c r="CP192" s="58"/>
      <c r="CQ192" s="10"/>
      <c r="CR192" s="61"/>
      <c r="CS192" s="61"/>
      <c r="CT192" s="61"/>
      <c r="CU192" s="61"/>
      <c r="CV192" s="60"/>
      <c r="DE192" s="43"/>
      <c r="DH192" s="1029"/>
      <c r="DI192" s="1029"/>
      <c r="DJ192" s="1173"/>
      <c r="DK192" s="1029"/>
      <c r="DL192" s="1031"/>
      <c r="DM192" s="1031"/>
      <c r="DN192" s="1032"/>
      <c r="DV192" s="31"/>
      <c r="DX192" s="115"/>
      <c r="DY192" s="115"/>
    </row>
    <row r="193" spans="1:129" ht="19.5" customHeight="1">
      <c r="A193" s="186"/>
      <c r="B193" s="249"/>
      <c r="C193" s="221" t="s">
        <v>3831</v>
      </c>
      <c r="D193" s="221"/>
      <c r="E193" s="221"/>
      <c r="F193" s="221"/>
      <c r="G193" s="221"/>
      <c r="H193" s="221"/>
      <c r="I193" s="221"/>
      <c r="J193" s="218"/>
      <c r="K193" s="218"/>
      <c r="L193" s="218"/>
      <c r="M193" s="218"/>
      <c r="N193" s="218"/>
      <c r="O193" s="218"/>
      <c r="P193" s="218"/>
      <c r="Q193" s="218"/>
      <c r="R193" s="218"/>
      <c r="S193" s="218"/>
      <c r="T193" s="218"/>
      <c r="U193" s="218"/>
      <c r="V193" s="218"/>
      <c r="W193" s="218"/>
      <c r="X193" s="218"/>
      <c r="Y193" s="218"/>
      <c r="Z193" s="218"/>
      <c r="AA193" s="218"/>
      <c r="AB193" s="218"/>
      <c r="AC193" s="218"/>
      <c r="AD193" s="218"/>
      <c r="AE193" s="218"/>
      <c r="AF193" s="218"/>
      <c r="AG193" s="218"/>
      <c r="AH193" s="218"/>
      <c r="AI193" s="218"/>
      <c r="AJ193" s="218"/>
      <c r="AK193" s="218"/>
      <c r="AL193" s="218"/>
      <c r="AM193" s="218"/>
      <c r="AN193" s="218"/>
      <c r="AO193" s="218"/>
      <c r="AP193" s="218"/>
      <c r="AQ193" s="218"/>
      <c r="AR193" s="218"/>
      <c r="AS193" s="218"/>
      <c r="AT193" s="218"/>
      <c r="AU193" s="234"/>
      <c r="AX193" s="166"/>
      <c r="AY193" s="664" t="s">
        <v>2367</v>
      </c>
      <c r="AZ193" s="151"/>
      <c r="BA193" s="158"/>
      <c r="BB193" s="158"/>
      <c r="BC193" s="158"/>
      <c r="BD193" s="667" t="s">
        <v>2368</v>
      </c>
      <c r="BE193" s="158"/>
      <c r="BF193" s="158"/>
      <c r="BG193" s="158"/>
      <c r="BH193" s="158"/>
      <c r="BI193" s="158"/>
      <c r="CA193" s="21"/>
      <c r="CB193" s="206"/>
      <c r="CD193" s="145"/>
      <c r="CE193" s="145"/>
      <c r="CF193" s="145"/>
      <c r="CG193" s="31"/>
      <c r="CH193" s="86"/>
      <c r="CI193" s="57"/>
      <c r="CJ193" s="57"/>
      <c r="CK193" s="57"/>
      <c r="CL193" s="57"/>
      <c r="CO193" s="10"/>
      <c r="CP193" s="58"/>
      <c r="CQ193" s="10"/>
      <c r="CR193" s="61"/>
      <c r="CS193" s="61"/>
      <c r="CT193" s="61"/>
      <c r="CU193" s="61"/>
      <c r="CV193" s="60"/>
      <c r="DE193" s="43"/>
      <c r="DL193" s="1174" t="s">
        <v>2024</v>
      </c>
      <c r="DV193" s="31"/>
      <c r="DX193" s="115"/>
      <c r="DY193" s="115"/>
    </row>
    <row r="194" spans="1:129" ht="19.5" customHeight="1">
      <c r="A194" s="186"/>
      <c r="B194" s="249"/>
      <c r="C194" s="221"/>
      <c r="D194" s="210"/>
      <c r="E194" s="210"/>
      <c r="F194" s="210"/>
      <c r="G194" s="210"/>
      <c r="H194" s="210"/>
      <c r="I194" s="210"/>
      <c r="J194" s="210"/>
      <c r="K194" s="210"/>
      <c r="L194" s="210"/>
      <c r="M194" s="210"/>
      <c r="N194" s="210"/>
      <c r="O194" s="210"/>
      <c r="P194" s="210"/>
      <c r="Q194" s="210"/>
      <c r="R194" s="235"/>
      <c r="S194" s="235"/>
      <c r="T194" s="235"/>
      <c r="U194" s="235"/>
      <c r="V194" s="235"/>
      <c r="W194" s="235"/>
      <c r="X194" s="235"/>
      <c r="Y194" s="235"/>
      <c r="Z194" s="235"/>
      <c r="AA194" s="235"/>
      <c r="AB194" s="235"/>
      <c r="AC194" s="235"/>
      <c r="AD194" s="235"/>
      <c r="AE194" s="235"/>
      <c r="AF194" s="235"/>
      <c r="AG194" s="235"/>
      <c r="AH194" s="235"/>
      <c r="AI194" s="235"/>
      <c r="AJ194" s="235"/>
      <c r="AK194" s="235"/>
      <c r="AL194" s="235"/>
      <c r="AM194" s="235"/>
      <c r="AN194" s="235"/>
      <c r="AO194" s="235"/>
      <c r="AP194" s="235"/>
      <c r="AQ194" s="235"/>
      <c r="AR194" s="235"/>
      <c r="AS194" s="235"/>
      <c r="AT194" s="235"/>
      <c r="AU194" s="183"/>
      <c r="AX194" s="166"/>
      <c r="AY194" s="664" t="s">
        <v>2369</v>
      </c>
      <c r="AZ194" s="151"/>
      <c r="BA194" s="158"/>
      <c r="BB194" s="158"/>
      <c r="BC194" s="158"/>
      <c r="BD194" s="667" t="s">
        <v>2370</v>
      </c>
      <c r="BE194" s="158"/>
      <c r="BF194" s="158"/>
      <c r="BG194" s="158"/>
      <c r="BH194" s="158"/>
      <c r="BI194" s="158"/>
      <c r="CA194" s="14"/>
      <c r="CB194" s="206"/>
      <c r="CD194" s="145"/>
      <c r="CE194" s="145"/>
      <c r="CF194" s="145"/>
      <c r="CG194" s="31"/>
      <c r="CH194" s="86"/>
      <c r="CI194" s="57"/>
      <c r="CJ194" s="57"/>
      <c r="CK194" s="57"/>
      <c r="CL194" s="57"/>
      <c r="CO194" s="10"/>
      <c r="CP194" s="58"/>
      <c r="CQ194" s="10"/>
      <c r="CR194" s="61"/>
      <c r="CS194" s="61"/>
      <c r="CT194" s="61"/>
      <c r="CU194" s="61"/>
      <c r="CV194" s="60"/>
      <c r="DE194" s="43"/>
      <c r="DV194" s="31"/>
      <c r="DX194" s="115"/>
      <c r="DY194" s="115"/>
    </row>
    <row r="195" spans="1:129" ht="19.5" customHeight="1">
      <c r="A195" s="186"/>
      <c r="B195" s="249"/>
      <c r="C195" s="1899" t="str">
        <f>IF(OR(J5="※",M5="※",P5="※",S5="※",V5="※",Y5="※"),"←記入シート1に未記入箇所がございます。お手数ですがご確認をお願いいたします。",IF(OR(AB5="※",AE5="※",AH5="※",B9="NG"),"記入シート2に未記入箇所がございます。お手数ですがご確認をお願いいたします。","ご記入ありがとうございました。SBPSにて本書を受け取り次第、お手続きを進めさせていただきます。"))</f>
        <v>←記入シート1に未記入箇所がございます。お手数ですがご確認をお願いいたします。</v>
      </c>
      <c r="D195" s="1899"/>
      <c r="E195" s="1899"/>
      <c r="F195" s="1899"/>
      <c r="G195" s="1899"/>
      <c r="H195" s="1899"/>
      <c r="I195" s="1899"/>
      <c r="J195" s="1899"/>
      <c r="K195" s="1899"/>
      <c r="L195" s="1899"/>
      <c r="M195" s="1899"/>
      <c r="N195" s="1899"/>
      <c r="O195" s="1899"/>
      <c r="P195" s="1899"/>
      <c r="Q195" s="1899"/>
      <c r="R195" s="1899"/>
      <c r="S195" s="1899"/>
      <c r="T195" s="1899"/>
      <c r="U195" s="1899"/>
      <c r="V195" s="1899"/>
      <c r="W195" s="1899"/>
      <c r="X195" s="1899"/>
      <c r="Y195" s="1899"/>
      <c r="Z195" s="1899"/>
      <c r="AA195" s="1899"/>
      <c r="AB195" s="1899"/>
      <c r="AC195" s="1899"/>
      <c r="AD195" s="1899"/>
      <c r="AE195" s="1899"/>
      <c r="AF195" s="1899"/>
      <c r="AG195" s="1899"/>
      <c r="AH195" s="1899"/>
      <c r="AI195" s="1899"/>
      <c r="AJ195" s="1899"/>
      <c r="AK195" s="1899"/>
      <c r="AL195" s="1899"/>
      <c r="AM195" s="1899"/>
      <c r="AN195" s="1899"/>
      <c r="AO195" s="1899"/>
      <c r="AP195" s="1899"/>
      <c r="AQ195" s="1899"/>
      <c r="AR195" s="1899"/>
      <c r="AS195" s="1899"/>
      <c r="AT195" s="1899"/>
      <c r="AU195" s="183"/>
      <c r="AX195" s="166"/>
      <c r="AY195" s="664" t="s">
        <v>2371</v>
      </c>
      <c r="AZ195" s="151"/>
      <c r="BA195" s="158"/>
      <c r="BB195" s="158"/>
      <c r="BC195" s="158"/>
      <c r="BD195" s="667" t="s">
        <v>2372</v>
      </c>
      <c r="BE195" s="158"/>
      <c r="BF195" s="158"/>
      <c r="BG195" s="158"/>
      <c r="BH195" s="158"/>
      <c r="BI195" s="158"/>
      <c r="CA195" s="21"/>
      <c r="CB195" s="206"/>
      <c r="CD195" s="145"/>
      <c r="CE195" s="145"/>
      <c r="CF195" s="145"/>
      <c r="CG195" s="31"/>
      <c r="CH195" s="86"/>
      <c r="CI195" s="57"/>
      <c r="CJ195" s="57"/>
      <c r="CK195" s="57"/>
      <c r="CL195" s="57"/>
      <c r="CO195" s="23"/>
      <c r="CP195" s="87"/>
      <c r="CR195" s="61"/>
      <c r="CS195" s="61"/>
      <c r="CT195" s="61"/>
      <c r="CU195" s="61"/>
      <c r="CV195" s="60"/>
      <c r="DE195" s="43"/>
      <c r="DV195" s="31"/>
      <c r="DX195" s="115"/>
      <c r="DY195" s="115"/>
    </row>
    <row r="196" spans="1:129" ht="19.5" customHeight="1">
      <c r="A196" s="186"/>
      <c r="B196" s="249"/>
      <c r="C196" s="1899"/>
      <c r="D196" s="1899"/>
      <c r="E196" s="1899"/>
      <c r="F196" s="1899"/>
      <c r="G196" s="1899"/>
      <c r="H196" s="1899"/>
      <c r="I196" s="1899"/>
      <c r="J196" s="1899"/>
      <c r="K196" s="1899"/>
      <c r="L196" s="1899"/>
      <c r="M196" s="1899"/>
      <c r="N196" s="1899"/>
      <c r="O196" s="1899"/>
      <c r="P196" s="1899"/>
      <c r="Q196" s="1899"/>
      <c r="R196" s="1899"/>
      <c r="S196" s="1899"/>
      <c r="T196" s="1899"/>
      <c r="U196" s="1899"/>
      <c r="V196" s="1899"/>
      <c r="W196" s="1899"/>
      <c r="X196" s="1899"/>
      <c r="Y196" s="1899"/>
      <c r="Z196" s="1899"/>
      <c r="AA196" s="1899"/>
      <c r="AB196" s="1899"/>
      <c r="AC196" s="1899"/>
      <c r="AD196" s="1899"/>
      <c r="AE196" s="1899"/>
      <c r="AF196" s="1899"/>
      <c r="AG196" s="1899"/>
      <c r="AH196" s="1899"/>
      <c r="AI196" s="1899"/>
      <c r="AJ196" s="1899"/>
      <c r="AK196" s="1899"/>
      <c r="AL196" s="1899"/>
      <c r="AM196" s="1899"/>
      <c r="AN196" s="1899"/>
      <c r="AO196" s="1899"/>
      <c r="AP196" s="1899"/>
      <c r="AQ196" s="1899"/>
      <c r="AR196" s="1899"/>
      <c r="AS196" s="1899"/>
      <c r="AT196" s="1899"/>
      <c r="AU196" s="183"/>
      <c r="AX196" s="166"/>
      <c r="AY196" s="664" t="s">
        <v>2373</v>
      </c>
      <c r="AZ196" s="151"/>
      <c r="BA196" s="158"/>
      <c r="BB196" s="158"/>
      <c r="BC196" s="158"/>
      <c r="BD196" s="667" t="s">
        <v>2374</v>
      </c>
      <c r="BE196" s="158"/>
      <c r="BF196" s="158"/>
      <c r="BG196" s="158"/>
      <c r="BH196" s="158"/>
      <c r="BI196" s="158"/>
      <c r="CA196" s="21"/>
      <c r="CB196" s="126"/>
      <c r="CD196" s="145"/>
      <c r="CE196" s="145"/>
      <c r="CF196" s="145"/>
      <c r="CG196" s="31"/>
      <c r="CH196" s="86"/>
      <c r="CI196" s="57"/>
      <c r="CJ196" s="57"/>
      <c r="CK196" s="57"/>
      <c r="CL196" s="57"/>
      <c r="CO196" s="23"/>
      <c r="CP196" s="87"/>
      <c r="CR196" s="61"/>
      <c r="CS196" s="61"/>
      <c r="CT196" s="61"/>
      <c r="CU196" s="61"/>
      <c r="CV196" s="60"/>
      <c r="DE196" s="43"/>
      <c r="DV196" s="31"/>
      <c r="DX196" s="115"/>
      <c r="DY196" s="115"/>
    </row>
    <row r="197" spans="1:129" ht="19.5" customHeight="1">
      <c r="A197" s="186"/>
      <c r="B197" s="249"/>
      <c r="C197" s="210"/>
      <c r="D197" s="210"/>
      <c r="E197" s="210"/>
      <c r="F197" s="210"/>
      <c r="G197" s="210"/>
      <c r="H197" s="210"/>
      <c r="I197" s="210"/>
      <c r="J197" s="210"/>
      <c r="K197" s="210"/>
      <c r="L197" s="210"/>
      <c r="M197" s="210"/>
      <c r="N197" s="210"/>
      <c r="O197" s="210"/>
      <c r="P197" s="210"/>
      <c r="Q197" s="210"/>
      <c r="R197" s="235"/>
      <c r="S197" s="235"/>
      <c r="T197" s="235"/>
      <c r="U197" s="235"/>
      <c r="V197" s="235"/>
      <c r="W197" s="235"/>
      <c r="X197" s="235"/>
      <c r="Y197" s="235"/>
      <c r="Z197" s="235"/>
      <c r="AA197" s="235"/>
      <c r="AB197" s="235"/>
      <c r="AC197" s="235"/>
      <c r="AD197" s="235"/>
      <c r="AE197" s="235"/>
      <c r="AF197" s="235"/>
      <c r="AG197" s="235"/>
      <c r="AH197" s="235"/>
      <c r="AI197" s="235"/>
      <c r="AJ197" s="235"/>
      <c r="AK197" s="235"/>
      <c r="AL197" s="235"/>
      <c r="AM197" s="235"/>
      <c r="AN197" s="235"/>
      <c r="AO197" s="235"/>
      <c r="AP197" s="235"/>
      <c r="AQ197" s="235"/>
      <c r="AR197" s="235"/>
      <c r="AS197" s="235"/>
      <c r="AT197" s="235"/>
      <c r="AU197" s="183"/>
      <c r="AX197" s="166"/>
      <c r="AY197" s="664" t="s">
        <v>2375</v>
      </c>
      <c r="AZ197" s="151"/>
      <c r="BA197" s="158"/>
      <c r="BB197" s="158"/>
      <c r="BC197" s="158"/>
      <c r="BD197" s="667" t="s">
        <v>2376</v>
      </c>
      <c r="BE197" s="158"/>
      <c r="BF197" s="158"/>
      <c r="BG197" s="158"/>
      <c r="BH197" s="158"/>
      <c r="BI197" s="158"/>
      <c r="CA197" s="21"/>
      <c r="CB197" s="206"/>
      <c r="CD197" s="145"/>
      <c r="CE197" s="145"/>
      <c r="CF197" s="145"/>
      <c r="CG197" s="31"/>
      <c r="CH197" s="86"/>
      <c r="CI197" s="57"/>
      <c r="CJ197" s="57"/>
      <c r="CK197" s="57"/>
      <c r="CL197" s="57"/>
      <c r="CO197" s="23"/>
      <c r="CP197" s="87"/>
      <c r="CR197" s="61"/>
      <c r="CS197" s="61"/>
      <c r="CT197" s="61"/>
      <c r="CU197" s="61"/>
      <c r="CV197" s="60"/>
      <c r="DE197" s="43"/>
      <c r="DV197" s="31"/>
      <c r="DX197" s="115"/>
      <c r="DY197" s="115"/>
    </row>
    <row r="198" spans="1:129" ht="19.5" customHeight="1">
      <c r="A198" s="186"/>
      <c r="B198" s="249"/>
      <c r="C198" s="210"/>
      <c r="D198" s="210"/>
      <c r="E198" s="210"/>
      <c r="F198" s="210"/>
      <c r="G198" s="210"/>
      <c r="H198" s="210"/>
      <c r="I198" s="210"/>
      <c r="J198" s="210"/>
      <c r="K198" s="210"/>
      <c r="L198" s="210"/>
      <c r="M198" s="210"/>
      <c r="N198" s="210"/>
      <c r="O198" s="210"/>
      <c r="P198" s="210"/>
      <c r="Q198" s="210"/>
      <c r="R198" s="210"/>
      <c r="S198" s="210"/>
      <c r="T198" s="210"/>
      <c r="U198" s="210"/>
      <c r="V198" s="210"/>
      <c r="W198" s="210"/>
      <c r="X198" s="210"/>
      <c r="Y198" s="210"/>
      <c r="Z198" s="210"/>
      <c r="AA198" s="210"/>
      <c r="AB198" s="210"/>
      <c r="AC198" s="210"/>
      <c r="AD198" s="210"/>
      <c r="AE198" s="210"/>
      <c r="AF198" s="210"/>
      <c r="AG198" s="210"/>
      <c r="AH198" s="210"/>
      <c r="AI198" s="210"/>
      <c r="AJ198" s="210"/>
      <c r="AK198" s="210"/>
      <c r="AL198" s="210"/>
      <c r="AM198" s="210"/>
      <c r="AN198" s="210"/>
      <c r="AO198" s="210"/>
      <c r="AP198" s="210"/>
      <c r="AQ198" s="210"/>
      <c r="AR198" s="210"/>
      <c r="AS198" s="210"/>
      <c r="AT198" s="210"/>
      <c r="AU198" s="228"/>
      <c r="AX198" s="166"/>
      <c r="AY198" s="664" t="s">
        <v>2377</v>
      </c>
      <c r="AZ198" s="151"/>
      <c r="BA198" s="158"/>
      <c r="BB198" s="158"/>
      <c r="BC198" s="158"/>
      <c r="BD198" s="667" t="s">
        <v>2378</v>
      </c>
      <c r="BE198" s="158"/>
      <c r="BF198" s="158"/>
      <c r="BG198" s="158"/>
      <c r="BH198" s="158"/>
      <c r="BI198" s="158"/>
      <c r="CA198" s="21"/>
      <c r="CB198" s="126"/>
      <c r="CD198" s="145"/>
      <c r="CE198" s="145"/>
      <c r="CF198" s="145"/>
      <c r="CG198" s="31"/>
      <c r="CH198" s="86"/>
      <c r="CI198" s="57"/>
      <c r="CJ198" s="57"/>
      <c r="CK198" s="57"/>
      <c r="CL198" s="57"/>
      <c r="CO198" s="23"/>
      <c r="CP198" s="87"/>
      <c r="CR198" s="61"/>
      <c r="CS198" s="61"/>
      <c r="CT198" s="61"/>
      <c r="CU198" s="61"/>
      <c r="CV198" s="60"/>
      <c r="DE198" s="43"/>
      <c r="DV198" s="31"/>
      <c r="DX198" s="115"/>
      <c r="DY198" s="115"/>
    </row>
    <row r="199" spans="1:129" ht="19.5" customHeight="1">
      <c r="A199" s="186"/>
      <c r="B199" s="249"/>
      <c r="C199" s="210"/>
      <c r="D199" s="210"/>
      <c r="E199" s="210"/>
      <c r="F199" s="210"/>
      <c r="G199" s="210"/>
      <c r="H199" s="210"/>
      <c r="I199" s="210"/>
      <c r="J199" s="210"/>
      <c r="K199" s="210"/>
      <c r="L199" s="210"/>
      <c r="M199" s="210"/>
      <c r="N199" s="210"/>
      <c r="O199" s="210"/>
      <c r="P199" s="210"/>
      <c r="Q199" s="210"/>
      <c r="R199" s="210"/>
      <c r="S199" s="210"/>
      <c r="T199" s="210"/>
      <c r="U199" s="210"/>
      <c r="V199" s="210"/>
      <c r="W199" s="210"/>
      <c r="X199" s="210"/>
      <c r="Y199" s="210"/>
      <c r="Z199" s="210"/>
      <c r="AA199" s="210"/>
      <c r="AB199" s="210"/>
      <c r="AC199" s="210"/>
      <c r="AD199" s="210"/>
      <c r="AE199" s="210"/>
      <c r="AF199" s="210"/>
      <c r="AG199" s="210"/>
      <c r="AH199" s="210"/>
      <c r="AI199" s="210"/>
      <c r="AJ199" s="210"/>
      <c r="AK199" s="210"/>
      <c r="AL199" s="210"/>
      <c r="AM199" s="210"/>
      <c r="AN199" s="210"/>
      <c r="AO199" s="210"/>
      <c r="AP199" s="210"/>
      <c r="AQ199" s="210"/>
      <c r="AR199" s="210"/>
      <c r="AS199" s="210"/>
      <c r="AT199" s="210"/>
      <c r="AU199" s="228"/>
      <c r="AX199" s="166"/>
      <c r="AY199" s="664" t="s">
        <v>2379</v>
      </c>
      <c r="AZ199" s="151"/>
      <c r="BA199" s="158"/>
      <c r="BB199" s="158"/>
      <c r="BC199" s="158"/>
      <c r="BD199" s="667" t="s">
        <v>2380</v>
      </c>
      <c r="BE199" s="158"/>
      <c r="BF199" s="158"/>
      <c r="BG199" s="158"/>
      <c r="BH199" s="158"/>
      <c r="BI199" s="158"/>
      <c r="CA199" s="24"/>
      <c r="CB199" s="126"/>
      <c r="CD199" s="145"/>
      <c r="CE199" s="145"/>
      <c r="CF199" s="145"/>
      <c r="CG199" s="31"/>
      <c r="CH199" s="86"/>
      <c r="CI199" s="57"/>
      <c r="CJ199" s="57"/>
      <c r="CK199" s="57"/>
      <c r="CL199" s="57"/>
      <c r="CO199" s="23"/>
      <c r="CP199" s="87"/>
      <c r="CR199" s="61"/>
      <c r="CS199" s="61"/>
      <c r="CT199" s="61"/>
      <c r="CU199" s="61"/>
      <c r="CV199" s="60"/>
      <c r="DE199" s="43"/>
      <c r="DV199" s="31"/>
      <c r="DX199" s="115"/>
      <c r="DY199" s="115"/>
    </row>
    <row r="200" spans="1:129" ht="19.5" customHeight="1">
      <c r="A200" s="186"/>
      <c r="B200" s="256"/>
      <c r="C200" s="222"/>
      <c r="D200" s="222"/>
      <c r="E200" s="222"/>
      <c r="F200" s="222"/>
      <c r="G200" s="222"/>
      <c r="H200" s="222"/>
      <c r="I200" s="222"/>
      <c r="J200" s="222"/>
      <c r="K200" s="222"/>
      <c r="L200" s="222"/>
      <c r="M200" s="222"/>
      <c r="N200" s="222"/>
      <c r="O200" s="222"/>
      <c r="P200" s="222"/>
      <c r="Q200" s="222"/>
      <c r="R200" s="222"/>
      <c r="S200" s="222"/>
      <c r="T200" s="222"/>
      <c r="U200" s="222"/>
      <c r="V200" s="222"/>
      <c r="W200" s="222"/>
      <c r="X200" s="222"/>
      <c r="Y200" s="222"/>
      <c r="Z200" s="222"/>
      <c r="AA200" s="222"/>
      <c r="AB200" s="222"/>
      <c r="AC200" s="222"/>
      <c r="AD200" s="222"/>
      <c r="AE200" s="222"/>
      <c r="AF200" s="222"/>
      <c r="AG200" s="222"/>
      <c r="AH200" s="222"/>
      <c r="AI200" s="222"/>
      <c r="AJ200" s="222"/>
      <c r="AK200" s="222"/>
      <c r="AL200" s="222"/>
      <c r="AM200" s="222"/>
      <c r="AN200" s="222"/>
      <c r="AO200" s="222"/>
      <c r="AP200" s="222"/>
      <c r="AQ200" s="222"/>
      <c r="AR200" s="222"/>
      <c r="AS200" s="222"/>
      <c r="AT200" s="670"/>
      <c r="AU200" s="671"/>
      <c r="AX200" s="166"/>
      <c r="AY200" s="664" t="s">
        <v>2381</v>
      </c>
      <c r="AZ200" s="151"/>
      <c r="BA200" s="158"/>
      <c r="BB200" s="158"/>
      <c r="BC200" s="158"/>
      <c r="BD200" s="667" t="s">
        <v>2382</v>
      </c>
      <c r="BE200" s="158"/>
      <c r="BF200" s="158"/>
      <c r="BG200" s="158"/>
      <c r="BH200" s="158"/>
      <c r="BI200" s="158"/>
      <c r="CA200" s="24"/>
      <c r="CB200" s="126"/>
      <c r="CD200" s="145"/>
      <c r="CE200" s="145"/>
      <c r="CF200" s="145"/>
      <c r="CG200" s="31"/>
      <c r="CH200" s="86"/>
      <c r="CI200" s="57"/>
      <c r="CJ200" s="57"/>
      <c r="CK200" s="57"/>
      <c r="CL200" s="57"/>
      <c r="CO200" s="23"/>
      <c r="CP200" s="87"/>
      <c r="CR200" s="61"/>
      <c r="CS200" s="61"/>
      <c r="CT200" s="61"/>
      <c r="CU200" s="61"/>
      <c r="CV200" s="60"/>
      <c r="DE200" s="43"/>
      <c r="DV200" s="31"/>
      <c r="DX200" s="115"/>
      <c r="DY200" s="115"/>
    </row>
    <row r="201" spans="1:129" ht="19.5" customHeight="1" thickBot="1">
      <c r="B201" s="672"/>
      <c r="C201" s="673"/>
      <c r="D201" s="673"/>
      <c r="E201" s="673"/>
      <c r="F201" s="673"/>
      <c r="G201" s="673"/>
      <c r="H201" s="673"/>
      <c r="I201" s="673"/>
      <c r="J201" s="673"/>
      <c r="K201" s="673"/>
      <c r="L201" s="673"/>
      <c r="M201" s="673"/>
      <c r="N201" s="673"/>
      <c r="O201" s="673"/>
      <c r="P201" s="673"/>
      <c r="Q201" s="673"/>
      <c r="R201" s="673"/>
      <c r="S201" s="673"/>
      <c r="T201" s="673"/>
      <c r="U201" s="673"/>
      <c r="V201" s="673"/>
      <c r="W201" s="673"/>
      <c r="X201" s="673"/>
      <c r="Y201" s="673"/>
      <c r="Z201" s="673"/>
      <c r="AA201" s="673"/>
      <c r="AB201" s="673"/>
      <c r="AC201" s="673"/>
      <c r="AD201" s="673"/>
      <c r="AE201" s="673"/>
      <c r="AF201" s="673"/>
      <c r="AG201" s="673"/>
      <c r="AH201" s="673"/>
      <c r="AI201" s="673"/>
      <c r="AJ201" s="673"/>
      <c r="AK201" s="673"/>
      <c r="AL201" s="673"/>
      <c r="AM201" s="673"/>
      <c r="AN201" s="673"/>
      <c r="AO201" s="673"/>
      <c r="AP201" s="673"/>
      <c r="AQ201" s="673"/>
      <c r="AR201" s="673"/>
      <c r="AS201" s="673"/>
      <c r="AT201" s="674"/>
      <c r="AU201" s="675"/>
      <c r="AY201" s="662" t="s">
        <v>2383</v>
      </c>
      <c r="AZ201" s="166"/>
      <c r="BA201" s="158"/>
      <c r="BB201" s="158"/>
      <c r="BC201" s="158"/>
      <c r="BD201" s="667" t="s">
        <v>2384</v>
      </c>
      <c r="BE201" s="158"/>
      <c r="BF201" s="158"/>
      <c r="BG201" s="158"/>
      <c r="BH201" s="158"/>
      <c r="BI201" s="158"/>
      <c r="CA201" s="24"/>
      <c r="CB201" s="126"/>
      <c r="CD201" s="145"/>
      <c r="CE201" s="145"/>
      <c r="CF201" s="145"/>
      <c r="CG201" s="31"/>
      <c r="CH201" s="86"/>
      <c r="CI201" s="57"/>
      <c r="CJ201" s="57"/>
      <c r="CK201" s="57"/>
      <c r="CL201" s="57"/>
      <c r="CO201" s="23"/>
      <c r="CP201" s="87"/>
      <c r="CR201" s="61"/>
      <c r="CS201" s="61"/>
      <c r="CT201" s="61"/>
      <c r="CU201" s="61"/>
      <c r="CV201" s="60"/>
      <c r="DE201" s="43"/>
      <c r="DV201" s="31"/>
      <c r="DX201" s="115"/>
      <c r="DY201" s="115"/>
    </row>
    <row r="202" spans="1:129" ht="19.5" customHeight="1" thickTop="1">
      <c r="B202" s="251"/>
      <c r="C202" s="236"/>
      <c r="AC202" s="236"/>
      <c r="AD202" s="236"/>
      <c r="AE202" s="236"/>
      <c r="AF202" s="236"/>
      <c r="AG202" s="236"/>
      <c r="AH202" s="236"/>
      <c r="AI202" s="236"/>
      <c r="AJ202" s="236"/>
      <c r="AK202" s="236"/>
      <c r="AT202" s="237"/>
      <c r="AU202" s="238"/>
      <c r="AX202" s="166" t="s">
        <v>2118</v>
      </c>
      <c r="AY202" s="662" t="s">
        <v>2385</v>
      </c>
      <c r="AZ202" s="166" t="s">
        <v>2386</v>
      </c>
      <c r="BA202" s="158"/>
      <c r="BB202" s="158"/>
      <c r="BC202" s="158"/>
      <c r="BD202" s="667" t="s">
        <v>2387</v>
      </c>
      <c r="BE202" s="158"/>
      <c r="BF202" s="158"/>
      <c r="BG202" s="158"/>
      <c r="BH202" s="158"/>
      <c r="BI202" s="158"/>
      <c r="CA202" s="24"/>
      <c r="CD202" s="145"/>
      <c r="CE202" s="145"/>
      <c r="CF202" s="145"/>
      <c r="CG202" s="31"/>
      <c r="CH202" s="86"/>
      <c r="CI202" s="57"/>
      <c r="CJ202" s="57"/>
      <c r="CK202" s="57"/>
      <c r="CL202" s="57"/>
      <c r="CO202" s="10"/>
      <c r="CP202" s="58"/>
      <c r="CS202" s="89"/>
      <c r="CT202" s="89"/>
      <c r="DE202" s="43"/>
      <c r="DX202" s="115"/>
      <c r="DY202" s="115"/>
    </row>
    <row r="203" spans="1:129" ht="19.5" customHeight="1">
      <c r="B203" s="251"/>
      <c r="C203" s="236"/>
      <c r="AC203" s="236"/>
      <c r="AD203" s="236"/>
      <c r="AE203" s="236"/>
      <c r="AF203" s="236"/>
      <c r="AG203" s="236"/>
      <c r="AH203" s="236"/>
      <c r="AI203" s="236"/>
      <c r="AJ203" s="236"/>
      <c r="AK203" s="236"/>
      <c r="AT203" s="237"/>
      <c r="AU203" s="238"/>
      <c r="AX203" s="663" t="s">
        <v>2113</v>
      </c>
      <c r="AY203" s="662" t="s">
        <v>2388</v>
      </c>
      <c r="AZ203" s="792" t="s">
        <v>2389</v>
      </c>
      <c r="BA203" s="158"/>
      <c r="BB203" s="158"/>
      <c r="BC203" s="158"/>
      <c r="BD203" s="667" t="s">
        <v>2390</v>
      </c>
      <c r="BE203" s="158"/>
      <c r="BF203" s="158"/>
      <c r="BG203" s="158"/>
      <c r="BH203" s="158"/>
      <c r="BI203" s="158"/>
      <c r="CA203" s="24"/>
      <c r="CD203" s="145"/>
      <c r="CE203" s="145"/>
      <c r="CF203" s="145"/>
      <c r="CG203" s="31"/>
      <c r="CH203" s="86"/>
      <c r="CI203" s="57"/>
      <c r="CJ203" s="57"/>
      <c r="CK203" s="57"/>
      <c r="CL203" s="57"/>
      <c r="CO203" s="23"/>
      <c r="CP203" s="87"/>
      <c r="DE203" s="43"/>
      <c r="DX203" s="115"/>
      <c r="DY203" s="115"/>
    </row>
    <row r="204" spans="1:129" ht="19.5" customHeight="1">
      <c r="B204" s="251"/>
      <c r="C204" s="236"/>
      <c r="AC204" s="236"/>
      <c r="AD204" s="236"/>
      <c r="AE204" s="236"/>
      <c r="AF204" s="236"/>
      <c r="AG204" s="236"/>
      <c r="AH204" s="236"/>
      <c r="AI204" s="236"/>
      <c r="AJ204" s="236"/>
      <c r="AK204" s="236"/>
      <c r="AT204" s="237"/>
      <c r="AU204" s="238"/>
      <c r="AX204" s="662" t="s">
        <v>2119</v>
      </c>
      <c r="AY204" s="662" t="s">
        <v>2391</v>
      </c>
      <c r="AZ204" s="792" t="s">
        <v>2392</v>
      </c>
      <c r="BA204" s="158"/>
      <c r="BB204" s="158"/>
      <c r="BC204" s="158"/>
      <c r="BD204" s="667" t="s">
        <v>2393</v>
      </c>
      <c r="BE204" s="158"/>
      <c r="BF204" s="158"/>
      <c r="BG204" s="158"/>
      <c r="BH204" s="158"/>
      <c r="BI204" s="158"/>
      <c r="CA204" s="24"/>
      <c r="CD204" s="145"/>
      <c r="CE204" s="145"/>
      <c r="CF204" s="145"/>
      <c r="CG204" s="31"/>
      <c r="CH204" s="86"/>
      <c r="CI204" s="57"/>
      <c r="CJ204" s="57"/>
      <c r="CK204" s="57"/>
      <c r="CL204" s="57"/>
      <c r="CO204" s="23"/>
      <c r="CP204" s="87"/>
      <c r="DE204" s="43"/>
      <c r="DX204" s="1"/>
    </row>
    <row r="205" spans="1:129" ht="19.5" customHeight="1">
      <c r="B205" s="251"/>
      <c r="C205" s="236"/>
      <c r="AC205" s="236"/>
      <c r="AD205" s="236"/>
      <c r="AE205" s="236"/>
      <c r="AF205" s="236"/>
      <c r="AG205" s="236"/>
      <c r="AH205" s="236"/>
      <c r="AI205" s="236"/>
      <c r="AJ205" s="236"/>
      <c r="AK205" s="236"/>
      <c r="AT205" s="237"/>
      <c r="AU205" s="238"/>
      <c r="AX205" s="662" t="s">
        <v>2117</v>
      </c>
      <c r="AY205" s="662" t="s">
        <v>2394</v>
      </c>
      <c r="AZ205" s="792" t="s">
        <v>2395</v>
      </c>
      <c r="BA205" s="158"/>
      <c r="BB205" s="158"/>
      <c r="BC205" s="158"/>
      <c r="BD205" s="667" t="s">
        <v>2396</v>
      </c>
      <c r="BE205" s="158"/>
      <c r="BF205" s="158"/>
      <c r="BG205" s="158"/>
      <c r="BH205" s="158"/>
      <c r="BI205" s="158"/>
      <c r="CA205" s="24"/>
      <c r="CD205" s="145"/>
      <c r="CE205" s="145"/>
      <c r="CF205" s="145"/>
      <c r="CG205" s="31"/>
      <c r="CH205" s="86"/>
      <c r="CI205" s="57"/>
      <c r="CJ205" s="57"/>
      <c r="CK205" s="57"/>
      <c r="CL205" s="57"/>
      <c r="CO205" s="23"/>
      <c r="CP205" s="87"/>
      <c r="DE205" s="43"/>
      <c r="DX205" s="1"/>
    </row>
    <row r="206" spans="1:129" ht="19.5" customHeight="1">
      <c r="B206" s="251"/>
      <c r="C206" s="236"/>
      <c r="AC206" s="236"/>
      <c r="AD206" s="236"/>
      <c r="AE206" s="236"/>
      <c r="AF206" s="236"/>
      <c r="AG206" s="236"/>
      <c r="AH206" s="236"/>
      <c r="AI206" s="236"/>
      <c r="AJ206" s="236"/>
      <c r="AK206" s="236"/>
      <c r="AT206" s="237"/>
      <c r="AU206" s="238"/>
      <c r="AX206" s="662" t="s">
        <v>2120</v>
      </c>
      <c r="AY206" s="662" t="s">
        <v>2397</v>
      </c>
      <c r="AZ206" s="792" t="s">
        <v>2398</v>
      </c>
      <c r="BA206" s="158"/>
      <c r="BB206" s="158"/>
      <c r="BC206" s="158"/>
      <c r="BD206" s="667" t="s">
        <v>2399</v>
      </c>
      <c r="BE206" s="158"/>
      <c r="BF206" s="158"/>
      <c r="BG206" s="158"/>
      <c r="BH206" s="158"/>
      <c r="BI206" s="158"/>
      <c r="CA206" s="21"/>
      <c r="CD206" s="145"/>
      <c r="CE206" s="145"/>
      <c r="CF206" s="145"/>
      <c r="CH206" s="86"/>
      <c r="CI206" s="57"/>
      <c r="CJ206" s="57"/>
      <c r="CK206" s="57"/>
      <c r="CL206" s="57"/>
      <c r="CO206" s="23"/>
      <c r="CP206" s="87"/>
      <c r="DE206" s="43"/>
      <c r="DX206" s="1"/>
    </row>
    <row r="207" spans="1:129" ht="19.5" customHeight="1">
      <c r="B207" s="251"/>
      <c r="C207" s="236"/>
      <c r="AC207" s="236"/>
      <c r="AD207" s="236"/>
      <c r="AE207" s="236"/>
      <c r="AF207" s="236"/>
      <c r="AG207" s="236"/>
      <c r="AH207" s="236"/>
      <c r="AI207" s="236"/>
      <c r="AJ207" s="236"/>
      <c r="AK207" s="236"/>
      <c r="AT207" s="237"/>
      <c r="AU207" s="238"/>
      <c r="AX207" s="662" t="s">
        <v>2121</v>
      </c>
      <c r="AY207" s="662" t="s">
        <v>2400</v>
      </c>
      <c r="AZ207" s="792" t="s">
        <v>2401</v>
      </c>
      <c r="BA207" s="158"/>
      <c r="BB207" s="158"/>
      <c r="BC207" s="158"/>
      <c r="BD207" s="667" t="s">
        <v>2402</v>
      </c>
      <c r="BE207" s="158"/>
      <c r="BF207" s="158"/>
      <c r="BG207" s="158"/>
      <c r="BH207" s="158"/>
      <c r="BI207" s="158"/>
      <c r="CA207" s="120"/>
      <c r="CB207" s="126"/>
      <c r="CD207" s="145"/>
      <c r="CE207" s="145"/>
      <c r="CF207" s="145"/>
      <c r="CH207" s="86"/>
      <c r="CI207" s="57"/>
      <c r="CJ207" s="57"/>
      <c r="CK207" s="57"/>
      <c r="CL207" s="57"/>
      <c r="CO207" s="23"/>
      <c r="CP207" s="87"/>
      <c r="DE207" s="43"/>
      <c r="DX207" s="1"/>
    </row>
    <row r="208" spans="1:129" ht="19.5" customHeight="1">
      <c r="B208" s="251"/>
      <c r="C208" s="236"/>
      <c r="AC208" s="236"/>
      <c r="AD208" s="236"/>
      <c r="AE208" s="236"/>
      <c r="AF208" s="236"/>
      <c r="AG208" s="236"/>
      <c r="AH208" s="236"/>
      <c r="AI208" s="236"/>
      <c r="AJ208" s="236"/>
      <c r="AK208" s="236"/>
      <c r="AT208" s="237"/>
      <c r="AU208" s="238"/>
      <c r="AX208" s="662" t="s">
        <v>2122</v>
      </c>
      <c r="AY208" s="662" t="s">
        <v>2403</v>
      </c>
      <c r="AZ208" s="792" t="s">
        <v>2404</v>
      </c>
      <c r="BA208" s="158"/>
      <c r="BB208" s="158"/>
      <c r="BC208" s="158"/>
      <c r="BD208" s="669" t="s">
        <v>2405</v>
      </c>
      <c r="BE208" s="158"/>
      <c r="BF208" s="158"/>
      <c r="BG208" s="158"/>
      <c r="BH208" s="158"/>
      <c r="BI208" s="158"/>
      <c r="CA208" s="120"/>
      <c r="CB208" s="126"/>
      <c r="CD208" s="145"/>
      <c r="CE208" s="145"/>
      <c r="CF208" s="145"/>
      <c r="CH208" s="86"/>
      <c r="CI208" s="57"/>
      <c r="CJ208" s="57"/>
      <c r="CK208" s="57"/>
      <c r="CL208" s="57"/>
      <c r="CO208" s="23"/>
      <c r="CP208" s="87"/>
      <c r="DE208" s="43"/>
      <c r="DX208" s="1"/>
    </row>
    <row r="209" spans="2:128" ht="19.5" customHeight="1">
      <c r="B209" s="251"/>
      <c r="C209" s="236"/>
      <c r="AC209" s="236"/>
      <c r="AD209" s="236"/>
      <c r="AE209" s="236"/>
      <c r="AF209" s="236"/>
      <c r="AG209" s="236"/>
      <c r="AH209" s="236"/>
      <c r="AI209" s="236"/>
      <c r="AJ209" s="236"/>
      <c r="AK209" s="236"/>
      <c r="AT209" s="237"/>
      <c r="AU209" s="238"/>
      <c r="AX209" s="662" t="s">
        <v>2123</v>
      </c>
      <c r="AY209" s="662" t="s">
        <v>2406</v>
      </c>
      <c r="AZ209" s="792" t="s">
        <v>2407</v>
      </c>
      <c r="BA209" s="158"/>
      <c r="BB209" s="158"/>
      <c r="BC209" s="158"/>
      <c r="BD209" s="158"/>
      <c r="BE209" s="158"/>
      <c r="BF209" s="158"/>
      <c r="BG209" s="158"/>
      <c r="BH209" s="158"/>
      <c r="BI209" s="158"/>
      <c r="CD209" s="145"/>
      <c r="CE209" s="145"/>
      <c r="CF209" s="145"/>
      <c r="DE209" s="43"/>
      <c r="DX209" s="1"/>
    </row>
    <row r="210" spans="2:128" ht="19.5" customHeight="1">
      <c r="B210" s="251"/>
      <c r="C210" s="236"/>
      <c r="AC210" s="236"/>
      <c r="AD210" s="236"/>
      <c r="AE210" s="236"/>
      <c r="AF210" s="236"/>
      <c r="AG210" s="236"/>
      <c r="AH210" s="236"/>
      <c r="AI210" s="236"/>
      <c r="AJ210" s="236"/>
      <c r="AK210" s="236"/>
      <c r="AT210" s="237"/>
      <c r="AU210" s="238"/>
      <c r="AX210" s="662" t="s">
        <v>2124</v>
      </c>
      <c r="AY210" s="662" t="s">
        <v>2408</v>
      </c>
      <c r="AZ210" s="792" t="s">
        <v>2409</v>
      </c>
      <c r="BA210" s="158"/>
      <c r="BB210" s="158"/>
      <c r="BC210" s="158"/>
      <c r="BD210" s="158"/>
      <c r="BE210" s="158"/>
      <c r="BF210" s="158"/>
      <c r="BG210" s="158"/>
      <c r="BH210" s="158"/>
      <c r="BI210" s="158"/>
      <c r="CD210" s="145"/>
      <c r="CE210" s="145"/>
      <c r="CF210" s="145"/>
      <c r="CH210" s="89"/>
      <c r="CI210" s="89"/>
      <c r="CJ210" s="89"/>
      <c r="CK210" s="89"/>
      <c r="DE210" s="43"/>
      <c r="DX210" s="1"/>
    </row>
    <row r="211" spans="2:128" ht="19.5" customHeight="1">
      <c r="B211" s="251"/>
      <c r="C211" s="236"/>
      <c r="AC211" s="236"/>
      <c r="AD211" s="236"/>
      <c r="AE211" s="236"/>
      <c r="AF211" s="236"/>
      <c r="AG211" s="236"/>
      <c r="AH211" s="236"/>
      <c r="AI211" s="236"/>
      <c r="AJ211" s="236"/>
      <c r="AK211" s="236"/>
      <c r="AT211" s="237"/>
      <c r="AU211" s="238"/>
      <c r="AX211" s="662" t="s">
        <v>2125</v>
      </c>
      <c r="AY211" s="662" t="s">
        <v>2410</v>
      </c>
      <c r="AZ211" s="792" t="s">
        <v>2411</v>
      </c>
      <c r="BA211" s="158"/>
      <c r="BB211" s="158"/>
      <c r="BC211" s="158"/>
      <c r="BD211" s="158"/>
      <c r="BE211" s="158"/>
      <c r="BF211" s="158"/>
      <c r="BG211" s="158"/>
      <c r="BH211" s="158"/>
      <c r="BI211" s="158"/>
      <c r="CD211" s="145"/>
      <c r="CE211" s="145"/>
      <c r="CF211" s="145"/>
      <c r="DE211" s="43"/>
      <c r="DX211" s="1"/>
    </row>
    <row r="212" spans="2:128" ht="19.5" customHeight="1">
      <c r="B212" s="251"/>
      <c r="C212" s="236"/>
      <c r="AC212" s="236"/>
      <c r="AD212" s="236"/>
      <c r="AE212" s="236"/>
      <c r="AF212" s="236"/>
      <c r="AG212" s="236"/>
      <c r="AH212" s="236"/>
      <c r="AI212" s="236"/>
      <c r="AJ212" s="236"/>
      <c r="AK212" s="236"/>
      <c r="AT212" s="237"/>
      <c r="AU212" s="238"/>
      <c r="AX212" s="662" t="s">
        <v>2126</v>
      </c>
      <c r="AY212" s="662" t="s">
        <v>2412</v>
      </c>
      <c r="AZ212" s="792" t="s">
        <v>2413</v>
      </c>
      <c r="BA212" s="158"/>
      <c r="BB212" s="158"/>
      <c r="BC212" s="158"/>
      <c r="BD212" s="158"/>
      <c r="BE212" s="158"/>
      <c r="BF212" s="158"/>
      <c r="BG212" s="158"/>
      <c r="BH212" s="158"/>
      <c r="BI212" s="158"/>
      <c r="CD212" s="145"/>
      <c r="CE212" s="145"/>
      <c r="CF212" s="145"/>
      <c r="CH212" s="89"/>
      <c r="CI212" s="89"/>
      <c r="CJ212" s="89"/>
      <c r="CK212" s="89"/>
      <c r="DX212" s="1"/>
    </row>
    <row r="213" spans="2:128" ht="19.5" customHeight="1">
      <c r="B213" s="251"/>
      <c r="C213" s="236"/>
      <c r="AC213" s="236"/>
      <c r="AD213" s="236"/>
      <c r="AE213" s="236"/>
      <c r="AF213" s="236"/>
      <c r="AG213" s="236"/>
      <c r="AH213" s="236"/>
      <c r="AI213" s="236"/>
      <c r="AJ213" s="236"/>
      <c r="AK213" s="236"/>
      <c r="AT213" s="237"/>
      <c r="AU213" s="238"/>
      <c r="AX213" s="662" t="s">
        <v>2127</v>
      </c>
      <c r="AY213" s="662" t="s">
        <v>2414</v>
      </c>
      <c r="AZ213" s="792" t="s">
        <v>2415</v>
      </c>
      <c r="BA213" s="158"/>
      <c r="BB213" s="158"/>
      <c r="BC213" s="158"/>
      <c r="BD213" s="158"/>
      <c r="BE213" s="158"/>
      <c r="BF213" s="158"/>
      <c r="BG213" s="158"/>
      <c r="BH213" s="158"/>
      <c r="BI213" s="158"/>
      <c r="CD213" s="145"/>
      <c r="CE213" s="145"/>
      <c r="CF213" s="145"/>
      <c r="CH213" s="89"/>
      <c r="CI213" s="89"/>
      <c r="CJ213" s="89"/>
      <c r="CK213" s="89"/>
      <c r="CS213" s="57"/>
      <c r="CT213" s="57"/>
      <c r="CU213" s="57"/>
      <c r="DX213" s="1"/>
    </row>
    <row r="214" spans="2:128" ht="19.5" customHeight="1">
      <c r="B214" s="251"/>
      <c r="C214" s="236"/>
      <c r="AC214" s="236"/>
      <c r="AD214" s="236"/>
      <c r="AE214" s="236"/>
      <c r="AF214" s="236"/>
      <c r="AG214" s="236"/>
      <c r="AH214" s="236"/>
      <c r="AI214" s="236"/>
      <c r="AJ214" s="236"/>
      <c r="AK214" s="236"/>
      <c r="AT214" s="237"/>
      <c r="AU214" s="238"/>
      <c r="AX214" s="662" t="s">
        <v>2128</v>
      </c>
      <c r="AY214" s="662" t="s">
        <v>2416</v>
      </c>
      <c r="AZ214" s="792" t="s">
        <v>2417</v>
      </c>
      <c r="BA214" s="158"/>
      <c r="BB214" s="158"/>
      <c r="BC214" s="158"/>
      <c r="BD214" s="158"/>
      <c r="BE214" s="158"/>
      <c r="BF214" s="158"/>
      <c r="BG214" s="158"/>
      <c r="BH214" s="158"/>
      <c r="BI214" s="158"/>
      <c r="CD214" s="145"/>
      <c r="CE214" s="145"/>
      <c r="CF214" s="145"/>
      <c r="CH214" s="89"/>
      <c r="CI214" s="89"/>
      <c r="CJ214" s="89"/>
      <c r="CK214" s="89"/>
      <c r="CS214" s="57"/>
      <c r="CT214" s="57"/>
      <c r="CU214" s="57"/>
      <c r="CV214" s="60"/>
      <c r="DX214" s="1"/>
    </row>
    <row r="215" spans="2:128" ht="19.5" customHeight="1">
      <c r="B215" s="251"/>
      <c r="C215" s="236"/>
      <c r="AC215" s="236"/>
      <c r="AD215" s="236"/>
      <c r="AE215" s="236"/>
      <c r="AF215" s="236"/>
      <c r="AG215" s="236"/>
      <c r="AH215" s="236"/>
      <c r="AI215" s="236"/>
      <c r="AJ215" s="236"/>
      <c r="AK215" s="236"/>
      <c r="AT215" s="237"/>
      <c r="AU215" s="238"/>
      <c r="AX215" s="662" t="s">
        <v>2129</v>
      </c>
      <c r="AY215" s="662" t="s">
        <v>2418</v>
      </c>
      <c r="AZ215" s="792" t="s">
        <v>2419</v>
      </c>
      <c r="BA215" s="158"/>
      <c r="BB215" s="158"/>
      <c r="BC215" s="158"/>
      <c r="BD215" s="158"/>
      <c r="BE215" s="158"/>
      <c r="BF215" s="158"/>
      <c r="BG215" s="158"/>
      <c r="BH215" s="158"/>
      <c r="BI215" s="158"/>
      <c r="CD215" s="145"/>
      <c r="CE215" s="145"/>
      <c r="CF215" s="145"/>
      <c r="CH215" s="89"/>
      <c r="CI215" s="89"/>
      <c r="CJ215" s="89"/>
      <c r="CK215" s="89"/>
      <c r="CS215" s="57"/>
      <c r="CT215" s="57"/>
      <c r="CU215" s="57"/>
      <c r="CV215" s="60"/>
      <c r="DX215" s="1"/>
    </row>
    <row r="216" spans="2:128" ht="19.5" customHeight="1">
      <c r="B216" s="251"/>
      <c r="C216" s="236"/>
      <c r="AC216" s="236"/>
      <c r="AD216" s="236"/>
      <c r="AE216" s="236"/>
      <c r="AF216" s="236"/>
      <c r="AG216" s="236"/>
      <c r="AH216" s="236"/>
      <c r="AI216" s="236"/>
      <c r="AJ216" s="236"/>
      <c r="AK216" s="236"/>
      <c r="AT216" s="237"/>
      <c r="AU216" s="238"/>
      <c r="AX216" s="662" t="s">
        <v>2130</v>
      </c>
      <c r="AY216" s="662" t="s">
        <v>2420</v>
      </c>
      <c r="AZ216" s="792" t="s">
        <v>2421</v>
      </c>
      <c r="BA216" s="158"/>
      <c r="BB216" s="158"/>
      <c r="BC216" s="158"/>
      <c r="BD216" s="158"/>
      <c r="BE216" s="158"/>
      <c r="BF216" s="158"/>
      <c r="BG216" s="158"/>
      <c r="BH216" s="158"/>
      <c r="BI216" s="158"/>
      <c r="CD216" s="145"/>
      <c r="CE216" s="145"/>
      <c r="CF216" s="145"/>
      <c r="CH216" s="89"/>
      <c r="CI216" s="89"/>
      <c r="CJ216" s="89"/>
      <c r="CK216" s="89"/>
      <c r="CV216" s="60"/>
    </row>
    <row r="217" spans="2:128" ht="19.5" customHeight="1">
      <c r="B217" s="251"/>
      <c r="C217" s="236"/>
      <c r="AC217" s="236"/>
      <c r="AD217" s="236"/>
      <c r="AE217" s="236"/>
      <c r="AF217" s="236"/>
      <c r="AG217" s="236"/>
      <c r="AH217" s="236"/>
      <c r="AI217" s="236"/>
      <c r="AJ217" s="236"/>
      <c r="AK217" s="236"/>
      <c r="AT217" s="237"/>
      <c r="AU217" s="238"/>
      <c r="AX217" s="662" t="s">
        <v>2131</v>
      </c>
      <c r="AY217" s="662" t="s">
        <v>2422</v>
      </c>
      <c r="AZ217" s="792" t="s">
        <v>2423</v>
      </c>
      <c r="BA217" s="158"/>
      <c r="BB217" s="158"/>
      <c r="BC217" s="158"/>
      <c r="BD217" s="158"/>
      <c r="BE217" s="158"/>
      <c r="BF217" s="158"/>
      <c r="BG217" s="158"/>
      <c r="BH217" s="158"/>
      <c r="BI217" s="158"/>
      <c r="CD217" s="145"/>
      <c r="CE217" s="145"/>
      <c r="CF217" s="145"/>
      <c r="CH217" s="89"/>
      <c r="CI217" s="89"/>
      <c r="CJ217" s="89"/>
      <c r="CK217" s="89"/>
    </row>
    <row r="218" spans="2:128" ht="19.5" customHeight="1">
      <c r="B218" s="251"/>
      <c r="C218" s="236"/>
      <c r="AC218" s="236"/>
      <c r="AD218" s="236"/>
      <c r="AE218" s="236"/>
      <c r="AF218" s="236"/>
      <c r="AG218" s="236"/>
      <c r="AH218" s="236"/>
      <c r="AI218" s="236"/>
      <c r="AJ218" s="236"/>
      <c r="AK218" s="236"/>
      <c r="AT218" s="237"/>
      <c r="AU218" s="238"/>
      <c r="AX218" s="662" t="s">
        <v>2132</v>
      </c>
      <c r="AY218" s="662" t="s">
        <v>2424</v>
      </c>
      <c r="AZ218" s="792" t="s">
        <v>2425</v>
      </c>
      <c r="BA218" s="158"/>
      <c r="BB218" s="158"/>
      <c r="BC218" s="158"/>
      <c r="BD218" s="158"/>
      <c r="BE218" s="158"/>
      <c r="BF218" s="158"/>
      <c r="BG218" s="158"/>
      <c r="BH218" s="158"/>
      <c r="BI218" s="158"/>
      <c r="CD218" s="145"/>
      <c r="CE218" s="145"/>
      <c r="CF218" s="145"/>
    </row>
    <row r="219" spans="2:128" ht="19.5" customHeight="1">
      <c r="B219" s="251"/>
      <c r="C219" s="236"/>
      <c r="AC219" s="236"/>
      <c r="AD219" s="236"/>
      <c r="AE219" s="236"/>
      <c r="AF219" s="236"/>
      <c r="AG219" s="236"/>
      <c r="AH219" s="236"/>
      <c r="AI219" s="236"/>
      <c r="AJ219" s="236"/>
      <c r="AK219" s="236"/>
      <c r="AT219" s="237"/>
      <c r="AU219" s="238"/>
      <c r="AX219" s="662" t="s">
        <v>2133</v>
      </c>
      <c r="AY219" s="662" t="s">
        <v>2426</v>
      </c>
      <c r="AZ219" s="792" t="s">
        <v>2427</v>
      </c>
      <c r="BA219" s="158"/>
      <c r="BB219" s="158"/>
      <c r="BC219" s="158"/>
      <c r="BD219" s="158"/>
      <c r="BE219" s="158"/>
      <c r="BF219" s="158"/>
      <c r="BG219" s="158"/>
      <c r="BH219" s="158"/>
      <c r="BI219" s="158"/>
      <c r="CD219" s="145"/>
      <c r="CE219" s="145"/>
      <c r="CF219" s="145"/>
      <c r="CH219" s="89"/>
      <c r="CI219" s="89"/>
      <c r="CJ219" s="89"/>
      <c r="CK219" s="89"/>
      <c r="DX219" s="1"/>
    </row>
    <row r="220" spans="2:128" ht="19.5" customHeight="1">
      <c r="B220" s="251"/>
      <c r="C220" s="236"/>
      <c r="AC220" s="236"/>
      <c r="AD220" s="236"/>
      <c r="AE220" s="236"/>
      <c r="AF220" s="236"/>
      <c r="AG220" s="236"/>
      <c r="AH220" s="236"/>
      <c r="AI220" s="236"/>
      <c r="AJ220" s="236"/>
      <c r="AK220" s="236"/>
      <c r="AT220" s="237"/>
      <c r="AU220" s="238"/>
      <c r="AX220" s="662" t="s">
        <v>2134</v>
      </c>
      <c r="AY220" s="662" t="s">
        <v>2428</v>
      </c>
      <c r="AZ220" s="792" t="s">
        <v>2429</v>
      </c>
      <c r="BA220" s="158"/>
      <c r="BB220" s="158"/>
      <c r="BC220" s="158"/>
      <c r="BD220" s="158"/>
      <c r="BE220" s="158"/>
      <c r="BF220" s="158"/>
      <c r="BG220" s="158"/>
      <c r="BH220" s="158"/>
      <c r="BI220" s="158"/>
      <c r="CD220" s="145"/>
      <c r="CE220" s="145"/>
      <c r="CF220" s="145"/>
      <c r="CH220" s="89"/>
      <c r="CI220" s="89"/>
      <c r="CJ220" s="89"/>
      <c r="CK220" s="89"/>
      <c r="CL220" s="89"/>
      <c r="CM220" s="89"/>
      <c r="CN220" s="89"/>
      <c r="CO220" s="86"/>
      <c r="DX220" s="1"/>
    </row>
    <row r="221" spans="2:128" ht="19.5" customHeight="1">
      <c r="B221" s="251"/>
      <c r="C221" s="236"/>
      <c r="AC221" s="236"/>
      <c r="AD221" s="236"/>
      <c r="AE221" s="236"/>
      <c r="AF221" s="236"/>
      <c r="AG221" s="236"/>
      <c r="AH221" s="236"/>
      <c r="AI221" s="236"/>
      <c r="AJ221" s="236"/>
      <c r="AK221" s="236"/>
      <c r="AT221" s="237"/>
      <c r="AU221" s="238"/>
      <c r="AX221" s="662" t="s">
        <v>2135</v>
      </c>
      <c r="AY221" s="662" t="s">
        <v>2430</v>
      </c>
      <c r="AZ221" s="790" t="s">
        <v>2431</v>
      </c>
      <c r="BA221" s="158"/>
      <c r="BB221" s="158"/>
      <c r="BC221" s="158"/>
      <c r="BD221" s="158"/>
      <c r="BE221" s="158"/>
      <c r="BF221" s="158"/>
      <c r="BG221" s="158"/>
      <c r="BH221" s="158"/>
      <c r="BI221" s="158"/>
      <c r="CD221" s="145"/>
      <c r="CE221" s="145"/>
      <c r="CF221" s="145"/>
      <c r="CH221" s="46"/>
      <c r="CI221" s="46"/>
      <c r="CJ221" s="47"/>
      <c r="CK221" s="89"/>
      <c r="CL221" s="89"/>
      <c r="CM221" s="89"/>
      <c r="CN221" s="89"/>
      <c r="CO221" s="86"/>
      <c r="DX221" s="1"/>
    </row>
    <row r="222" spans="2:128" ht="19.5" customHeight="1">
      <c r="B222" s="251"/>
      <c r="C222" s="236"/>
      <c r="AC222" s="236"/>
      <c r="AD222" s="236"/>
      <c r="AE222" s="236"/>
      <c r="AF222" s="236"/>
      <c r="AG222" s="236"/>
      <c r="AH222" s="236"/>
      <c r="AI222" s="236"/>
      <c r="AJ222" s="236"/>
      <c r="AK222" s="236"/>
      <c r="AU222" s="238"/>
      <c r="AX222" s="662" t="s">
        <v>2136</v>
      </c>
      <c r="AY222" s="662" t="s">
        <v>2432</v>
      </c>
      <c r="AZ222" s="166"/>
      <c r="BA222" s="158"/>
      <c r="BB222" s="158"/>
      <c r="BC222" s="158"/>
      <c r="BD222" s="158"/>
      <c r="BE222" s="158"/>
      <c r="BF222" s="158"/>
      <c r="BG222" s="158"/>
      <c r="BH222" s="158"/>
      <c r="BI222" s="158"/>
      <c r="CD222" s="145"/>
      <c r="CE222" s="145"/>
      <c r="CF222" s="145"/>
      <c r="CH222" s="46"/>
      <c r="CI222" s="46"/>
      <c r="CJ222" s="47"/>
      <c r="CK222" s="89"/>
      <c r="CL222" s="89"/>
      <c r="CM222" s="89"/>
      <c r="CN222" s="89"/>
      <c r="CO222" s="86"/>
      <c r="DX222" s="1"/>
    </row>
    <row r="223" spans="2:128" ht="19.5" customHeight="1">
      <c r="B223" s="251"/>
      <c r="C223" s="236"/>
      <c r="AC223" s="236"/>
      <c r="AD223" s="236"/>
      <c r="AE223" s="236"/>
      <c r="AF223" s="236"/>
      <c r="AG223" s="236"/>
      <c r="AH223" s="236"/>
      <c r="AI223" s="236"/>
      <c r="AJ223" s="236"/>
      <c r="AK223" s="236"/>
      <c r="AU223" s="238"/>
      <c r="AX223" s="662" t="s">
        <v>2137</v>
      </c>
      <c r="AY223" s="662" t="s">
        <v>2433</v>
      </c>
      <c r="AZ223" s="166"/>
      <c r="BA223" s="158"/>
      <c r="BB223" s="158"/>
      <c r="BC223" s="158"/>
      <c r="BD223" s="158"/>
      <c r="BE223" s="158"/>
      <c r="BF223" s="158"/>
      <c r="BG223" s="158"/>
      <c r="BH223" s="158"/>
      <c r="BI223" s="158"/>
      <c r="CD223" s="145"/>
      <c r="CE223" s="145"/>
      <c r="CF223" s="145"/>
      <c r="CH223" s="46"/>
      <c r="CI223" s="46"/>
      <c r="CJ223" s="47"/>
      <c r="CK223" s="89"/>
      <c r="DX223" s="1"/>
    </row>
    <row r="224" spans="2:128" ht="19.5" customHeight="1">
      <c r="B224" s="251"/>
      <c r="C224" s="236"/>
      <c r="AC224" s="236"/>
      <c r="AD224" s="236"/>
      <c r="AE224" s="236"/>
      <c r="AF224" s="236"/>
      <c r="AG224" s="236"/>
      <c r="AH224" s="236"/>
      <c r="AI224" s="236"/>
      <c r="AJ224" s="236"/>
      <c r="AK224" s="236"/>
      <c r="AU224" s="238"/>
      <c r="AX224" s="662" t="s">
        <v>2138</v>
      </c>
      <c r="AY224" s="662" t="s">
        <v>2434</v>
      </c>
      <c r="AZ224" s="166"/>
      <c r="BA224" s="158"/>
      <c r="BB224" s="158"/>
      <c r="BC224" s="158"/>
      <c r="BD224" s="158"/>
      <c r="BE224" s="158"/>
      <c r="BF224" s="158"/>
      <c r="BG224" s="158"/>
      <c r="BH224" s="158"/>
      <c r="BI224" s="158"/>
      <c r="CD224" s="145"/>
      <c r="CE224" s="145"/>
      <c r="CF224" s="145"/>
      <c r="CH224" s="89"/>
      <c r="CI224" s="89"/>
      <c r="CJ224" s="89"/>
      <c r="CK224" s="89"/>
      <c r="DX224" s="1"/>
    </row>
    <row r="225" spans="2:128" ht="19.5" customHeight="1">
      <c r="B225" s="251"/>
      <c r="C225" s="236"/>
      <c r="AC225" s="236"/>
      <c r="AD225" s="236"/>
      <c r="AE225" s="236"/>
      <c r="AF225" s="236"/>
      <c r="AG225" s="236"/>
      <c r="AH225" s="236"/>
      <c r="AI225" s="236"/>
      <c r="AJ225" s="236"/>
      <c r="AK225" s="236"/>
      <c r="AU225" s="238"/>
      <c r="AX225" s="662" t="s">
        <v>2139</v>
      </c>
      <c r="AY225" s="662" t="s">
        <v>2435</v>
      </c>
      <c r="AZ225" s="166"/>
      <c r="BA225" s="158"/>
      <c r="BB225" s="158"/>
      <c r="BC225" s="158"/>
      <c r="BD225" s="158"/>
      <c r="BE225" s="158"/>
      <c r="BF225" s="158"/>
      <c r="BG225" s="158"/>
      <c r="BH225" s="158"/>
      <c r="BI225" s="158"/>
      <c r="CD225" s="145"/>
      <c r="CE225" s="145"/>
      <c r="CF225" s="145"/>
      <c r="CH225" s="89"/>
      <c r="CI225" s="89"/>
      <c r="CJ225" s="89"/>
      <c r="CK225" s="89"/>
      <c r="DX225" s="1"/>
    </row>
    <row r="226" spans="2:128" ht="19.5" customHeight="1">
      <c r="B226" s="251"/>
      <c r="C226" s="236"/>
      <c r="AC226" s="236"/>
      <c r="AD226" s="236"/>
      <c r="AE226" s="236"/>
      <c r="AF226" s="236"/>
      <c r="AG226" s="236"/>
      <c r="AH226" s="236"/>
      <c r="AI226" s="236"/>
      <c r="AJ226" s="236"/>
      <c r="AK226" s="236"/>
      <c r="AU226" s="238"/>
      <c r="AX226" s="662" t="s">
        <v>2140</v>
      </c>
      <c r="AY226" s="665" t="s">
        <v>2436</v>
      </c>
      <c r="AZ226" s="166"/>
      <c r="BA226" s="158"/>
      <c r="BB226" s="158"/>
      <c r="BC226" s="158"/>
      <c r="BD226" s="158"/>
      <c r="BE226" s="158"/>
      <c r="BF226" s="158"/>
      <c r="BG226" s="158"/>
      <c r="BH226" s="158"/>
      <c r="BI226" s="158"/>
      <c r="CD226" s="145"/>
      <c r="CE226" s="145"/>
      <c r="CF226" s="145"/>
      <c r="DX226" s="1"/>
    </row>
    <row r="227" spans="2:128" ht="19.5" customHeight="1">
      <c r="B227" s="251"/>
      <c r="C227" s="236"/>
      <c r="AC227" s="236"/>
      <c r="AD227" s="236"/>
      <c r="AE227" s="236"/>
      <c r="AF227" s="236"/>
      <c r="AG227" s="236"/>
      <c r="AH227" s="236"/>
      <c r="AI227" s="236"/>
      <c r="AJ227" s="236"/>
      <c r="AK227" s="236"/>
      <c r="AU227" s="238"/>
      <c r="AX227" s="662" t="s">
        <v>2141</v>
      </c>
      <c r="CD227" s="145"/>
      <c r="CE227" s="145"/>
      <c r="CF227" s="145"/>
      <c r="DX227" s="1"/>
    </row>
    <row r="228" spans="2:128" ht="19.5" customHeight="1">
      <c r="B228" s="251"/>
      <c r="C228" s="236"/>
      <c r="AC228" s="236"/>
      <c r="AD228" s="236"/>
      <c r="AE228" s="236"/>
      <c r="AF228" s="236"/>
      <c r="AG228" s="236"/>
      <c r="AH228" s="236"/>
      <c r="AI228" s="236"/>
      <c r="AJ228" s="236"/>
      <c r="AK228" s="236"/>
      <c r="AU228" s="238"/>
      <c r="AX228" s="662" t="s">
        <v>2142</v>
      </c>
      <c r="CD228" s="145"/>
      <c r="CE228" s="145"/>
      <c r="CF228" s="145"/>
      <c r="DX228" s="1"/>
    </row>
    <row r="229" spans="2:128" ht="19.5" customHeight="1">
      <c r="B229" s="251"/>
      <c r="C229" s="236"/>
      <c r="AC229" s="236"/>
      <c r="AD229" s="236"/>
      <c r="AE229" s="236"/>
      <c r="AF229" s="236"/>
      <c r="AG229" s="236"/>
      <c r="AH229" s="236"/>
      <c r="AI229" s="236"/>
      <c r="AJ229" s="236"/>
      <c r="AK229" s="236"/>
      <c r="AU229" s="238"/>
      <c r="AX229" s="662" t="s">
        <v>2143</v>
      </c>
      <c r="CD229" s="207"/>
      <c r="CE229" s="146"/>
      <c r="CF229" s="208"/>
      <c r="DX229" s="1"/>
    </row>
    <row r="230" spans="2:128" ht="19.5" customHeight="1">
      <c r="B230" s="251"/>
      <c r="C230" s="236"/>
      <c r="AC230" s="236"/>
      <c r="AD230" s="236"/>
      <c r="AE230" s="236"/>
      <c r="AF230" s="236"/>
      <c r="AG230" s="236"/>
      <c r="AH230" s="236"/>
      <c r="AI230" s="236"/>
      <c r="AJ230" s="236"/>
      <c r="AK230" s="236"/>
      <c r="AU230" s="238"/>
      <c r="AX230" s="662" t="s">
        <v>2144</v>
      </c>
      <c r="CD230" s="207"/>
      <c r="CE230" s="146"/>
      <c r="CF230" s="208"/>
      <c r="DX230" s="1"/>
    </row>
    <row r="231" spans="2:128" ht="19.5" customHeight="1">
      <c r="B231" s="251"/>
      <c r="C231" s="236"/>
      <c r="AC231" s="236"/>
      <c r="AD231" s="236"/>
      <c r="AE231" s="236"/>
      <c r="AF231" s="236"/>
      <c r="AG231" s="236"/>
      <c r="AH231" s="236"/>
      <c r="AI231" s="236"/>
      <c r="AJ231" s="236"/>
      <c r="AK231" s="236"/>
      <c r="AU231" s="238"/>
      <c r="AX231" s="662" t="s">
        <v>2145</v>
      </c>
      <c r="CD231" s="207"/>
      <c r="CE231" s="146"/>
      <c r="CF231" s="208"/>
      <c r="DX231" s="1"/>
    </row>
    <row r="232" spans="2:128" ht="19.5" customHeight="1">
      <c r="B232" s="251"/>
      <c r="C232" s="236"/>
      <c r="AC232" s="236"/>
      <c r="AD232" s="236"/>
      <c r="AE232" s="236"/>
      <c r="AF232" s="236"/>
      <c r="AG232" s="236"/>
      <c r="AH232" s="236"/>
      <c r="AI232" s="236"/>
      <c r="AJ232" s="236"/>
      <c r="AK232" s="236"/>
      <c r="AU232" s="238"/>
      <c r="AX232" s="662" t="s">
        <v>2146</v>
      </c>
      <c r="CD232" s="207"/>
      <c r="CE232" s="146"/>
      <c r="CF232" s="208"/>
      <c r="DX232" s="1"/>
    </row>
    <row r="233" spans="2:128" ht="19.5" customHeight="1">
      <c r="B233" s="251"/>
      <c r="C233" s="236"/>
      <c r="AC233" s="236"/>
      <c r="AD233" s="236"/>
      <c r="AE233" s="236"/>
      <c r="AF233" s="236"/>
      <c r="AG233" s="236"/>
      <c r="AH233" s="236"/>
      <c r="AI233" s="236"/>
      <c r="AJ233" s="236"/>
      <c r="AK233" s="236"/>
      <c r="AU233" s="238"/>
      <c r="AX233" s="665" t="s">
        <v>2147</v>
      </c>
      <c r="CD233" s="207"/>
      <c r="CE233" s="146"/>
      <c r="CF233" s="208"/>
      <c r="DX233" s="1"/>
    </row>
    <row r="234" spans="2:128" ht="19.5" customHeight="1">
      <c r="B234" s="251"/>
      <c r="C234" s="236"/>
      <c r="AC234" s="236"/>
      <c r="AD234" s="236"/>
      <c r="AE234" s="236"/>
      <c r="AF234" s="236"/>
      <c r="AG234" s="236"/>
      <c r="AH234" s="236"/>
      <c r="AI234" s="236"/>
      <c r="AJ234" s="236"/>
      <c r="AK234" s="236"/>
      <c r="AU234" s="238"/>
      <c r="BU234" s="24"/>
      <c r="BV234" s="24"/>
      <c r="BW234" s="24"/>
      <c r="BX234" s="24"/>
      <c r="BY234" s="24"/>
      <c r="CD234" s="819"/>
      <c r="CE234" s="820"/>
      <c r="CF234" s="821"/>
      <c r="DX234" s="1"/>
    </row>
    <row r="235" spans="2:128" ht="19.5" customHeight="1">
      <c r="B235" s="251"/>
      <c r="C235" s="236"/>
      <c r="AC235" s="236"/>
      <c r="AD235" s="236"/>
      <c r="AE235" s="236"/>
      <c r="AF235" s="236"/>
      <c r="AG235" s="236"/>
      <c r="AH235" s="236"/>
      <c r="AI235" s="236"/>
      <c r="AJ235" s="236"/>
      <c r="AK235" s="236"/>
      <c r="AU235" s="238"/>
      <c r="AX235" s="166" t="s">
        <v>2437</v>
      </c>
      <c r="AY235" s="166"/>
      <c r="AZ235" s="166"/>
      <c r="BA235" s="166"/>
      <c r="BB235" s="166"/>
      <c r="BC235" s="166"/>
      <c r="BD235" s="166"/>
      <c r="BE235" s="166"/>
      <c r="BF235" s="166"/>
      <c r="BG235" s="166"/>
      <c r="BH235" s="166"/>
      <c r="BI235" s="166"/>
      <c r="BJ235" s="166"/>
      <c r="BK235" s="166"/>
      <c r="BL235" s="166"/>
      <c r="BM235" s="166"/>
      <c r="BN235" s="166"/>
      <c r="BO235" s="166"/>
      <c r="BP235" s="166"/>
      <c r="BQ235" s="166"/>
      <c r="BR235" s="166"/>
      <c r="BS235" s="166"/>
      <c r="BT235" s="166"/>
      <c r="BU235" s="166"/>
      <c r="BV235" s="166"/>
      <c r="BW235" s="166"/>
      <c r="BX235" s="166"/>
      <c r="BY235" s="166"/>
      <c r="BZ235" s="166"/>
      <c r="CA235" s="166"/>
      <c r="CB235" s="166"/>
      <c r="CC235" s="166"/>
      <c r="CD235" s="166"/>
      <c r="CE235" s="166"/>
      <c r="CF235" s="793"/>
      <c r="DX235" s="1"/>
    </row>
    <row r="236" spans="2:128" ht="19.5" customHeight="1">
      <c r="B236" s="251"/>
      <c r="C236" s="236"/>
      <c r="AC236" s="236"/>
      <c r="AD236" s="236"/>
      <c r="AE236" s="236"/>
      <c r="AF236" s="236"/>
      <c r="AG236" s="236"/>
      <c r="AH236" s="236"/>
      <c r="AI236" s="236"/>
      <c r="AJ236" s="236"/>
      <c r="AK236" s="236"/>
      <c r="AU236" s="238"/>
      <c r="AX236" s="972" t="s">
        <v>1028</v>
      </c>
      <c r="AY236" s="972" t="s">
        <v>2283</v>
      </c>
      <c r="AZ236" s="972" t="s">
        <v>3854</v>
      </c>
      <c r="BA236" s="974" t="s">
        <v>2441</v>
      </c>
      <c r="BB236" s="974" t="s">
        <v>3855</v>
      </c>
      <c r="BC236" s="974" t="s">
        <v>2444</v>
      </c>
      <c r="BD236" s="974" t="s">
        <v>2445</v>
      </c>
      <c r="BE236" s="974" t="s">
        <v>2446</v>
      </c>
      <c r="BF236" s="974" t="s">
        <v>2447</v>
      </c>
      <c r="BG236" s="974" t="s">
        <v>2448</v>
      </c>
      <c r="BH236" s="974" t="s">
        <v>2449</v>
      </c>
      <c r="BI236" s="974" t="s">
        <v>2450</v>
      </c>
      <c r="BJ236" s="974" t="s">
        <v>2452</v>
      </c>
      <c r="BK236" s="974" t="s">
        <v>2453</v>
      </c>
      <c r="BL236" s="974" t="s">
        <v>2454</v>
      </c>
      <c r="BM236" s="974" t="s">
        <v>2455</v>
      </c>
      <c r="BN236" s="974" t="s">
        <v>2456</v>
      </c>
      <c r="BO236" s="974" t="s">
        <v>2457</v>
      </c>
      <c r="BP236" s="974" t="s">
        <v>2458</v>
      </c>
      <c r="BQ236" s="974" t="s">
        <v>2459</v>
      </c>
      <c r="BR236" s="974" t="s">
        <v>2460</v>
      </c>
      <c r="BS236" s="974" t="s">
        <v>2461</v>
      </c>
      <c r="BT236" s="974" t="s">
        <v>2451</v>
      </c>
      <c r="BU236" s="974" t="s">
        <v>2462</v>
      </c>
      <c r="BV236" s="974" t="s">
        <v>2463</v>
      </c>
      <c r="BW236" s="974" t="s">
        <v>2468</v>
      </c>
      <c r="BX236" s="974" t="s">
        <v>1891</v>
      </c>
      <c r="BY236" s="152"/>
      <c r="BZ236" s="1102"/>
      <c r="CA236" s="1102"/>
      <c r="CB236" s="630"/>
      <c r="CC236" s="1103"/>
      <c r="CD236" s="1104"/>
      <c r="CE236" s="1105"/>
      <c r="CF236" s="152"/>
      <c r="DX236" s="1"/>
    </row>
    <row r="237" spans="2:128" ht="19.5" customHeight="1">
      <c r="B237" s="251"/>
      <c r="C237" s="236"/>
      <c r="AC237" s="236"/>
      <c r="AD237" s="236"/>
      <c r="AE237" s="236"/>
      <c r="AF237" s="236"/>
      <c r="AG237" s="236"/>
      <c r="AH237" s="236"/>
      <c r="AI237" s="236"/>
      <c r="AJ237" s="236"/>
      <c r="AK237" s="236"/>
      <c r="AU237" s="238"/>
      <c r="AX237" s="969" t="s">
        <v>2073</v>
      </c>
      <c r="AY237" s="977" t="s">
        <v>2073</v>
      </c>
      <c r="AZ237" s="969" t="s">
        <v>2073</v>
      </c>
      <c r="BA237" s="973" t="s">
        <v>2073</v>
      </c>
      <c r="BB237" s="1113" t="s">
        <v>2073</v>
      </c>
      <c r="BC237" s="1113" t="s">
        <v>2073</v>
      </c>
      <c r="BD237" s="973" t="s">
        <v>2073</v>
      </c>
      <c r="BE237" s="1113" t="s">
        <v>2073</v>
      </c>
      <c r="BF237" s="1113" t="s">
        <v>2073</v>
      </c>
      <c r="BG237" s="1113" t="s">
        <v>2073</v>
      </c>
      <c r="BH237" s="973" t="s">
        <v>2073</v>
      </c>
      <c r="BI237" s="973" t="s">
        <v>2073</v>
      </c>
      <c r="BJ237" s="1113" t="s">
        <v>2073</v>
      </c>
      <c r="BK237" s="973" t="s">
        <v>2073</v>
      </c>
      <c r="BL237" s="973" t="s">
        <v>2073</v>
      </c>
      <c r="BM237" s="973" t="s">
        <v>2073</v>
      </c>
      <c r="BN237" s="973" t="s">
        <v>2073</v>
      </c>
      <c r="BO237" s="973" t="s">
        <v>2073</v>
      </c>
      <c r="BP237" s="973" t="s">
        <v>2073</v>
      </c>
      <c r="BQ237" s="973" t="s">
        <v>2073</v>
      </c>
      <c r="BR237" s="1113" t="s">
        <v>2073</v>
      </c>
      <c r="BS237" s="1113" t="s">
        <v>2073</v>
      </c>
      <c r="BT237" s="973" t="s">
        <v>2073</v>
      </c>
      <c r="BU237" s="1113" t="s">
        <v>2073</v>
      </c>
      <c r="BV237" s="973" t="s">
        <v>2073</v>
      </c>
      <c r="BW237" s="973" t="s">
        <v>2073</v>
      </c>
      <c r="BX237" s="1114" t="s">
        <v>2073</v>
      </c>
      <c r="BY237" s="152"/>
      <c r="BZ237" s="1102"/>
      <c r="CA237" s="1102"/>
      <c r="CB237" s="630"/>
      <c r="CC237" s="1103"/>
      <c r="CD237" s="1104"/>
      <c r="CE237" s="1105"/>
      <c r="CF237" s="151"/>
      <c r="DX237" s="1"/>
    </row>
    <row r="238" spans="2:128" ht="19.5" customHeight="1">
      <c r="AL238" s="241"/>
      <c r="AX238" s="662" t="s">
        <v>3856</v>
      </c>
      <c r="AY238" s="664" t="s">
        <v>3857</v>
      </c>
      <c r="AZ238" s="662" t="s">
        <v>3858</v>
      </c>
      <c r="BA238" s="667" t="s">
        <v>3859</v>
      </c>
      <c r="BB238" s="666" t="s">
        <v>3860</v>
      </c>
      <c r="BC238" s="666" t="s">
        <v>3861</v>
      </c>
      <c r="BD238" s="667" t="s">
        <v>3862</v>
      </c>
      <c r="BE238" s="666" t="s">
        <v>3863</v>
      </c>
      <c r="BF238" s="666" t="s">
        <v>3864</v>
      </c>
      <c r="BG238" s="666" t="s">
        <v>3865</v>
      </c>
      <c r="BH238" s="667" t="s">
        <v>3866</v>
      </c>
      <c r="BI238" s="667" t="s">
        <v>3867</v>
      </c>
      <c r="BJ238" s="666" t="s">
        <v>3868</v>
      </c>
      <c r="BK238" s="667" t="s">
        <v>3869</v>
      </c>
      <c r="BL238" s="667" t="s">
        <v>3870</v>
      </c>
      <c r="BM238" s="667" t="s">
        <v>3871</v>
      </c>
      <c r="BN238" s="667" t="s">
        <v>3872</v>
      </c>
      <c r="BO238" s="667" t="s">
        <v>3873</v>
      </c>
      <c r="BP238" s="669" t="s">
        <v>3874</v>
      </c>
      <c r="BQ238" s="669" t="s">
        <v>3875</v>
      </c>
      <c r="BR238" s="668" t="s">
        <v>3876</v>
      </c>
      <c r="BS238" s="666" t="s">
        <v>3877</v>
      </c>
      <c r="BT238" s="667" t="s">
        <v>3878</v>
      </c>
      <c r="BU238" s="666" t="s">
        <v>3879</v>
      </c>
      <c r="BV238" s="667" t="s">
        <v>3880</v>
      </c>
      <c r="BW238" s="667" t="s">
        <v>3881</v>
      </c>
      <c r="BX238" s="152"/>
      <c r="BY238" s="152"/>
      <c r="BZ238" s="1102"/>
      <c r="CA238" s="1102"/>
      <c r="CB238" s="630"/>
      <c r="CC238" s="1103"/>
      <c r="CD238" s="1104"/>
      <c r="CE238" s="1105"/>
      <c r="CF238" s="1106"/>
      <c r="DX238" s="1"/>
    </row>
    <row r="239" spans="2:128" ht="19.5" customHeight="1">
      <c r="AL239" s="241"/>
      <c r="AX239" s="662" t="s">
        <v>3882</v>
      </c>
      <c r="AY239" s="787" t="s">
        <v>3883</v>
      </c>
      <c r="AZ239" s="662" t="s">
        <v>3884</v>
      </c>
      <c r="BA239" s="667" t="s">
        <v>3885</v>
      </c>
      <c r="BB239" s="666" t="s">
        <v>3886</v>
      </c>
      <c r="BC239" s="666" t="s">
        <v>3887</v>
      </c>
      <c r="BD239" s="667" t="s">
        <v>3888</v>
      </c>
      <c r="BE239" s="666" t="s">
        <v>3889</v>
      </c>
      <c r="BF239" s="666" t="s">
        <v>3890</v>
      </c>
      <c r="BG239" s="666" t="s">
        <v>3891</v>
      </c>
      <c r="BH239" s="667" t="s">
        <v>3892</v>
      </c>
      <c r="BI239" s="667" t="s">
        <v>3893</v>
      </c>
      <c r="BJ239" s="668" t="s">
        <v>3894</v>
      </c>
      <c r="BK239" s="667" t="s">
        <v>3895</v>
      </c>
      <c r="BL239" s="667" t="s">
        <v>3896</v>
      </c>
      <c r="BM239" s="667" t="s">
        <v>3897</v>
      </c>
      <c r="BN239" s="667" t="s">
        <v>3898</v>
      </c>
      <c r="BO239" s="669" t="s">
        <v>3899</v>
      </c>
      <c r="BP239" s="152"/>
      <c r="BQ239" s="152"/>
      <c r="BR239" s="152"/>
      <c r="BS239" s="666" t="s">
        <v>3900</v>
      </c>
      <c r="BT239" s="667" t="s">
        <v>3901</v>
      </c>
      <c r="BU239" s="666" t="s">
        <v>3902</v>
      </c>
      <c r="BV239" s="667" t="s">
        <v>3903</v>
      </c>
      <c r="BW239" s="669" t="s">
        <v>3904</v>
      </c>
      <c r="BX239" s="152"/>
      <c r="BY239" s="152"/>
      <c r="BZ239" s="1102"/>
      <c r="CA239" s="1102"/>
      <c r="CB239" s="630"/>
      <c r="CC239" s="1103"/>
      <c r="CD239" s="1104"/>
      <c r="CE239" s="1105"/>
      <c r="CF239" s="1106"/>
      <c r="DX239" s="1"/>
    </row>
    <row r="240" spans="2:128" ht="19.5" customHeight="1">
      <c r="AL240" s="241"/>
      <c r="AX240" s="662" t="s">
        <v>3905</v>
      </c>
      <c r="AY240" s="151"/>
      <c r="AZ240" s="662" t="s">
        <v>3906</v>
      </c>
      <c r="BA240" s="667" t="s">
        <v>3907</v>
      </c>
      <c r="BB240" s="666" t="s">
        <v>3908</v>
      </c>
      <c r="BC240" s="666" t="s">
        <v>3909</v>
      </c>
      <c r="BD240" s="667" t="s">
        <v>3910</v>
      </c>
      <c r="BE240" s="666" t="s">
        <v>3911</v>
      </c>
      <c r="BF240" s="666" t="s">
        <v>3912</v>
      </c>
      <c r="BG240" s="666" t="s">
        <v>3913</v>
      </c>
      <c r="BH240" s="667" t="s">
        <v>3914</v>
      </c>
      <c r="BI240" s="667" t="s">
        <v>3915</v>
      </c>
      <c r="BJ240" s="152"/>
      <c r="BK240" s="667" t="s">
        <v>3916</v>
      </c>
      <c r="BL240" s="667" t="s">
        <v>3917</v>
      </c>
      <c r="BM240" s="667" t="s">
        <v>3918</v>
      </c>
      <c r="BN240" s="667" t="s">
        <v>3919</v>
      </c>
      <c r="BO240" s="152"/>
      <c r="BP240" s="152"/>
      <c r="BQ240" s="152"/>
      <c r="BR240" s="152"/>
      <c r="BS240" s="668" t="s">
        <v>3920</v>
      </c>
      <c r="BT240" s="667" t="s">
        <v>3921</v>
      </c>
      <c r="BU240" s="666" t="s">
        <v>3922</v>
      </c>
      <c r="BV240" s="667" t="s">
        <v>3923</v>
      </c>
      <c r="BW240" s="152"/>
      <c r="BX240" s="152"/>
      <c r="BY240" s="152"/>
      <c r="BZ240" s="1102"/>
      <c r="CA240" s="1102"/>
      <c r="CB240" s="630"/>
      <c r="CC240" s="1103"/>
      <c r="CD240" s="1104"/>
      <c r="CE240" s="1105"/>
      <c r="CF240" s="1106"/>
      <c r="DX240" s="1"/>
    </row>
    <row r="241" spans="38:128" ht="19.5" customHeight="1">
      <c r="AL241" s="241"/>
      <c r="AX241" s="662" t="s">
        <v>3924</v>
      </c>
      <c r="AY241" s="151"/>
      <c r="AZ241" s="662" t="s">
        <v>3925</v>
      </c>
      <c r="BA241" s="667" t="s">
        <v>3926</v>
      </c>
      <c r="BB241" s="668" t="s">
        <v>3927</v>
      </c>
      <c r="BC241" s="666" t="s">
        <v>3928</v>
      </c>
      <c r="BD241" s="667" t="s">
        <v>3929</v>
      </c>
      <c r="BE241" s="666" t="s">
        <v>3930</v>
      </c>
      <c r="BF241" s="666" t="s">
        <v>3931</v>
      </c>
      <c r="BG241" s="666" t="s">
        <v>3932</v>
      </c>
      <c r="BH241" s="667" t="s">
        <v>3933</v>
      </c>
      <c r="BI241" s="667" t="s">
        <v>3934</v>
      </c>
      <c r="BJ241" s="152"/>
      <c r="BK241" s="667" t="s">
        <v>3935</v>
      </c>
      <c r="BL241" s="667" t="s">
        <v>3936</v>
      </c>
      <c r="BM241" s="667" t="s">
        <v>3937</v>
      </c>
      <c r="BN241" s="667" t="s">
        <v>3938</v>
      </c>
      <c r="BO241" s="152"/>
      <c r="BP241" s="152"/>
      <c r="BQ241" s="152"/>
      <c r="BR241" s="152"/>
      <c r="BS241" s="152"/>
      <c r="BT241" s="667" t="s">
        <v>3939</v>
      </c>
      <c r="BU241" s="668" t="s">
        <v>3940</v>
      </c>
      <c r="BV241" s="667" t="s">
        <v>3941</v>
      </c>
      <c r="BW241" s="152"/>
      <c r="BX241" s="152"/>
      <c r="BY241" s="152"/>
      <c r="BZ241" s="1102"/>
      <c r="CA241" s="1102"/>
      <c r="CB241" s="630"/>
      <c r="CC241" s="1103"/>
      <c r="CD241" s="1104"/>
      <c r="CE241" s="1107"/>
      <c r="CF241" s="1106"/>
      <c r="DX241" s="1"/>
    </row>
    <row r="242" spans="38:128" ht="19.5" customHeight="1">
      <c r="AL242" s="241"/>
      <c r="AX242" s="662" t="s">
        <v>3942</v>
      </c>
      <c r="AY242" s="151"/>
      <c r="AZ242" s="662" t="s">
        <v>3943</v>
      </c>
      <c r="BA242" s="669" t="s">
        <v>3944</v>
      </c>
      <c r="BB242" s="152"/>
      <c r="BC242" s="666" t="s">
        <v>3945</v>
      </c>
      <c r="BD242" s="667" t="s">
        <v>3946</v>
      </c>
      <c r="BE242" s="668" t="s">
        <v>3947</v>
      </c>
      <c r="BF242" s="666" t="s">
        <v>3948</v>
      </c>
      <c r="BG242" s="666" t="s">
        <v>3949</v>
      </c>
      <c r="BH242" s="667" t="s">
        <v>3950</v>
      </c>
      <c r="BI242" s="667" t="s">
        <v>3951</v>
      </c>
      <c r="BJ242" s="152"/>
      <c r="BK242" s="667" t="s">
        <v>3952</v>
      </c>
      <c r="BL242" s="667" t="s">
        <v>3953</v>
      </c>
      <c r="BM242" s="667" t="s">
        <v>3954</v>
      </c>
      <c r="BN242" s="667" t="s">
        <v>3955</v>
      </c>
      <c r="BO242" s="152"/>
      <c r="BP242" s="152"/>
      <c r="BQ242" s="152"/>
      <c r="BR242" s="152"/>
      <c r="BS242" s="152"/>
      <c r="BT242" s="669" t="s">
        <v>3956</v>
      </c>
      <c r="BU242" s="152"/>
      <c r="BV242" s="667" t="s">
        <v>3957</v>
      </c>
      <c r="BW242" s="152"/>
      <c r="BX242" s="152"/>
      <c r="BY242" s="152"/>
      <c r="BZ242" s="1102"/>
      <c r="CA242" s="1102"/>
      <c r="CB242" s="630"/>
      <c r="CC242" s="1103"/>
      <c r="CD242" s="1106"/>
      <c r="CE242" s="1106"/>
      <c r="CF242" s="1106"/>
      <c r="DX242" s="1"/>
    </row>
    <row r="243" spans="38:128" ht="19.5" customHeight="1">
      <c r="AL243" s="241"/>
      <c r="AX243" s="662" t="s">
        <v>3958</v>
      </c>
      <c r="AY243" s="151"/>
      <c r="AZ243" s="662" t="s">
        <v>3959</v>
      </c>
      <c r="BA243" s="152"/>
      <c r="BB243" s="152"/>
      <c r="BC243" s="666" t="s">
        <v>3960</v>
      </c>
      <c r="BD243" s="667" t="s">
        <v>3961</v>
      </c>
      <c r="BE243" s="152"/>
      <c r="BF243" s="666" t="s">
        <v>3962</v>
      </c>
      <c r="BG243" s="666" t="s">
        <v>3963</v>
      </c>
      <c r="BH243" s="667" t="s">
        <v>3964</v>
      </c>
      <c r="BI243" s="669" t="s">
        <v>3965</v>
      </c>
      <c r="BJ243" s="152"/>
      <c r="BK243" s="667" t="s">
        <v>3966</v>
      </c>
      <c r="BL243" s="667" t="s">
        <v>3967</v>
      </c>
      <c r="BM243" s="667" t="s">
        <v>3968</v>
      </c>
      <c r="BN243" s="667" t="s">
        <v>3969</v>
      </c>
      <c r="BO243" s="152"/>
      <c r="BP243" s="152"/>
      <c r="BQ243" s="152"/>
      <c r="BR243" s="152"/>
      <c r="BS243" s="152"/>
      <c r="BT243" s="152"/>
      <c r="BU243" s="152"/>
      <c r="BV243" s="669" t="s">
        <v>3970</v>
      </c>
      <c r="BW243" s="152"/>
      <c r="BX243" s="152"/>
      <c r="BY243" s="152"/>
      <c r="BZ243" s="1102"/>
      <c r="CA243" s="1102"/>
      <c r="CB243" s="630"/>
      <c r="CC243" s="1103"/>
      <c r="CD243" s="1106"/>
      <c r="CE243" s="1106"/>
      <c r="CF243" s="1106"/>
      <c r="DX243" s="1"/>
    </row>
    <row r="244" spans="38:128" ht="19.5" customHeight="1">
      <c r="AL244" s="241"/>
      <c r="AX244" s="662" t="s">
        <v>3971</v>
      </c>
      <c r="AY244" s="151"/>
      <c r="AZ244" s="662" t="s">
        <v>3972</v>
      </c>
      <c r="BA244" s="152"/>
      <c r="BB244" s="152"/>
      <c r="BC244" s="668" t="s">
        <v>3973</v>
      </c>
      <c r="BD244" s="667" t="s">
        <v>3974</v>
      </c>
      <c r="BE244" s="152"/>
      <c r="BF244" s="666" t="s">
        <v>3975</v>
      </c>
      <c r="BG244" s="666" t="s">
        <v>3976</v>
      </c>
      <c r="BH244" s="667" t="s">
        <v>3977</v>
      </c>
      <c r="BI244" s="152"/>
      <c r="BJ244" s="152"/>
      <c r="BK244" s="667" t="s">
        <v>3978</v>
      </c>
      <c r="BL244" s="667" t="s">
        <v>3979</v>
      </c>
      <c r="BM244" s="669" t="s">
        <v>3980</v>
      </c>
      <c r="BN244" s="669" t="s">
        <v>3981</v>
      </c>
      <c r="BO244" s="152"/>
      <c r="BP244" s="152"/>
      <c r="BQ244" s="152"/>
      <c r="BR244" s="152"/>
      <c r="BS244" s="152"/>
      <c r="BT244" s="152"/>
      <c r="BU244" s="152"/>
      <c r="BV244" s="152"/>
      <c r="BW244" s="152"/>
      <c r="BX244" s="152"/>
      <c r="BY244" s="152"/>
      <c r="BZ244" s="1102"/>
      <c r="CA244" s="1102"/>
      <c r="CB244" s="630"/>
      <c r="CC244" s="1103"/>
      <c r="CD244" s="1106"/>
      <c r="CE244" s="1108"/>
      <c r="CF244" s="1106"/>
      <c r="DX244" s="1"/>
    </row>
    <row r="245" spans="38:128" ht="19.5" customHeight="1">
      <c r="AL245" s="241"/>
      <c r="AX245" s="662" t="s">
        <v>3982</v>
      </c>
      <c r="AY245" s="151"/>
      <c r="AZ245" s="662" t="s">
        <v>3983</v>
      </c>
      <c r="BA245" s="152"/>
      <c r="BB245" s="152"/>
      <c r="BC245" s="152"/>
      <c r="BD245" s="669" t="s">
        <v>3984</v>
      </c>
      <c r="BE245" s="152"/>
      <c r="BF245" s="668" t="s">
        <v>3985</v>
      </c>
      <c r="BG245" s="666" t="s">
        <v>3986</v>
      </c>
      <c r="BH245" s="667" t="s">
        <v>3987</v>
      </c>
      <c r="BI245" s="152"/>
      <c r="BJ245" s="152"/>
      <c r="BK245" s="667" t="s">
        <v>3988</v>
      </c>
      <c r="BL245" s="667" t="s">
        <v>3989</v>
      </c>
      <c r="BM245" s="152"/>
      <c r="BN245" s="152"/>
      <c r="BO245" s="152"/>
      <c r="BP245" s="152"/>
      <c r="BQ245" s="152"/>
      <c r="BR245" s="152"/>
      <c r="BS245" s="152"/>
      <c r="BT245" s="152"/>
      <c r="BU245" s="152"/>
      <c r="BV245" s="152"/>
      <c r="BW245" s="152"/>
      <c r="BX245" s="152"/>
      <c r="BY245" s="152"/>
      <c r="BZ245" s="1102"/>
      <c r="CA245" s="1102"/>
      <c r="CB245" s="630"/>
      <c r="CC245" s="1103"/>
      <c r="CD245" s="1109"/>
      <c r="CE245" s="1109"/>
      <c r="CF245" s="1110"/>
      <c r="DX245" s="1"/>
    </row>
    <row r="246" spans="38:128" ht="19.5" customHeight="1">
      <c r="AL246" s="241"/>
      <c r="AX246" s="662" t="s">
        <v>3990</v>
      </c>
      <c r="AY246" s="151"/>
      <c r="AZ246" s="662" t="s">
        <v>3991</v>
      </c>
      <c r="BA246" s="152"/>
      <c r="BB246" s="152"/>
      <c r="BC246" s="152"/>
      <c r="BD246" s="152"/>
      <c r="BE246" s="152"/>
      <c r="BF246" s="152"/>
      <c r="BG246" s="666" t="s">
        <v>3992</v>
      </c>
      <c r="BH246" s="667" t="s">
        <v>3993</v>
      </c>
      <c r="BI246" s="152"/>
      <c r="BJ246" s="152"/>
      <c r="BK246" s="667" t="s">
        <v>3994</v>
      </c>
      <c r="BL246" s="667" t="s">
        <v>3995</v>
      </c>
      <c r="BM246" s="152"/>
      <c r="BN246" s="152"/>
      <c r="BO246" s="152"/>
      <c r="BP246" s="152"/>
      <c r="BQ246" s="152"/>
      <c r="BR246" s="152"/>
      <c r="BS246" s="152"/>
      <c r="BT246" s="152"/>
      <c r="BU246" s="152"/>
      <c r="BV246" s="152"/>
      <c r="BW246" s="152"/>
      <c r="BX246" s="152"/>
      <c r="BY246" s="152"/>
      <c r="BZ246" s="1102"/>
      <c r="CA246" s="1102"/>
      <c r="CB246" s="630"/>
      <c r="CC246" s="1103"/>
      <c r="CD246" s="1109"/>
      <c r="CE246" s="1109"/>
      <c r="CF246" s="1110"/>
      <c r="DX246" s="1"/>
    </row>
    <row r="247" spans="38:128" ht="19.5" customHeight="1">
      <c r="AL247" s="241"/>
      <c r="AX247" s="662" t="s">
        <v>3996</v>
      </c>
      <c r="AY247" s="151"/>
      <c r="AZ247" s="662" t="s">
        <v>3997</v>
      </c>
      <c r="BA247" s="152"/>
      <c r="BB247" s="152"/>
      <c r="BC247" s="152"/>
      <c r="BD247" s="152"/>
      <c r="BE247" s="152"/>
      <c r="BF247" s="152"/>
      <c r="BG247" s="666" t="s">
        <v>3998</v>
      </c>
      <c r="BH247" s="667" t="s">
        <v>3999</v>
      </c>
      <c r="BI247" s="152"/>
      <c r="BJ247" s="152"/>
      <c r="BK247" s="667" t="s">
        <v>4000</v>
      </c>
      <c r="BL247" s="667" t="s">
        <v>4001</v>
      </c>
      <c r="BM247" s="152"/>
      <c r="BN247" s="152"/>
      <c r="BO247" s="152"/>
      <c r="BP247" s="152"/>
      <c r="BQ247" s="152"/>
      <c r="BR247" s="152"/>
      <c r="BS247" s="152"/>
      <c r="BT247" s="152"/>
      <c r="BU247" s="152"/>
      <c r="BV247" s="152"/>
      <c r="BW247" s="152"/>
      <c r="BX247" s="152"/>
      <c r="BY247" s="152"/>
      <c r="BZ247" s="1102"/>
      <c r="CA247" s="1102"/>
      <c r="CB247" s="630"/>
      <c r="CC247" s="1103"/>
      <c r="CD247" s="1109"/>
      <c r="CE247" s="1109"/>
      <c r="CF247" s="1110"/>
      <c r="DX247" s="1"/>
    </row>
    <row r="248" spans="38:128" ht="19.5" customHeight="1">
      <c r="AL248" s="241"/>
      <c r="AX248" s="662" t="s">
        <v>4002</v>
      </c>
      <c r="AY248" s="151"/>
      <c r="AZ248" s="662" t="s">
        <v>4003</v>
      </c>
      <c r="BA248" s="152"/>
      <c r="BB248" s="152"/>
      <c r="BC248" s="152"/>
      <c r="BD248" s="152"/>
      <c r="BE248" s="152"/>
      <c r="BF248" s="152"/>
      <c r="BG248" s="666" t="s">
        <v>4004</v>
      </c>
      <c r="BH248" s="667" t="s">
        <v>4005</v>
      </c>
      <c r="BI248" s="152"/>
      <c r="BJ248" s="152"/>
      <c r="BK248" s="667" t="s">
        <v>4006</v>
      </c>
      <c r="BL248" s="667" t="s">
        <v>4007</v>
      </c>
      <c r="BM248" s="152"/>
      <c r="BN248" s="152"/>
      <c r="BO248" s="152"/>
      <c r="BP248" s="152"/>
      <c r="BQ248" s="152"/>
      <c r="BR248" s="152"/>
      <c r="BS248" s="152"/>
      <c r="BT248" s="152"/>
      <c r="BU248" s="152"/>
      <c r="BV248" s="152"/>
      <c r="BW248" s="152"/>
      <c r="BX248" s="152"/>
      <c r="BY248" s="152"/>
      <c r="BZ248" s="1102"/>
      <c r="CA248" s="1102"/>
      <c r="CB248" s="630"/>
      <c r="CC248" s="1103"/>
      <c r="CD248" s="1109"/>
      <c r="CE248" s="1109"/>
      <c r="CF248" s="1110"/>
      <c r="DX248" s="1"/>
    </row>
    <row r="249" spans="38:128" ht="19.5" customHeight="1">
      <c r="AL249" s="241"/>
      <c r="AX249" s="662" t="s">
        <v>4008</v>
      </c>
      <c r="AY249" s="151"/>
      <c r="AZ249" s="662" t="s">
        <v>4009</v>
      </c>
      <c r="BA249" s="152"/>
      <c r="BB249" s="152"/>
      <c r="BC249" s="152"/>
      <c r="BD249" s="152"/>
      <c r="BE249" s="152"/>
      <c r="BF249" s="152"/>
      <c r="BG249" s="666" t="s">
        <v>4010</v>
      </c>
      <c r="BH249" s="667" t="s">
        <v>4011</v>
      </c>
      <c r="BI249" s="152"/>
      <c r="BJ249" s="152"/>
      <c r="BK249" s="667" t="s">
        <v>4012</v>
      </c>
      <c r="BL249" s="669" t="s">
        <v>4013</v>
      </c>
      <c r="BM249" s="152"/>
      <c r="BN249" s="152"/>
      <c r="BO249" s="152"/>
      <c r="BP249" s="152"/>
      <c r="BQ249" s="152"/>
      <c r="BR249" s="152"/>
      <c r="BS249" s="152"/>
      <c r="BT249" s="152"/>
      <c r="BU249" s="152"/>
      <c r="BV249" s="152"/>
      <c r="BW249" s="152"/>
      <c r="BX249" s="152"/>
      <c r="BY249" s="152"/>
      <c r="BZ249" s="1102"/>
      <c r="CA249" s="1102"/>
      <c r="CB249" s="630"/>
      <c r="CC249" s="1103"/>
      <c r="CD249" s="1109"/>
      <c r="CE249" s="1109"/>
      <c r="CF249" s="1110"/>
      <c r="DX249" s="1"/>
    </row>
    <row r="250" spans="38:128" ht="19.5" customHeight="1">
      <c r="AL250" s="241"/>
      <c r="AX250" s="662" t="s">
        <v>4014</v>
      </c>
      <c r="AY250" s="151"/>
      <c r="AZ250" s="662" t="s">
        <v>4015</v>
      </c>
      <c r="BA250" s="152"/>
      <c r="BB250" s="152"/>
      <c r="BC250" s="152"/>
      <c r="BD250" s="152"/>
      <c r="BE250" s="152"/>
      <c r="BF250" s="152"/>
      <c r="BG250" s="666" t="s">
        <v>4016</v>
      </c>
      <c r="BH250" s="667" t="s">
        <v>4017</v>
      </c>
      <c r="BI250" s="152"/>
      <c r="BJ250" s="152"/>
      <c r="BK250" s="667" t="s">
        <v>4018</v>
      </c>
      <c r="BL250" s="152"/>
      <c r="BM250" s="152"/>
      <c r="BN250" s="152"/>
      <c r="BO250" s="152"/>
      <c r="BP250" s="152"/>
      <c r="BQ250" s="152"/>
      <c r="BR250" s="152"/>
      <c r="BS250" s="152"/>
      <c r="BT250" s="152"/>
      <c r="BU250" s="152"/>
      <c r="BV250" s="152"/>
      <c r="BW250" s="152"/>
      <c r="BX250" s="152"/>
      <c r="BY250" s="152"/>
      <c r="BZ250" s="1102"/>
      <c r="CA250" s="1102"/>
      <c r="CB250" s="630"/>
      <c r="CC250" s="1103"/>
      <c r="CD250" s="1109"/>
      <c r="CE250" s="1109"/>
      <c r="CF250" s="1110"/>
      <c r="DX250" s="1"/>
    </row>
    <row r="251" spans="38:128" ht="19.5" customHeight="1">
      <c r="AL251" s="241"/>
      <c r="AX251" s="662" t="s">
        <v>4019</v>
      </c>
      <c r="AY251" s="151"/>
      <c r="AZ251" s="662" t="s">
        <v>4020</v>
      </c>
      <c r="BA251" s="152"/>
      <c r="BB251" s="152"/>
      <c r="BC251" s="152"/>
      <c r="BD251" s="152"/>
      <c r="BE251" s="152"/>
      <c r="BF251" s="152"/>
      <c r="BG251" s="666" t="s">
        <v>4021</v>
      </c>
      <c r="BH251" s="667" t="s">
        <v>4022</v>
      </c>
      <c r="BI251" s="152"/>
      <c r="BJ251" s="152"/>
      <c r="BK251" s="667" t="s">
        <v>4023</v>
      </c>
      <c r="BL251" s="152"/>
      <c r="BM251" s="152"/>
      <c r="BN251" s="152"/>
      <c r="BO251" s="152"/>
      <c r="BP251" s="152"/>
      <c r="BQ251" s="152"/>
      <c r="BR251" s="152"/>
      <c r="BS251" s="152"/>
      <c r="BT251" s="152"/>
      <c r="BU251" s="152"/>
      <c r="BV251" s="152"/>
      <c r="BW251" s="152"/>
      <c r="BX251" s="152"/>
      <c r="BY251" s="152"/>
      <c r="BZ251" s="1102"/>
      <c r="CA251" s="1102"/>
      <c r="CB251" s="630"/>
      <c r="CC251" s="1103"/>
      <c r="CD251" s="1106"/>
      <c r="CE251" s="1108"/>
      <c r="CF251" s="1106"/>
      <c r="DX251" s="1"/>
    </row>
    <row r="252" spans="38:128" ht="19.5" customHeight="1">
      <c r="AL252" s="241"/>
      <c r="AX252" s="662" t="s">
        <v>4024</v>
      </c>
      <c r="AY252" s="151"/>
      <c r="AZ252" s="662" t="s">
        <v>4025</v>
      </c>
      <c r="BA252" s="152"/>
      <c r="BB252" s="152"/>
      <c r="BC252" s="152"/>
      <c r="BD252" s="152"/>
      <c r="BE252" s="152"/>
      <c r="BF252" s="152"/>
      <c r="BG252" s="666" t="s">
        <v>4026</v>
      </c>
      <c r="BH252" s="667" t="s">
        <v>4027</v>
      </c>
      <c r="BI252" s="152"/>
      <c r="BJ252" s="152"/>
      <c r="BK252" s="667" t="s">
        <v>4028</v>
      </c>
      <c r="BL252" s="152"/>
      <c r="BM252" s="152"/>
      <c r="BN252" s="152"/>
      <c r="BO252" s="152"/>
      <c r="BP252" s="152"/>
      <c r="BQ252" s="152"/>
      <c r="BR252" s="152"/>
      <c r="BS252" s="152"/>
      <c r="BT252" s="152"/>
      <c r="BU252" s="152"/>
      <c r="BV252" s="152"/>
      <c r="BW252" s="152"/>
      <c r="BX252" s="152"/>
      <c r="BY252" s="152"/>
      <c r="BZ252" s="1102"/>
      <c r="CA252" s="1102"/>
      <c r="CB252" s="630"/>
      <c r="CC252" s="1103"/>
      <c r="CD252" s="1106"/>
      <c r="CE252" s="1108"/>
      <c r="CF252" s="1106"/>
      <c r="DX252" s="1"/>
    </row>
    <row r="253" spans="38:128" ht="19.5" customHeight="1">
      <c r="AL253" s="241"/>
      <c r="AX253" s="662" t="s">
        <v>4029</v>
      </c>
      <c r="AY253" s="151"/>
      <c r="AZ253" s="662" t="s">
        <v>4030</v>
      </c>
      <c r="BA253" s="152"/>
      <c r="BB253" s="152"/>
      <c r="BC253" s="152"/>
      <c r="BD253" s="152"/>
      <c r="BE253" s="152"/>
      <c r="BF253" s="152"/>
      <c r="BG253" s="668" t="s">
        <v>4031</v>
      </c>
      <c r="BH253" s="667" t="s">
        <v>4032</v>
      </c>
      <c r="BI253" s="152"/>
      <c r="BJ253" s="152"/>
      <c r="BK253" s="667" t="s">
        <v>4033</v>
      </c>
      <c r="BL253" s="152"/>
      <c r="BM253" s="152"/>
      <c r="BN253" s="152"/>
      <c r="BO253" s="152"/>
      <c r="BP253" s="152"/>
      <c r="BQ253" s="152"/>
      <c r="BR253" s="152"/>
      <c r="BS253" s="152"/>
      <c r="BT253" s="152"/>
      <c r="BU253" s="152"/>
      <c r="BV253" s="152"/>
      <c r="BW253" s="152"/>
      <c r="BX253" s="152"/>
      <c r="BY253" s="152"/>
      <c r="BZ253" s="1102"/>
      <c r="CA253" s="1102"/>
      <c r="CB253" s="630"/>
      <c r="CC253" s="1103"/>
      <c r="CD253" s="1106"/>
      <c r="CE253" s="1108"/>
      <c r="CF253" s="1106"/>
      <c r="DX253" s="1"/>
    </row>
    <row r="254" spans="38:128" ht="19.5" customHeight="1">
      <c r="AL254" s="241"/>
      <c r="AX254" s="662" t="s">
        <v>4034</v>
      </c>
      <c r="AY254" s="151"/>
      <c r="AZ254" s="662" t="s">
        <v>4035</v>
      </c>
      <c r="BA254" s="152"/>
      <c r="BB254" s="152"/>
      <c r="BC254" s="152"/>
      <c r="BD254" s="152"/>
      <c r="BE254" s="152"/>
      <c r="BF254" s="152"/>
      <c r="BG254" s="152"/>
      <c r="BH254" s="669" t="s">
        <v>4036</v>
      </c>
      <c r="BI254" s="152"/>
      <c r="BJ254" s="152"/>
      <c r="BK254" s="667" t="s">
        <v>4037</v>
      </c>
      <c r="BL254" s="152"/>
      <c r="BM254" s="152"/>
      <c r="BN254" s="152"/>
      <c r="BO254" s="152"/>
      <c r="BP254" s="152"/>
      <c r="BQ254" s="152"/>
      <c r="BR254" s="152"/>
      <c r="BS254" s="152"/>
      <c r="BT254" s="152"/>
      <c r="BU254" s="152"/>
      <c r="BV254" s="152"/>
      <c r="BW254" s="152"/>
      <c r="BX254" s="152"/>
      <c r="BY254" s="152"/>
      <c r="BZ254" s="1102"/>
      <c r="CA254" s="1102"/>
      <c r="CB254" s="630"/>
      <c r="CC254" s="1103"/>
      <c r="CD254" s="1111"/>
      <c r="CE254" s="1108"/>
      <c r="CF254" s="1111"/>
      <c r="DX254" s="1"/>
    </row>
    <row r="255" spans="38:128" ht="19.5" customHeight="1">
      <c r="AL255" s="241"/>
      <c r="AX255" s="662" t="s">
        <v>4038</v>
      </c>
      <c r="AY255" s="151"/>
      <c r="AZ255" s="662" t="s">
        <v>4039</v>
      </c>
      <c r="BA255" s="152"/>
      <c r="BB255" s="152"/>
      <c r="BC255" s="152"/>
      <c r="BD255" s="152"/>
      <c r="BE255" s="152"/>
      <c r="BF255" s="152"/>
      <c r="BG255" s="152"/>
      <c r="BH255" s="152"/>
      <c r="BI255" s="152"/>
      <c r="BJ255" s="152"/>
      <c r="BK255" s="667" t="s">
        <v>4040</v>
      </c>
      <c r="BL255" s="152"/>
      <c r="BM255" s="152"/>
      <c r="BN255" s="152"/>
      <c r="BO255" s="152"/>
      <c r="BP255" s="152"/>
      <c r="BQ255" s="152"/>
      <c r="BR255" s="152"/>
      <c r="BS255" s="152"/>
      <c r="BT255" s="152"/>
      <c r="BU255" s="152"/>
      <c r="BV255" s="152"/>
      <c r="BW255" s="152"/>
      <c r="BX255" s="152"/>
      <c r="BY255" s="152"/>
      <c r="BZ255" s="1102"/>
      <c r="CA255" s="1102"/>
      <c r="CB255" s="630"/>
      <c r="CC255" s="1103"/>
      <c r="CD255" s="1106"/>
      <c r="CE255" s="1108"/>
      <c r="CF255" s="1106"/>
      <c r="DX255" s="1"/>
    </row>
    <row r="256" spans="38:128" ht="19.5" customHeight="1">
      <c r="AL256" s="241"/>
      <c r="AX256" s="662" t="s">
        <v>4041</v>
      </c>
      <c r="AY256" s="151"/>
      <c r="AZ256" s="662" t="s">
        <v>4042</v>
      </c>
      <c r="BA256" s="152"/>
      <c r="BB256" s="152"/>
      <c r="BC256" s="152"/>
      <c r="BD256" s="152"/>
      <c r="BE256" s="152"/>
      <c r="BF256" s="152"/>
      <c r="BG256" s="152"/>
      <c r="BH256" s="152"/>
      <c r="BI256" s="152"/>
      <c r="BJ256" s="152"/>
      <c r="BK256" s="667" t="s">
        <v>4043</v>
      </c>
      <c r="BL256" s="152"/>
      <c r="BM256" s="152"/>
      <c r="BN256" s="152"/>
      <c r="BO256" s="152"/>
      <c r="BP256" s="152"/>
      <c r="BQ256" s="152"/>
      <c r="BR256" s="152"/>
      <c r="BS256" s="152"/>
      <c r="BT256" s="152"/>
      <c r="BU256" s="152"/>
      <c r="BV256" s="152"/>
      <c r="BW256" s="152"/>
      <c r="BX256" s="152"/>
      <c r="BY256" s="152"/>
      <c r="BZ256" s="1102"/>
      <c r="CA256" s="1102"/>
      <c r="CB256" s="630"/>
      <c r="CC256" s="1103"/>
      <c r="CD256" s="1106"/>
      <c r="CE256" s="1108"/>
      <c r="CF256" s="1106"/>
      <c r="DX256" s="1"/>
    </row>
    <row r="257" spans="38:128" ht="19.5" customHeight="1">
      <c r="AL257" s="241"/>
      <c r="AX257" s="662" t="s">
        <v>4044</v>
      </c>
      <c r="AY257" s="151"/>
      <c r="AZ257" s="662" t="s">
        <v>4045</v>
      </c>
      <c r="BA257" s="152"/>
      <c r="BB257" s="152"/>
      <c r="BC257" s="152"/>
      <c r="BD257" s="152"/>
      <c r="BE257" s="152"/>
      <c r="BF257" s="152"/>
      <c r="BG257" s="152"/>
      <c r="BH257" s="152"/>
      <c r="BI257" s="152"/>
      <c r="BJ257" s="152"/>
      <c r="BK257" s="667" t="s">
        <v>4046</v>
      </c>
      <c r="BL257" s="152"/>
      <c r="BM257" s="152"/>
      <c r="BN257" s="152"/>
      <c r="BO257" s="152"/>
      <c r="BP257" s="152"/>
      <c r="BQ257" s="152"/>
      <c r="BR257" s="152"/>
      <c r="BS257" s="152"/>
      <c r="BT257" s="152"/>
      <c r="BU257" s="152"/>
      <c r="BV257" s="152"/>
      <c r="BW257" s="152"/>
      <c r="BX257" s="152"/>
      <c r="BY257" s="152"/>
      <c r="BZ257" s="1102"/>
      <c r="CA257" s="1102"/>
      <c r="CB257" s="630"/>
      <c r="CC257" s="1103"/>
      <c r="CD257" s="1106"/>
      <c r="CE257" s="1108"/>
      <c r="CF257" s="1106"/>
      <c r="DX257" s="1"/>
    </row>
    <row r="258" spans="38:128" ht="19.5" customHeight="1">
      <c r="AL258" s="241"/>
      <c r="AX258" s="662" t="s">
        <v>4047</v>
      </c>
      <c r="AY258" s="151"/>
      <c r="AZ258" s="662" t="s">
        <v>4048</v>
      </c>
      <c r="BA258" s="152"/>
      <c r="BB258" s="152"/>
      <c r="BC258" s="152"/>
      <c r="BD258" s="152"/>
      <c r="BE258" s="152"/>
      <c r="BF258" s="152"/>
      <c r="BG258" s="152"/>
      <c r="BH258" s="152"/>
      <c r="BI258" s="152"/>
      <c r="BJ258" s="152"/>
      <c r="BK258" s="667" t="s">
        <v>4049</v>
      </c>
      <c r="BL258" s="152"/>
      <c r="BM258" s="152"/>
      <c r="BN258" s="152"/>
      <c r="BO258" s="152"/>
      <c r="BP258" s="152"/>
      <c r="BQ258" s="152"/>
      <c r="BR258" s="152"/>
      <c r="BS258" s="152"/>
      <c r="BT258" s="152"/>
      <c r="BU258" s="152"/>
      <c r="BV258" s="152"/>
      <c r="BW258" s="152"/>
      <c r="BX258" s="152"/>
      <c r="BY258" s="152"/>
      <c r="BZ258" s="1102"/>
      <c r="CA258" s="1102"/>
      <c r="CB258" s="630"/>
      <c r="CC258" s="1103"/>
      <c r="CD258" s="1111"/>
      <c r="CE258" s="1112"/>
      <c r="CF258" s="1111"/>
      <c r="DX258" s="1"/>
    </row>
    <row r="259" spans="38:128" ht="19.5" customHeight="1">
      <c r="AL259" s="241"/>
      <c r="AX259" s="662" t="s">
        <v>4050</v>
      </c>
      <c r="AY259" s="151"/>
      <c r="AZ259" s="662" t="s">
        <v>4051</v>
      </c>
      <c r="BA259" s="152"/>
      <c r="BB259" s="152"/>
      <c r="BC259" s="152"/>
      <c r="BD259" s="152"/>
      <c r="BE259" s="152"/>
      <c r="BF259" s="152"/>
      <c r="BG259" s="152"/>
      <c r="BH259" s="152"/>
      <c r="BI259" s="152"/>
      <c r="BJ259" s="152"/>
      <c r="BK259" s="667" t="s">
        <v>4052</v>
      </c>
      <c r="BL259" s="152"/>
      <c r="BM259" s="152"/>
      <c r="BN259" s="152"/>
      <c r="BO259" s="152"/>
      <c r="BP259" s="152"/>
      <c r="BQ259" s="152"/>
      <c r="BR259" s="152"/>
      <c r="BS259" s="152"/>
      <c r="BT259" s="152"/>
      <c r="BU259" s="152"/>
      <c r="BV259" s="152"/>
      <c r="BW259" s="152"/>
      <c r="BX259" s="152"/>
      <c r="BY259" s="152"/>
      <c r="BZ259" s="1102"/>
      <c r="CA259" s="1102"/>
      <c r="CB259" s="630"/>
      <c r="CC259" s="1103"/>
      <c r="CD259" s="1111"/>
      <c r="CE259" s="1112"/>
      <c r="CF259" s="1111"/>
    </row>
    <row r="260" spans="38:128" ht="19.5" customHeight="1">
      <c r="AL260" s="241"/>
      <c r="AX260" s="662" t="s">
        <v>4053</v>
      </c>
      <c r="AY260" s="151"/>
      <c r="AZ260" s="662" t="s">
        <v>4054</v>
      </c>
      <c r="BA260" s="152"/>
      <c r="BB260" s="152"/>
      <c r="BC260" s="152"/>
      <c r="BD260" s="152"/>
      <c r="BE260" s="152"/>
      <c r="BF260" s="152"/>
      <c r="BG260" s="152"/>
      <c r="BH260" s="152"/>
      <c r="BI260" s="152"/>
      <c r="BJ260" s="152"/>
      <c r="BK260" s="667" t="s">
        <v>4055</v>
      </c>
      <c r="BL260" s="152"/>
      <c r="BM260" s="152"/>
      <c r="BN260" s="152"/>
      <c r="BO260" s="152"/>
      <c r="BP260" s="152"/>
      <c r="BQ260" s="152"/>
      <c r="BR260" s="152"/>
      <c r="BS260" s="152"/>
      <c r="BT260" s="152"/>
      <c r="BU260" s="152"/>
      <c r="BV260" s="152"/>
      <c r="BW260" s="152"/>
      <c r="BX260" s="152"/>
      <c r="BY260" s="152"/>
      <c r="BZ260" s="1102"/>
      <c r="CA260" s="1102"/>
      <c r="CB260" s="630"/>
      <c r="CC260" s="1103"/>
      <c r="CD260" s="1111"/>
      <c r="CE260" s="1112"/>
      <c r="CF260" s="1111"/>
    </row>
    <row r="261" spans="38:128" ht="19.5" customHeight="1">
      <c r="AL261" s="241"/>
      <c r="AX261" s="662" t="s">
        <v>4056</v>
      </c>
      <c r="AY261" s="151"/>
      <c r="AZ261" s="662" t="s">
        <v>4057</v>
      </c>
      <c r="BA261" s="152"/>
      <c r="BB261" s="152"/>
      <c r="BC261" s="152"/>
      <c r="BD261" s="152"/>
      <c r="BE261" s="152"/>
      <c r="BF261" s="152"/>
      <c r="BG261" s="152"/>
      <c r="BH261" s="152"/>
      <c r="BI261" s="152"/>
      <c r="BJ261" s="152"/>
      <c r="BK261" s="667" t="s">
        <v>4058</v>
      </c>
      <c r="BL261" s="152"/>
      <c r="BM261" s="152"/>
      <c r="BN261" s="152"/>
      <c r="BO261" s="152"/>
      <c r="BP261" s="152"/>
      <c r="BQ261" s="152"/>
      <c r="BR261" s="152"/>
      <c r="BS261" s="152"/>
      <c r="BT261" s="152"/>
      <c r="BU261" s="152"/>
      <c r="BV261" s="152"/>
      <c r="BW261" s="152"/>
      <c r="BX261" s="152"/>
      <c r="BY261" s="152"/>
      <c r="BZ261" s="1102"/>
      <c r="CA261" s="1102"/>
      <c r="CB261" s="630"/>
      <c r="CC261" s="1103"/>
      <c r="CD261" s="1111"/>
      <c r="CE261" s="1112"/>
      <c r="CF261" s="1111"/>
    </row>
    <row r="262" spans="38:128" ht="19.5" customHeight="1">
      <c r="AL262" s="241"/>
      <c r="AX262" s="665" t="s">
        <v>4059</v>
      </c>
      <c r="AY262" s="151"/>
      <c r="AZ262" s="662" t="s">
        <v>4060</v>
      </c>
      <c r="BA262" s="152"/>
      <c r="BB262" s="152"/>
      <c r="BC262" s="152"/>
      <c r="BD262" s="152"/>
      <c r="BE262" s="152"/>
      <c r="BF262" s="152"/>
      <c r="BG262" s="152"/>
      <c r="BH262" s="152"/>
      <c r="BI262" s="152"/>
      <c r="BJ262" s="152"/>
      <c r="BK262" s="667" t="s">
        <v>4061</v>
      </c>
      <c r="BL262" s="152"/>
      <c r="BM262" s="152"/>
      <c r="BN262" s="152"/>
      <c r="BO262" s="152"/>
      <c r="BP262" s="152"/>
      <c r="BQ262" s="152"/>
      <c r="BR262" s="152"/>
      <c r="BS262" s="152"/>
      <c r="BT262" s="152"/>
      <c r="BU262" s="152"/>
      <c r="BV262" s="152"/>
      <c r="BW262" s="152"/>
      <c r="BX262" s="152"/>
      <c r="BY262" s="152"/>
      <c r="BZ262" s="1102"/>
      <c r="CA262" s="1102"/>
      <c r="CB262" s="630"/>
      <c r="CC262" s="1103"/>
      <c r="CD262" s="1111"/>
      <c r="CE262" s="1112"/>
      <c r="CF262" s="1111"/>
    </row>
    <row r="263" spans="38:128" ht="19.5" customHeight="1">
      <c r="AL263" s="241"/>
      <c r="AX263" s="151"/>
      <c r="AY263" s="151"/>
      <c r="AZ263" s="662" t="s">
        <v>4062</v>
      </c>
      <c r="BA263" s="152"/>
      <c r="BB263" s="152"/>
      <c r="BC263" s="152"/>
      <c r="BD263" s="152"/>
      <c r="BE263" s="152"/>
      <c r="BF263" s="152"/>
      <c r="BG263" s="152"/>
      <c r="BH263" s="152"/>
      <c r="BI263" s="152"/>
      <c r="BJ263" s="152"/>
      <c r="BK263" s="669" t="s">
        <v>4063</v>
      </c>
      <c r="BL263" s="152"/>
      <c r="BM263" s="152"/>
      <c r="BN263" s="152"/>
      <c r="BO263" s="152"/>
      <c r="BP263" s="152"/>
      <c r="BQ263" s="152"/>
      <c r="BR263" s="152"/>
      <c r="BS263" s="152"/>
      <c r="BT263" s="152"/>
      <c r="BU263" s="152"/>
      <c r="BV263" s="152"/>
      <c r="BW263" s="152"/>
      <c r="BX263" s="152"/>
      <c r="BY263" s="152"/>
      <c r="BZ263" s="1102"/>
      <c r="CA263" s="1102"/>
      <c r="CB263" s="630"/>
      <c r="CC263" s="1103"/>
      <c r="CD263" s="1111"/>
      <c r="CE263" s="1112"/>
      <c r="CF263" s="1111"/>
    </row>
    <row r="264" spans="38:128" ht="19.5" customHeight="1">
      <c r="AL264" s="241"/>
      <c r="AX264" s="151"/>
      <c r="AY264" s="151"/>
      <c r="AZ264" s="662" t="s">
        <v>4064</v>
      </c>
      <c r="BA264" s="152"/>
      <c r="BB264" s="152"/>
      <c r="BC264" s="152"/>
      <c r="BD264" s="152"/>
      <c r="BE264" s="152"/>
      <c r="BF264" s="152"/>
      <c r="BG264" s="152"/>
      <c r="BH264" s="152"/>
      <c r="BI264" s="152"/>
      <c r="BJ264" s="152"/>
      <c r="BK264" s="152"/>
      <c r="BL264" s="152"/>
      <c r="BM264" s="152"/>
      <c r="BN264" s="152"/>
      <c r="BO264" s="152"/>
      <c r="BP264" s="152"/>
      <c r="BQ264" s="152"/>
      <c r="BR264" s="152"/>
      <c r="BS264" s="152"/>
      <c r="BT264" s="152"/>
      <c r="BU264" s="152"/>
      <c r="BV264" s="152"/>
      <c r="BW264" s="152"/>
      <c r="BX264" s="152"/>
      <c r="BY264" s="152"/>
      <c r="BZ264" s="1102"/>
      <c r="CA264" s="1102"/>
      <c r="CB264" s="630"/>
      <c r="CC264" s="1103"/>
      <c r="CD264" s="1111"/>
      <c r="CE264" s="1112"/>
      <c r="CF264" s="1111"/>
    </row>
    <row r="265" spans="38:128" ht="19.5" customHeight="1">
      <c r="AL265" s="241"/>
      <c r="AX265" s="151"/>
      <c r="AY265" s="151"/>
      <c r="AZ265" s="662" t="s">
        <v>4065</v>
      </c>
      <c r="BA265" s="152"/>
      <c r="BB265" s="152"/>
      <c r="BC265" s="152"/>
      <c r="BD265" s="152"/>
      <c r="BE265" s="152"/>
      <c r="BF265" s="152"/>
      <c r="BG265" s="152"/>
      <c r="BH265" s="152"/>
      <c r="BI265" s="152"/>
      <c r="BJ265" s="152"/>
      <c r="BK265" s="152"/>
      <c r="BL265" s="152"/>
      <c r="BM265" s="152"/>
      <c r="BN265" s="152"/>
      <c r="BO265" s="152"/>
      <c r="BP265" s="152"/>
      <c r="BQ265" s="152"/>
      <c r="BR265" s="152"/>
      <c r="BS265" s="152"/>
      <c r="BT265" s="152"/>
      <c r="BU265" s="152"/>
      <c r="BV265" s="152"/>
      <c r="BW265" s="152"/>
      <c r="BX265" s="152"/>
      <c r="BY265" s="152"/>
      <c r="BZ265" s="1102"/>
      <c r="CA265" s="1102"/>
      <c r="CB265" s="630"/>
      <c r="CC265" s="1103"/>
      <c r="CD265" s="1111"/>
      <c r="CE265" s="1112"/>
      <c r="CF265" s="1111"/>
    </row>
    <row r="266" spans="38:128" ht="19.5" customHeight="1">
      <c r="AL266" s="241"/>
      <c r="AX266" s="151"/>
      <c r="AY266" s="151"/>
      <c r="AZ266" s="662" t="s">
        <v>4066</v>
      </c>
      <c r="BA266" s="152"/>
      <c r="BB266" s="152"/>
      <c r="BC266" s="152"/>
      <c r="BD266" s="152"/>
      <c r="BE266" s="152"/>
      <c r="BF266" s="152"/>
      <c r="BG266" s="152"/>
      <c r="BH266" s="152"/>
      <c r="BI266" s="152"/>
      <c r="BJ266" s="152"/>
      <c r="BK266" s="152"/>
      <c r="BL266" s="152"/>
      <c r="BM266" s="152"/>
      <c r="BN266" s="152"/>
      <c r="BO266" s="152"/>
      <c r="BP266" s="152"/>
      <c r="BQ266" s="152"/>
      <c r="BR266" s="152"/>
      <c r="BS266" s="152"/>
      <c r="BT266" s="152"/>
      <c r="BU266" s="152"/>
      <c r="BV266" s="152"/>
      <c r="BW266" s="152"/>
      <c r="BX266" s="152"/>
      <c r="BY266" s="152"/>
      <c r="BZ266" s="1102"/>
      <c r="CA266" s="1102"/>
      <c r="CB266" s="630"/>
      <c r="CC266" s="1103"/>
      <c r="CD266" s="1111"/>
      <c r="CE266" s="1112"/>
      <c r="CF266" s="1111"/>
    </row>
    <row r="267" spans="38:128" ht="19.5" customHeight="1">
      <c r="AL267" s="241"/>
      <c r="AX267" s="151"/>
      <c r="AY267" s="151"/>
      <c r="AZ267" s="662" t="s">
        <v>4067</v>
      </c>
      <c r="BA267" s="152"/>
      <c r="BB267" s="152"/>
      <c r="BC267" s="152"/>
      <c r="BD267" s="152"/>
      <c r="BE267" s="152"/>
      <c r="BF267" s="152"/>
      <c r="BG267" s="152"/>
      <c r="BH267" s="152"/>
      <c r="BI267" s="152"/>
      <c r="BJ267" s="152"/>
      <c r="BK267" s="152"/>
      <c r="BL267" s="152"/>
      <c r="BM267" s="152"/>
      <c r="BN267" s="152"/>
      <c r="BO267" s="152"/>
      <c r="BP267" s="152"/>
      <c r="BQ267" s="152"/>
      <c r="BR267" s="152"/>
      <c r="BS267" s="152"/>
      <c r="BT267" s="152"/>
      <c r="BU267" s="152"/>
      <c r="BV267" s="152"/>
      <c r="BW267" s="152"/>
      <c r="BX267" s="152"/>
      <c r="BY267" s="152"/>
      <c r="BZ267" s="1102"/>
      <c r="CA267" s="1102"/>
      <c r="CB267" s="630"/>
      <c r="CC267" s="1103"/>
      <c r="CD267" s="1111"/>
      <c r="CE267" s="1112"/>
      <c r="CF267" s="1111"/>
    </row>
    <row r="268" spans="38:128" ht="19.5" customHeight="1">
      <c r="AL268" s="241"/>
      <c r="AX268" s="151"/>
      <c r="AY268" s="151"/>
      <c r="AZ268" s="662" t="s">
        <v>4068</v>
      </c>
      <c r="BA268" s="152"/>
      <c r="BB268" s="152"/>
      <c r="BC268" s="152"/>
      <c r="BD268" s="152"/>
      <c r="BE268" s="152"/>
      <c r="BF268" s="152"/>
      <c r="BG268" s="152"/>
      <c r="BH268" s="152"/>
      <c r="BI268" s="152"/>
      <c r="BJ268" s="152"/>
      <c r="BK268" s="152"/>
      <c r="BL268" s="152"/>
      <c r="BM268" s="152"/>
      <c r="BN268" s="152"/>
      <c r="BO268" s="152"/>
      <c r="BP268" s="152"/>
      <c r="BQ268" s="152"/>
      <c r="BR268" s="152"/>
      <c r="BS268" s="152"/>
      <c r="BT268" s="152"/>
      <c r="BU268" s="152"/>
      <c r="BV268" s="152"/>
      <c r="BW268" s="152"/>
      <c r="BX268" s="152"/>
      <c r="BY268" s="152"/>
      <c r="BZ268" s="1102"/>
      <c r="CA268" s="1102"/>
      <c r="CB268" s="630"/>
      <c r="CC268" s="1103"/>
      <c r="CD268" s="1111"/>
      <c r="CE268" s="1112"/>
      <c r="CF268" s="1111"/>
    </row>
    <row r="269" spans="38:128" ht="19.5" customHeight="1">
      <c r="AL269" s="241"/>
      <c r="AX269" s="151"/>
      <c r="AY269" s="151"/>
      <c r="AZ269" s="662" t="s">
        <v>4069</v>
      </c>
      <c r="BA269" s="152"/>
      <c r="BB269" s="152"/>
      <c r="BC269" s="152"/>
      <c r="BD269" s="152"/>
      <c r="BE269" s="152"/>
      <c r="BF269" s="152"/>
      <c r="BG269" s="152"/>
      <c r="BH269" s="152"/>
      <c r="BI269" s="152"/>
      <c r="BJ269" s="152"/>
      <c r="BK269" s="152"/>
      <c r="BL269" s="152"/>
      <c r="BM269" s="152"/>
      <c r="BN269" s="152"/>
      <c r="BO269" s="152"/>
      <c r="BP269" s="152"/>
      <c r="BQ269" s="152"/>
      <c r="BR269" s="152"/>
      <c r="BS269" s="152"/>
      <c r="BT269" s="152"/>
      <c r="BU269" s="152"/>
      <c r="BV269" s="152"/>
      <c r="BW269" s="152"/>
      <c r="BX269" s="152"/>
      <c r="BY269" s="152"/>
      <c r="BZ269" s="1102"/>
      <c r="CA269" s="1102"/>
      <c r="CB269" s="630"/>
      <c r="CC269" s="1103"/>
      <c r="CD269" s="1111"/>
      <c r="CE269" s="1112"/>
      <c r="CF269" s="1111"/>
    </row>
    <row r="270" spans="38:128" ht="19.5" customHeight="1">
      <c r="AL270" s="241"/>
      <c r="AX270" s="151"/>
      <c r="AY270" s="151"/>
      <c r="AZ270" s="665" t="s">
        <v>4070</v>
      </c>
      <c r="BA270" s="152"/>
      <c r="BB270" s="152"/>
      <c r="BC270" s="152"/>
      <c r="BD270" s="152"/>
      <c r="BE270" s="152"/>
      <c r="BF270" s="152"/>
      <c r="BG270" s="152"/>
      <c r="BH270" s="152"/>
      <c r="BI270" s="152"/>
      <c r="BJ270" s="152"/>
      <c r="BK270" s="152"/>
      <c r="BL270" s="152"/>
      <c r="BM270" s="152"/>
      <c r="BN270" s="152"/>
      <c r="BO270" s="152"/>
      <c r="BP270" s="152"/>
      <c r="BQ270" s="152"/>
      <c r="BR270" s="152"/>
      <c r="BS270" s="152"/>
      <c r="BT270" s="152"/>
      <c r="BU270" s="152"/>
      <c r="BV270" s="152"/>
      <c r="BW270" s="152"/>
      <c r="BX270" s="152"/>
      <c r="BY270" s="152"/>
      <c r="BZ270" s="1102"/>
      <c r="CA270" s="1102"/>
      <c r="CB270" s="630"/>
      <c r="CC270" s="1103"/>
      <c r="CD270" s="1111"/>
      <c r="CE270" s="1112"/>
      <c r="CF270" s="1111"/>
    </row>
    <row r="271" spans="38:128" ht="19.5" customHeight="1">
      <c r="AL271" s="241"/>
      <c r="AX271" s="151"/>
      <c r="AY271" s="151"/>
      <c r="AZ271" s="151"/>
      <c r="BA271" s="152"/>
      <c r="BB271" s="152"/>
      <c r="BC271" s="152"/>
      <c r="BD271" s="152"/>
      <c r="BE271" s="152"/>
      <c r="BF271" s="152"/>
      <c r="BG271" s="152"/>
      <c r="BH271" s="152"/>
      <c r="BI271" s="152"/>
      <c r="BJ271" s="152"/>
      <c r="BK271" s="152"/>
      <c r="BL271" s="152"/>
      <c r="BM271" s="152"/>
      <c r="BN271" s="152"/>
      <c r="BO271" s="152"/>
      <c r="BP271" s="152"/>
      <c r="BQ271" s="152"/>
      <c r="BR271" s="152"/>
      <c r="BS271" s="152"/>
      <c r="BT271" s="152"/>
      <c r="BU271" s="152"/>
      <c r="BV271" s="152"/>
      <c r="BW271" s="152"/>
      <c r="BX271" s="152"/>
      <c r="BY271" s="152"/>
      <c r="BZ271" s="1102"/>
      <c r="CA271" s="1102"/>
      <c r="CB271" s="630"/>
      <c r="CC271" s="1103"/>
      <c r="CD271" s="1111"/>
      <c r="CE271" s="1112"/>
      <c r="CF271" s="1111"/>
    </row>
    <row r="272" spans="38:128" ht="19.5" customHeight="1">
      <c r="AL272" s="241"/>
      <c r="AX272" s="151"/>
      <c r="AY272" s="151"/>
      <c r="AZ272" s="151"/>
      <c r="BA272" s="152"/>
      <c r="BB272" s="152"/>
      <c r="BC272" s="152"/>
      <c r="BD272" s="152"/>
      <c r="BE272" s="152"/>
      <c r="BF272" s="152"/>
      <c r="BG272" s="152"/>
      <c r="BH272" s="152"/>
      <c r="BI272" s="152"/>
      <c r="BJ272" s="152"/>
      <c r="BK272" s="152"/>
      <c r="BL272" s="152"/>
      <c r="BM272" s="152"/>
      <c r="BN272" s="152"/>
      <c r="BO272" s="152"/>
      <c r="BP272" s="152"/>
      <c r="BQ272" s="152"/>
      <c r="BR272" s="152"/>
      <c r="BS272" s="152"/>
      <c r="BT272" s="152"/>
      <c r="BU272" s="152"/>
      <c r="BV272" s="152"/>
      <c r="BW272" s="152"/>
      <c r="BX272" s="152"/>
      <c r="BY272" s="152"/>
      <c r="BZ272" s="1102"/>
      <c r="CA272" s="1102"/>
      <c r="CB272" s="630"/>
      <c r="CC272" s="1103"/>
      <c r="CD272" s="1111"/>
      <c r="CE272" s="1112"/>
      <c r="CF272" s="1111"/>
    </row>
    <row r="273" spans="38:84" ht="19.5" customHeight="1">
      <c r="AL273" s="241"/>
      <c r="AX273" s="151"/>
      <c r="AY273" s="151"/>
      <c r="AZ273" s="151"/>
      <c r="BA273" s="152"/>
      <c r="BB273" s="152"/>
      <c r="BC273" s="152"/>
      <c r="BD273" s="152"/>
      <c r="BE273" s="152"/>
      <c r="BF273" s="152"/>
      <c r="BG273" s="152"/>
      <c r="BH273" s="152"/>
      <c r="BI273" s="152"/>
      <c r="BJ273" s="152"/>
      <c r="BK273" s="152"/>
      <c r="BL273" s="152"/>
      <c r="BM273" s="152"/>
      <c r="BN273" s="152"/>
      <c r="BO273" s="152"/>
      <c r="BP273" s="152"/>
      <c r="BQ273" s="152"/>
      <c r="BR273" s="152"/>
      <c r="BS273" s="152"/>
      <c r="BT273" s="152"/>
      <c r="BU273" s="152"/>
      <c r="BV273" s="152"/>
      <c r="BW273" s="152"/>
      <c r="BX273" s="152"/>
      <c r="BY273" s="152"/>
      <c r="BZ273" s="1102"/>
      <c r="CA273" s="1102"/>
      <c r="CB273" s="630"/>
      <c r="CC273" s="1103"/>
      <c r="CD273" s="1111"/>
      <c r="CE273" s="1112"/>
      <c r="CF273" s="1111"/>
    </row>
    <row r="274" spans="38:84" ht="19.5" customHeight="1">
      <c r="AL274" s="241"/>
      <c r="AX274" s="151"/>
      <c r="AY274" s="151"/>
      <c r="AZ274" s="151"/>
      <c r="BA274" s="152"/>
      <c r="BB274" s="152"/>
      <c r="BC274" s="152"/>
      <c r="BD274" s="152"/>
      <c r="BE274" s="152"/>
      <c r="BF274" s="152"/>
      <c r="BG274" s="152"/>
      <c r="BH274" s="152"/>
      <c r="BI274" s="152"/>
      <c r="BJ274" s="152"/>
      <c r="BK274" s="152"/>
      <c r="BL274" s="152"/>
      <c r="BM274" s="152"/>
      <c r="BN274" s="152"/>
      <c r="BO274" s="152"/>
      <c r="BP274" s="152"/>
      <c r="BQ274" s="152"/>
      <c r="BR274" s="152"/>
      <c r="BS274" s="152"/>
      <c r="BT274" s="152"/>
      <c r="BU274" s="152"/>
      <c r="BV274" s="152"/>
      <c r="BW274" s="152"/>
      <c r="BX274" s="152"/>
      <c r="BY274" s="152"/>
      <c r="BZ274" s="1102"/>
      <c r="CA274" s="1102"/>
      <c r="CB274" s="630"/>
      <c r="CC274" s="1103"/>
      <c r="CD274" s="1111"/>
      <c r="CE274" s="1112"/>
      <c r="CF274" s="1111"/>
    </row>
    <row r="275" spans="38:84" ht="19.5" customHeight="1">
      <c r="AL275" s="241"/>
      <c r="AX275" s="151"/>
      <c r="AY275" s="151"/>
      <c r="AZ275" s="151"/>
      <c r="BA275" s="152"/>
      <c r="BB275" s="152"/>
      <c r="BC275" s="152"/>
      <c r="BD275" s="152"/>
      <c r="BE275" s="152"/>
      <c r="BF275" s="152"/>
      <c r="BG275" s="152"/>
      <c r="BH275" s="152"/>
      <c r="BI275" s="152"/>
      <c r="BJ275" s="152"/>
      <c r="BK275" s="152"/>
      <c r="BL275" s="152"/>
      <c r="BM275" s="152"/>
      <c r="BN275" s="152"/>
      <c r="BO275" s="152"/>
      <c r="BP275" s="152"/>
      <c r="BQ275" s="152"/>
      <c r="BR275" s="152"/>
      <c r="BS275" s="152"/>
      <c r="BT275" s="152"/>
      <c r="BU275" s="152"/>
      <c r="BV275" s="152"/>
      <c r="BW275" s="152"/>
      <c r="BX275" s="152"/>
      <c r="BY275" s="152"/>
      <c r="BZ275" s="1102"/>
      <c r="CA275" s="1102"/>
      <c r="CB275" s="630"/>
      <c r="CC275" s="1103"/>
      <c r="CD275" s="1111"/>
      <c r="CE275" s="1112"/>
      <c r="CF275" s="1111"/>
    </row>
    <row r="276" spans="38:84" ht="19.5" customHeight="1">
      <c r="AL276" s="241"/>
      <c r="AX276" s="151"/>
      <c r="AY276" s="151"/>
      <c r="AZ276" s="151"/>
      <c r="BA276" s="152"/>
      <c r="BB276" s="152"/>
      <c r="BC276" s="152"/>
      <c r="BD276" s="152"/>
      <c r="BE276" s="152"/>
      <c r="BF276" s="152"/>
      <c r="BG276" s="152"/>
      <c r="BH276" s="152"/>
      <c r="BI276" s="152"/>
      <c r="BJ276" s="152"/>
      <c r="BK276" s="152"/>
      <c r="BL276" s="152"/>
      <c r="BM276" s="152"/>
      <c r="BN276" s="152"/>
      <c r="BO276" s="152"/>
      <c r="BP276" s="152"/>
      <c r="BQ276" s="152"/>
      <c r="BR276" s="152"/>
      <c r="BS276" s="152"/>
      <c r="BT276" s="152"/>
      <c r="BU276" s="152"/>
      <c r="BV276" s="152"/>
      <c r="BW276" s="152"/>
      <c r="BX276" s="152"/>
      <c r="BY276" s="152"/>
      <c r="BZ276" s="1102"/>
      <c r="CA276" s="1102"/>
      <c r="CB276" s="630"/>
      <c r="CC276" s="1103"/>
      <c r="CD276" s="1111"/>
      <c r="CE276" s="1112"/>
      <c r="CF276" s="1111"/>
    </row>
    <row r="277" spans="38:84" ht="19.5" customHeight="1">
      <c r="AL277" s="241"/>
      <c r="AX277" s="166"/>
      <c r="AY277" s="166"/>
      <c r="AZ277" s="166"/>
      <c r="BA277" s="158"/>
      <c r="BB277" s="158"/>
      <c r="BC277" s="158"/>
      <c r="BD277" s="158"/>
      <c r="BE277" s="158"/>
      <c r="BF277" s="158"/>
      <c r="BG277" s="158"/>
      <c r="BH277" s="158"/>
      <c r="BI277" s="158"/>
      <c r="BJ277" s="158"/>
      <c r="BK277" s="158"/>
      <c r="BL277" s="158"/>
      <c r="BM277" s="158"/>
      <c r="BN277" s="158"/>
      <c r="BO277" s="158"/>
      <c r="BP277" s="158"/>
      <c r="BQ277" s="158"/>
      <c r="BR277" s="158"/>
      <c r="BS277" s="158"/>
      <c r="BT277" s="158"/>
      <c r="BU277" s="158"/>
      <c r="BV277" s="158"/>
      <c r="BW277" s="158"/>
      <c r="BX277" s="158"/>
      <c r="BY277" s="158"/>
      <c r="BZ277" s="814"/>
      <c r="CA277" s="814"/>
      <c r="CB277" s="809"/>
      <c r="CC277" s="178"/>
      <c r="CD277" s="154"/>
      <c r="CE277" s="818"/>
      <c r="CF277" s="154"/>
    </row>
    <row r="278" spans="38:84" ht="19.5" customHeight="1">
      <c r="AL278" s="241"/>
      <c r="AX278" s="166" t="s">
        <v>2998</v>
      </c>
      <c r="AY278" s="166"/>
      <c r="AZ278" s="166"/>
      <c r="BA278" s="158"/>
      <c r="BB278" s="158"/>
      <c r="BC278" s="158"/>
      <c r="BD278" s="158"/>
      <c r="BE278" s="158"/>
      <c r="BF278" s="158"/>
      <c r="BG278" s="158"/>
      <c r="BH278" s="158"/>
      <c r="BI278" s="158"/>
      <c r="BJ278" s="158"/>
      <c r="BK278" s="158"/>
      <c r="BL278" s="158"/>
      <c r="BM278" s="158"/>
      <c r="BN278" s="158"/>
      <c r="BO278" s="158"/>
      <c r="BP278" s="158"/>
      <c r="BQ278" s="158"/>
      <c r="BR278" s="158"/>
      <c r="BS278" s="158"/>
      <c r="BT278" s="158"/>
      <c r="BU278" s="158"/>
      <c r="BV278" s="158"/>
      <c r="BW278" s="158"/>
      <c r="BX278" s="158"/>
      <c r="BY278" s="158"/>
      <c r="BZ278" s="814"/>
      <c r="CA278" s="814"/>
      <c r="CB278" s="809"/>
      <c r="CC278" s="178"/>
      <c r="CD278" s="154"/>
      <c r="CE278" s="818"/>
      <c r="CF278" s="154"/>
    </row>
    <row r="279" spans="38:84" ht="19.5" customHeight="1">
      <c r="AL279" s="241"/>
      <c r="AX279" s="659" t="s">
        <v>2999</v>
      </c>
      <c r="AY279" s="659" t="s">
        <v>2441</v>
      </c>
      <c r="AZ279" s="659" t="s">
        <v>2283</v>
      </c>
      <c r="BA279" s="661" t="s">
        <v>3000</v>
      </c>
      <c r="BB279" s="661" t="s">
        <v>3001</v>
      </c>
      <c r="BC279" s="661" t="s">
        <v>3002</v>
      </c>
      <c r="BD279" s="661" t="s">
        <v>3003</v>
      </c>
      <c r="BE279" s="661" t="s">
        <v>3004</v>
      </c>
      <c r="BF279" s="661" t="s">
        <v>3005</v>
      </c>
      <c r="BG279" s="661" t="s">
        <v>2284</v>
      </c>
      <c r="BH279" s="661" t="s">
        <v>2448</v>
      </c>
      <c r="BI279" s="661" t="s">
        <v>3006</v>
      </c>
      <c r="BJ279" s="661" t="s">
        <v>3007</v>
      </c>
      <c r="BK279" s="661" t="s">
        <v>3008</v>
      </c>
      <c r="BL279" s="661" t="s">
        <v>2291</v>
      </c>
      <c r="BM279" s="158"/>
      <c r="BN279" s="158"/>
      <c r="BO279" s="158"/>
      <c r="BP279" s="158"/>
      <c r="BQ279" s="158"/>
      <c r="BR279" s="158"/>
      <c r="BS279" s="158"/>
      <c r="BT279" s="158"/>
      <c r="BU279" s="158"/>
      <c r="BV279" s="158"/>
      <c r="BW279" s="158"/>
      <c r="BX279" s="158"/>
      <c r="BY279" s="158"/>
      <c r="BZ279" s="814"/>
      <c r="CA279" s="814"/>
      <c r="CB279" s="809"/>
      <c r="CC279" s="178"/>
      <c r="CD279" s="154"/>
      <c r="CE279" s="818"/>
      <c r="CF279" s="154"/>
    </row>
    <row r="280" spans="38:84" ht="19.5" customHeight="1">
      <c r="AL280" s="241"/>
      <c r="AX280" s="662" t="s">
        <v>3009</v>
      </c>
      <c r="AY280" s="786" t="s">
        <v>3009</v>
      </c>
      <c r="AZ280" s="663" t="s">
        <v>3009</v>
      </c>
      <c r="BA280" s="798" t="s">
        <v>3009</v>
      </c>
      <c r="BB280" s="799" t="s">
        <v>3009</v>
      </c>
      <c r="BC280" s="799" t="s">
        <v>3009</v>
      </c>
      <c r="BD280" s="799" t="s">
        <v>3009</v>
      </c>
      <c r="BE280" s="798" t="s">
        <v>3009</v>
      </c>
      <c r="BF280" s="799" t="s">
        <v>3009</v>
      </c>
      <c r="BG280" s="799" t="s">
        <v>3009</v>
      </c>
      <c r="BH280" s="798" t="s">
        <v>3009</v>
      </c>
      <c r="BI280" s="799" t="s">
        <v>3009</v>
      </c>
      <c r="BJ280" s="798" t="s">
        <v>3009</v>
      </c>
      <c r="BK280" s="158" t="s">
        <v>3009</v>
      </c>
      <c r="BL280" s="790" t="s">
        <v>3009</v>
      </c>
      <c r="BM280" s="158"/>
      <c r="BN280" s="158"/>
      <c r="BO280" s="158"/>
      <c r="BP280" s="158"/>
      <c r="BQ280" s="158"/>
      <c r="BR280" s="158"/>
      <c r="BS280" s="158"/>
      <c r="BT280" s="158"/>
      <c r="BU280" s="158"/>
      <c r="BV280" s="158"/>
      <c r="BW280" s="158"/>
      <c r="BX280" s="158"/>
      <c r="BY280" s="158"/>
      <c r="BZ280" s="814"/>
      <c r="CA280" s="814"/>
      <c r="CB280" s="809"/>
      <c r="CC280" s="178"/>
      <c r="CD280" s="154"/>
      <c r="CE280" s="818"/>
      <c r="CF280" s="154"/>
    </row>
    <row r="281" spans="38:84" ht="19.5" customHeight="1">
      <c r="AL281" s="241"/>
      <c r="AX281" s="662" t="s">
        <v>3010</v>
      </c>
      <c r="AY281" s="664" t="s">
        <v>3011</v>
      </c>
      <c r="AZ281" s="662" t="s">
        <v>3012</v>
      </c>
      <c r="BA281" s="667" t="s">
        <v>3013</v>
      </c>
      <c r="BB281" s="666" t="s">
        <v>3014</v>
      </c>
      <c r="BC281" s="666" t="s">
        <v>3015</v>
      </c>
      <c r="BD281" s="666" t="s">
        <v>3016</v>
      </c>
      <c r="BE281" s="667" t="s">
        <v>3017</v>
      </c>
      <c r="BF281" s="666" t="s">
        <v>3018</v>
      </c>
      <c r="BG281" s="666" t="s">
        <v>3019</v>
      </c>
      <c r="BH281" s="667" t="s">
        <v>3020</v>
      </c>
      <c r="BI281" s="666" t="s">
        <v>3021</v>
      </c>
      <c r="BJ281" s="667" t="s">
        <v>3022</v>
      </c>
      <c r="BK281" s="158" t="s">
        <v>3023</v>
      </c>
      <c r="BL281" s="158"/>
      <c r="BM281" s="158"/>
      <c r="BN281" s="158"/>
      <c r="BO281" s="158"/>
      <c r="BP281" s="158"/>
      <c r="BQ281" s="158"/>
      <c r="BR281" s="158"/>
      <c r="BS281" s="158"/>
      <c r="BT281" s="158"/>
      <c r="BU281" s="158"/>
      <c r="BV281" s="158"/>
      <c r="BW281" s="158"/>
      <c r="BX281" s="158"/>
      <c r="BY281" s="158"/>
      <c r="BZ281" s="814"/>
      <c r="CA281" s="814"/>
      <c r="CB281" s="809"/>
      <c r="CC281" s="178"/>
      <c r="CD281" s="154"/>
      <c r="CE281" s="818"/>
      <c r="CF281" s="154"/>
    </row>
    <row r="282" spans="38:84" ht="19.5" customHeight="1">
      <c r="AL282" s="241"/>
      <c r="AX282" s="662" t="s">
        <v>3024</v>
      </c>
      <c r="AY282" s="664" t="s">
        <v>3025</v>
      </c>
      <c r="AZ282" s="662" t="s">
        <v>3026</v>
      </c>
      <c r="BA282" s="667" t="s">
        <v>3027</v>
      </c>
      <c r="BB282" s="666" t="s">
        <v>3028</v>
      </c>
      <c r="BC282" s="666" t="s">
        <v>3029</v>
      </c>
      <c r="BD282" s="666" t="s">
        <v>3030</v>
      </c>
      <c r="BE282" s="667" t="s">
        <v>3031</v>
      </c>
      <c r="BF282" s="666" t="s">
        <v>3032</v>
      </c>
      <c r="BG282" s="666" t="s">
        <v>3033</v>
      </c>
      <c r="BH282" s="667" t="s">
        <v>3034</v>
      </c>
      <c r="BI282" s="666" t="s">
        <v>3035</v>
      </c>
      <c r="BJ282" s="667" t="s">
        <v>3036</v>
      </c>
      <c r="BK282" s="158" t="s">
        <v>3037</v>
      </c>
      <c r="BL282" s="158"/>
      <c r="BM282" s="158"/>
      <c r="BN282" s="158"/>
      <c r="BO282" s="158"/>
      <c r="BP282" s="158"/>
      <c r="BQ282" s="158"/>
      <c r="BR282" s="158"/>
      <c r="BS282" s="158"/>
      <c r="BT282" s="158"/>
      <c r="BU282" s="158"/>
      <c r="BV282" s="158"/>
      <c r="BW282" s="158"/>
      <c r="BX282" s="158"/>
      <c r="BY282" s="158"/>
      <c r="BZ282" s="814"/>
      <c r="CA282" s="814"/>
      <c r="CB282" s="809"/>
      <c r="CC282" s="178"/>
      <c r="CD282" s="154"/>
      <c r="CE282" s="818"/>
      <c r="CF282" s="154"/>
    </row>
    <row r="283" spans="38:84" ht="19.5" customHeight="1">
      <c r="AL283" s="241"/>
      <c r="AX283" s="662" t="s">
        <v>3038</v>
      </c>
      <c r="AY283" s="664" t="s">
        <v>3039</v>
      </c>
      <c r="AZ283" s="662" t="s">
        <v>3040</v>
      </c>
      <c r="BA283" s="667" t="s">
        <v>3041</v>
      </c>
      <c r="BB283" s="666" t="s">
        <v>3042</v>
      </c>
      <c r="BC283" s="666" t="s">
        <v>3043</v>
      </c>
      <c r="BD283" s="666" t="s">
        <v>3044</v>
      </c>
      <c r="BE283" s="667" t="s">
        <v>3045</v>
      </c>
      <c r="BF283" s="666" t="s">
        <v>3046</v>
      </c>
      <c r="BG283" s="666" t="s">
        <v>3047</v>
      </c>
      <c r="BH283" s="667" t="s">
        <v>3048</v>
      </c>
      <c r="BI283" s="666" t="s">
        <v>3049</v>
      </c>
      <c r="BJ283" s="667" t="s">
        <v>3050</v>
      </c>
      <c r="BK283" s="158" t="s">
        <v>3051</v>
      </c>
      <c r="BL283" s="158"/>
      <c r="BM283" s="158"/>
      <c r="BN283" s="158"/>
      <c r="BO283" s="158"/>
      <c r="BP283" s="158"/>
      <c r="BQ283" s="158"/>
      <c r="BR283" s="158"/>
      <c r="BS283" s="158"/>
      <c r="BT283" s="158"/>
      <c r="BU283" s="158"/>
      <c r="BV283" s="158"/>
      <c r="BW283" s="158"/>
      <c r="BX283" s="158"/>
      <c r="BY283" s="158"/>
      <c r="BZ283" s="814"/>
      <c r="CA283" s="814"/>
      <c r="CB283" s="809"/>
      <c r="CC283" s="178"/>
      <c r="CD283" s="154"/>
      <c r="CE283" s="818"/>
      <c r="CF283" s="154"/>
    </row>
    <row r="284" spans="38:84" ht="19.5" customHeight="1">
      <c r="AL284" s="241"/>
      <c r="AX284" s="662" t="s">
        <v>3052</v>
      </c>
      <c r="AY284" s="664" t="s">
        <v>3053</v>
      </c>
      <c r="AZ284" s="662" t="s">
        <v>3054</v>
      </c>
      <c r="BA284" s="667" t="s">
        <v>3055</v>
      </c>
      <c r="BB284" s="666" t="s">
        <v>3056</v>
      </c>
      <c r="BC284" s="666" t="s">
        <v>3057</v>
      </c>
      <c r="BD284" s="666" t="s">
        <v>3058</v>
      </c>
      <c r="BE284" s="667" t="s">
        <v>3059</v>
      </c>
      <c r="BF284" s="666" t="s">
        <v>3060</v>
      </c>
      <c r="BG284" s="666" t="s">
        <v>3061</v>
      </c>
      <c r="BH284" s="667" t="s">
        <v>3062</v>
      </c>
      <c r="BI284" s="666" t="s">
        <v>3063</v>
      </c>
      <c r="BJ284" s="667" t="s">
        <v>3064</v>
      </c>
      <c r="BK284" s="158" t="s">
        <v>3065</v>
      </c>
      <c r="BL284" s="158"/>
      <c r="BM284" s="158"/>
      <c r="BN284" s="158"/>
      <c r="BO284" s="158"/>
      <c r="BP284" s="158"/>
      <c r="BQ284" s="158"/>
      <c r="BR284" s="158"/>
      <c r="BS284" s="158"/>
      <c r="BT284" s="158"/>
      <c r="BU284" s="158"/>
      <c r="BV284" s="158"/>
      <c r="BW284" s="158"/>
      <c r="BX284" s="158"/>
      <c r="BY284" s="158"/>
      <c r="BZ284" s="814"/>
      <c r="CA284" s="814"/>
      <c r="CB284" s="809"/>
      <c r="CC284" s="178"/>
      <c r="CD284" s="154"/>
      <c r="CE284" s="154"/>
      <c r="CF284" s="154"/>
    </row>
    <row r="285" spans="38:84" ht="19.5" customHeight="1">
      <c r="AL285" s="241"/>
      <c r="AX285" s="662" t="s">
        <v>3066</v>
      </c>
      <c r="AY285" s="664" t="s">
        <v>3067</v>
      </c>
      <c r="AZ285" s="662" t="s">
        <v>3068</v>
      </c>
      <c r="BA285" s="667" t="s">
        <v>3069</v>
      </c>
      <c r="BB285" s="668" t="s">
        <v>3070</v>
      </c>
      <c r="BC285" s="666" t="s">
        <v>3071</v>
      </c>
      <c r="BD285" s="666" t="s">
        <v>3072</v>
      </c>
      <c r="BE285" s="667" t="s">
        <v>3073</v>
      </c>
      <c r="BF285" s="666" t="s">
        <v>3074</v>
      </c>
      <c r="BG285" s="666" t="s">
        <v>3075</v>
      </c>
      <c r="BH285" s="667" t="s">
        <v>3076</v>
      </c>
      <c r="BI285" s="666" t="s">
        <v>3077</v>
      </c>
      <c r="BJ285" s="667" t="s">
        <v>3078</v>
      </c>
      <c r="BK285" s="158" t="s">
        <v>3079</v>
      </c>
      <c r="BL285" s="158"/>
      <c r="BM285" s="158"/>
      <c r="BN285" s="158"/>
      <c r="BO285" s="158"/>
      <c r="BP285" s="158"/>
      <c r="BQ285" s="158"/>
      <c r="BR285" s="158"/>
      <c r="BS285" s="158"/>
      <c r="BT285" s="158"/>
      <c r="BU285" s="158"/>
      <c r="BV285" s="158"/>
      <c r="BW285" s="158"/>
      <c r="BX285" s="158"/>
      <c r="BY285" s="158"/>
      <c r="BZ285" s="814"/>
      <c r="CA285" s="814"/>
      <c r="CB285" s="809"/>
      <c r="CC285" s="178"/>
      <c r="CD285" s="154"/>
      <c r="CE285" s="154"/>
      <c r="CF285" s="154"/>
    </row>
    <row r="286" spans="38:84" ht="19.5" customHeight="1">
      <c r="AL286" s="241"/>
      <c r="AX286" s="662" t="s">
        <v>3080</v>
      </c>
      <c r="AY286" s="664" t="s">
        <v>3081</v>
      </c>
      <c r="AZ286" s="662" t="s">
        <v>3082</v>
      </c>
      <c r="BA286" s="667" t="s">
        <v>3083</v>
      </c>
      <c r="BB286" s="158"/>
      <c r="BC286" s="666" t="s">
        <v>3084</v>
      </c>
      <c r="BD286" s="666" t="s">
        <v>3085</v>
      </c>
      <c r="BE286" s="667" t="s">
        <v>3086</v>
      </c>
      <c r="BF286" s="666" t="s">
        <v>3087</v>
      </c>
      <c r="BG286" s="666" t="s">
        <v>3088</v>
      </c>
      <c r="BH286" s="667" t="s">
        <v>3089</v>
      </c>
      <c r="BI286" s="666" t="s">
        <v>3090</v>
      </c>
      <c r="BJ286" s="667" t="s">
        <v>3091</v>
      </c>
      <c r="BK286" s="158"/>
      <c r="BL286" s="158"/>
      <c r="BM286" s="158"/>
      <c r="BN286" s="158"/>
      <c r="BO286" s="158"/>
      <c r="BP286" s="158"/>
      <c r="BQ286" s="158"/>
      <c r="BR286" s="158"/>
      <c r="BS286" s="158"/>
      <c r="BT286" s="158"/>
      <c r="BU286" s="158"/>
      <c r="BV286" s="158"/>
      <c r="BW286" s="158"/>
      <c r="BX286" s="158"/>
      <c r="BY286" s="158"/>
      <c r="BZ286" s="814"/>
      <c r="CA286" s="814"/>
      <c r="CB286" s="809"/>
      <c r="CC286" s="178"/>
      <c r="CD286" s="154"/>
      <c r="CE286" s="154"/>
      <c r="CF286" s="154"/>
    </row>
    <row r="287" spans="38:84" ht="19.5" customHeight="1">
      <c r="AL287" s="241"/>
      <c r="AX287" s="662" t="s">
        <v>3092</v>
      </c>
      <c r="AY287" s="664" t="s">
        <v>3093</v>
      </c>
      <c r="AZ287" s="662" t="s">
        <v>3094</v>
      </c>
      <c r="BA287" s="667" t="s">
        <v>3095</v>
      </c>
      <c r="BB287" s="158"/>
      <c r="BC287" s="666" t="s">
        <v>3096</v>
      </c>
      <c r="BD287" s="666" t="s">
        <v>3097</v>
      </c>
      <c r="BE287" s="667" t="s">
        <v>3098</v>
      </c>
      <c r="BF287" s="666" t="s">
        <v>3099</v>
      </c>
      <c r="BG287" s="666" t="s">
        <v>3100</v>
      </c>
      <c r="BH287" s="667" t="s">
        <v>3101</v>
      </c>
      <c r="BI287" s="666" t="s">
        <v>3102</v>
      </c>
      <c r="BJ287" s="667" t="s">
        <v>3103</v>
      </c>
      <c r="BK287" s="158"/>
      <c r="BL287" s="158"/>
      <c r="BM287" s="158"/>
      <c r="BN287" s="158"/>
      <c r="BO287" s="158"/>
      <c r="BP287" s="158"/>
      <c r="BQ287" s="158"/>
      <c r="BR287" s="158"/>
      <c r="BS287" s="158"/>
      <c r="BT287" s="158"/>
      <c r="BU287" s="158"/>
      <c r="BV287" s="158"/>
      <c r="BW287" s="158"/>
      <c r="BX287" s="158"/>
      <c r="BY287" s="158"/>
      <c r="BZ287" s="814"/>
      <c r="CA287" s="814"/>
      <c r="CB287" s="809"/>
      <c r="CC287" s="178"/>
      <c r="CD287" s="154"/>
      <c r="CE287" s="154"/>
      <c r="CF287" s="154"/>
    </row>
    <row r="288" spans="38:84" ht="19.5" customHeight="1">
      <c r="AL288" s="241"/>
      <c r="AX288" s="662" t="s">
        <v>3104</v>
      </c>
      <c r="AY288" s="664" t="s">
        <v>3105</v>
      </c>
      <c r="AZ288" s="662" t="s">
        <v>3106</v>
      </c>
      <c r="BA288" s="667" t="s">
        <v>3107</v>
      </c>
      <c r="BB288" s="158"/>
      <c r="BC288" s="666" t="s">
        <v>3108</v>
      </c>
      <c r="BD288" s="666" t="s">
        <v>3109</v>
      </c>
      <c r="BE288" s="667" t="s">
        <v>3110</v>
      </c>
      <c r="BF288" s="668" t="s">
        <v>3111</v>
      </c>
      <c r="BG288" s="666" t="s">
        <v>3112</v>
      </c>
      <c r="BH288" s="667" t="s">
        <v>3113</v>
      </c>
      <c r="BI288" s="666" t="s">
        <v>3114</v>
      </c>
      <c r="BJ288" s="667" t="s">
        <v>3115</v>
      </c>
      <c r="BK288" s="158"/>
      <c r="BL288" s="158"/>
      <c r="BM288" s="158"/>
      <c r="BN288" s="158"/>
      <c r="BO288" s="158"/>
      <c r="BP288" s="158"/>
      <c r="BQ288" s="158"/>
      <c r="BR288" s="158"/>
      <c r="BS288" s="158"/>
      <c r="BT288" s="158"/>
      <c r="BU288" s="158"/>
      <c r="BV288" s="158"/>
      <c r="BW288" s="158"/>
      <c r="BX288" s="158"/>
      <c r="BY288" s="158"/>
      <c r="BZ288" s="814"/>
      <c r="CA288" s="814"/>
      <c r="CB288" s="809"/>
      <c r="CC288" s="178"/>
      <c r="CD288" s="154"/>
      <c r="CE288" s="154"/>
      <c r="CF288" s="154"/>
    </row>
    <row r="289" spans="38:84" ht="19.5" customHeight="1">
      <c r="AL289" s="241"/>
      <c r="AX289" s="662" t="s">
        <v>3116</v>
      </c>
      <c r="AY289" s="787" t="s">
        <v>3117</v>
      </c>
      <c r="AZ289" s="662" t="s">
        <v>3118</v>
      </c>
      <c r="BA289" s="667" t="s">
        <v>3119</v>
      </c>
      <c r="BB289" s="158"/>
      <c r="BC289" s="668" t="s">
        <v>3120</v>
      </c>
      <c r="BD289" s="666" t="s">
        <v>3121</v>
      </c>
      <c r="BE289" s="667" t="s">
        <v>3122</v>
      </c>
      <c r="BF289" s="158"/>
      <c r="BG289" s="666" t="s">
        <v>3123</v>
      </c>
      <c r="BH289" s="667" t="s">
        <v>3124</v>
      </c>
      <c r="BI289" s="666" t="s">
        <v>3125</v>
      </c>
      <c r="BJ289" s="667" t="s">
        <v>3126</v>
      </c>
      <c r="BK289" s="158"/>
      <c r="BL289" s="158"/>
      <c r="BM289" s="158"/>
      <c r="BN289" s="158"/>
      <c r="BO289" s="158"/>
      <c r="BP289" s="158"/>
      <c r="BQ289" s="158"/>
      <c r="BR289" s="158"/>
      <c r="BS289" s="158"/>
      <c r="BT289" s="158"/>
      <c r="BU289" s="158"/>
      <c r="BV289" s="158"/>
      <c r="BW289" s="158"/>
      <c r="BX289" s="158"/>
      <c r="BY289" s="158"/>
      <c r="BZ289" s="814"/>
      <c r="CA289" s="814"/>
      <c r="CB289" s="809"/>
      <c r="CC289" s="178"/>
      <c r="CD289" s="154"/>
      <c r="CE289" s="154"/>
      <c r="CF289" s="154"/>
    </row>
    <row r="290" spans="38:84" ht="19.5" customHeight="1">
      <c r="AL290" s="241"/>
      <c r="AX290" s="662" t="s">
        <v>3127</v>
      </c>
      <c r="AY290" s="166"/>
      <c r="AZ290" s="662" t="s">
        <v>3128</v>
      </c>
      <c r="BA290" s="669" t="s">
        <v>3129</v>
      </c>
      <c r="BB290" s="158"/>
      <c r="BC290" s="158"/>
      <c r="BD290" s="666" t="s">
        <v>3130</v>
      </c>
      <c r="BE290" s="667" t="s">
        <v>3131</v>
      </c>
      <c r="BF290" s="158"/>
      <c r="BG290" s="666" t="s">
        <v>3132</v>
      </c>
      <c r="BH290" s="667" t="s">
        <v>3133</v>
      </c>
      <c r="BI290" s="668" t="s">
        <v>3134</v>
      </c>
      <c r="BJ290" s="667" t="s">
        <v>3135</v>
      </c>
      <c r="BK290" s="158"/>
      <c r="BL290" s="158"/>
      <c r="BM290" s="158"/>
      <c r="BN290" s="158"/>
      <c r="BO290" s="158"/>
      <c r="BP290" s="158"/>
      <c r="BQ290" s="158"/>
      <c r="BR290" s="158"/>
      <c r="BS290" s="158"/>
      <c r="BT290" s="158"/>
      <c r="BU290" s="158"/>
      <c r="BV290" s="158"/>
      <c r="BW290" s="158"/>
      <c r="BX290" s="158"/>
      <c r="BY290" s="158"/>
      <c r="BZ290" s="814"/>
      <c r="CA290" s="814"/>
      <c r="CB290" s="809"/>
      <c r="CC290" s="178"/>
      <c r="CD290" s="154"/>
      <c r="CE290" s="154"/>
      <c r="CF290" s="154"/>
    </row>
    <row r="291" spans="38:84" ht="19.5" customHeight="1">
      <c r="AL291" s="241"/>
      <c r="AX291" s="662" t="s">
        <v>3136</v>
      </c>
      <c r="AY291" s="166"/>
      <c r="AZ291" s="662" t="s">
        <v>3137</v>
      </c>
      <c r="BA291" s="158"/>
      <c r="BB291" s="158"/>
      <c r="BC291" s="158"/>
      <c r="BD291" s="668" t="s">
        <v>3138</v>
      </c>
      <c r="BE291" s="667" t="s">
        <v>3139</v>
      </c>
      <c r="BF291" s="158"/>
      <c r="BG291" s="666" t="s">
        <v>3140</v>
      </c>
      <c r="BH291" s="667" t="s">
        <v>3141</v>
      </c>
      <c r="BI291" s="158"/>
      <c r="BJ291" s="667" t="s">
        <v>3142</v>
      </c>
      <c r="BK291" s="158"/>
      <c r="BL291" s="158"/>
      <c r="BM291" s="158"/>
      <c r="BN291" s="158"/>
      <c r="BO291" s="158"/>
      <c r="BP291" s="158"/>
      <c r="BQ291" s="158"/>
      <c r="BR291" s="158"/>
      <c r="BS291" s="158"/>
      <c r="BT291" s="158"/>
      <c r="BU291" s="158"/>
      <c r="BV291" s="158"/>
      <c r="BW291" s="158"/>
      <c r="BX291" s="158"/>
      <c r="BY291" s="158"/>
      <c r="BZ291" s="814"/>
      <c r="CA291" s="814"/>
      <c r="CB291" s="809"/>
      <c r="CC291" s="178"/>
      <c r="CD291" s="154"/>
      <c r="CE291" s="154"/>
      <c r="CF291" s="154"/>
    </row>
    <row r="292" spans="38:84" ht="19.5" customHeight="1">
      <c r="AL292" s="241"/>
      <c r="AX292" s="662" t="s">
        <v>3143</v>
      </c>
      <c r="AY292" s="166"/>
      <c r="AZ292" s="662" t="s">
        <v>3144</v>
      </c>
      <c r="BA292" s="158"/>
      <c r="BB292" s="158"/>
      <c r="BC292" s="158"/>
      <c r="BD292" s="158"/>
      <c r="BE292" s="667" t="s">
        <v>3145</v>
      </c>
      <c r="BF292" s="158"/>
      <c r="BG292" s="666" t="s">
        <v>3146</v>
      </c>
      <c r="BH292" s="667" t="s">
        <v>3147</v>
      </c>
      <c r="BI292" s="158"/>
      <c r="BJ292" s="667" t="s">
        <v>3148</v>
      </c>
      <c r="BK292" s="158"/>
      <c r="BL292" s="158"/>
      <c r="BM292" s="158"/>
      <c r="BN292" s="158"/>
      <c r="BO292" s="158"/>
      <c r="BP292" s="158"/>
      <c r="BQ292" s="158"/>
      <c r="BR292" s="158"/>
      <c r="BS292" s="158"/>
      <c r="BT292" s="158"/>
      <c r="BU292" s="158"/>
      <c r="BV292" s="158"/>
      <c r="BW292" s="158"/>
      <c r="BX292" s="158"/>
      <c r="BY292" s="158"/>
      <c r="BZ292" s="814"/>
      <c r="CA292" s="814"/>
      <c r="CB292" s="809"/>
      <c r="CC292" s="178"/>
      <c r="CD292" s="154"/>
      <c r="CE292" s="154"/>
      <c r="CF292" s="154"/>
    </row>
    <row r="293" spans="38:84" ht="19.5" customHeight="1">
      <c r="AL293" s="241"/>
      <c r="AX293" s="665" t="s">
        <v>3149</v>
      </c>
      <c r="AY293" s="166"/>
      <c r="AZ293" s="662" t="s">
        <v>3150</v>
      </c>
      <c r="BA293" s="158"/>
      <c r="BB293" s="158"/>
      <c r="BC293" s="158"/>
      <c r="BD293" s="158"/>
      <c r="BE293" s="667" t="s">
        <v>3151</v>
      </c>
      <c r="BF293" s="158"/>
      <c r="BG293" s="666" t="s">
        <v>3152</v>
      </c>
      <c r="BH293" s="667" t="s">
        <v>3153</v>
      </c>
      <c r="BI293" s="158"/>
      <c r="BJ293" s="669" t="s">
        <v>3154</v>
      </c>
      <c r="BK293" s="158"/>
      <c r="BL293" s="158"/>
      <c r="BM293" s="158"/>
      <c r="BN293" s="158"/>
      <c r="BO293" s="158"/>
      <c r="BP293" s="158"/>
      <c r="BQ293" s="158"/>
      <c r="BR293" s="158"/>
      <c r="BS293" s="158"/>
      <c r="BT293" s="158"/>
      <c r="BU293" s="158"/>
      <c r="BV293" s="158"/>
      <c r="BW293" s="158"/>
      <c r="BX293" s="158"/>
      <c r="BY293" s="158"/>
      <c r="BZ293" s="814"/>
      <c r="CA293" s="814"/>
      <c r="CB293" s="809"/>
      <c r="CC293" s="178"/>
      <c r="CD293" s="154"/>
      <c r="CE293" s="154"/>
      <c r="CF293" s="154"/>
    </row>
    <row r="294" spans="38:84" ht="19.5" customHeight="1">
      <c r="AL294" s="241"/>
      <c r="AX294" s="166"/>
      <c r="AY294" s="166"/>
      <c r="AZ294" s="662" t="s">
        <v>3155</v>
      </c>
      <c r="BA294" s="158"/>
      <c r="BB294" s="158"/>
      <c r="BC294" s="158"/>
      <c r="BD294" s="158"/>
      <c r="BE294" s="669" t="s">
        <v>3156</v>
      </c>
      <c r="BF294" s="158"/>
      <c r="BG294" s="666" t="s">
        <v>3157</v>
      </c>
      <c r="BH294" s="667" t="s">
        <v>3158</v>
      </c>
      <c r="BI294" s="158"/>
      <c r="BJ294" s="158"/>
      <c r="BK294" s="158"/>
      <c r="BL294" s="158"/>
      <c r="BM294" s="158"/>
      <c r="BN294" s="158"/>
      <c r="BO294" s="158"/>
      <c r="BP294" s="158"/>
      <c r="BQ294" s="158"/>
      <c r="BR294" s="158"/>
      <c r="BS294" s="158"/>
      <c r="BT294" s="158"/>
      <c r="BU294" s="158"/>
      <c r="BV294" s="158"/>
      <c r="BW294" s="158"/>
      <c r="BX294" s="158"/>
      <c r="BY294" s="158"/>
      <c r="BZ294" s="814"/>
      <c r="CA294" s="814"/>
      <c r="CB294" s="809"/>
      <c r="CC294" s="178"/>
      <c r="CD294" s="154"/>
      <c r="CE294" s="154"/>
      <c r="CF294" s="154"/>
    </row>
    <row r="295" spans="38:84" ht="19.5" customHeight="1">
      <c r="AL295" s="241"/>
      <c r="AX295" s="166"/>
      <c r="AY295" s="166"/>
      <c r="AZ295" s="662" t="s">
        <v>3159</v>
      </c>
      <c r="BA295" s="158"/>
      <c r="BB295" s="158"/>
      <c r="BC295" s="158"/>
      <c r="BD295" s="158"/>
      <c r="BE295" s="158"/>
      <c r="BF295" s="158"/>
      <c r="BG295" s="666" t="s">
        <v>3160</v>
      </c>
      <c r="BH295" s="667" t="s">
        <v>3161</v>
      </c>
      <c r="BI295" s="158"/>
      <c r="BJ295" s="158"/>
      <c r="BK295" s="158"/>
      <c r="BL295" s="158"/>
      <c r="BM295" s="158"/>
      <c r="BN295" s="158"/>
      <c r="BO295" s="158"/>
      <c r="BP295" s="158"/>
      <c r="BQ295" s="158"/>
      <c r="BR295" s="158"/>
      <c r="BS295" s="158"/>
      <c r="BT295" s="158"/>
      <c r="BU295" s="158"/>
      <c r="BV295" s="158"/>
      <c r="BW295" s="158"/>
      <c r="BX295" s="158"/>
      <c r="BY295" s="158"/>
      <c r="BZ295" s="814"/>
      <c r="CA295" s="814"/>
      <c r="CB295" s="809"/>
      <c r="CC295" s="178"/>
      <c r="CD295" s="154"/>
      <c r="CE295" s="154"/>
      <c r="CF295" s="154"/>
    </row>
    <row r="296" spans="38:84" ht="19.5" customHeight="1">
      <c r="AL296" s="241"/>
      <c r="AX296" s="166"/>
      <c r="AY296" s="166"/>
      <c r="AZ296" s="662" t="s">
        <v>3162</v>
      </c>
      <c r="BA296" s="158"/>
      <c r="BB296" s="158"/>
      <c r="BC296" s="158"/>
      <c r="BD296" s="158"/>
      <c r="BE296" s="158"/>
      <c r="BF296" s="158"/>
      <c r="BG296" s="666" t="s">
        <v>3163</v>
      </c>
      <c r="BH296" s="667" t="s">
        <v>3164</v>
      </c>
      <c r="BI296" s="158"/>
      <c r="BJ296" s="158"/>
      <c r="BK296" s="158"/>
      <c r="BL296" s="158"/>
      <c r="BM296" s="158"/>
      <c r="BN296" s="158"/>
      <c r="BO296" s="158"/>
      <c r="BP296" s="158"/>
      <c r="BQ296" s="158"/>
      <c r="BR296" s="158"/>
      <c r="BS296" s="158"/>
      <c r="BT296" s="158"/>
      <c r="BU296" s="158"/>
      <c r="BV296" s="158"/>
      <c r="BW296" s="158"/>
      <c r="BX296" s="158"/>
      <c r="BY296" s="158"/>
      <c r="BZ296" s="814"/>
      <c r="CA296" s="814"/>
      <c r="CB296" s="809"/>
      <c r="CC296" s="178"/>
      <c r="CD296" s="154"/>
      <c r="CE296" s="154"/>
      <c r="CF296" s="154"/>
    </row>
    <row r="297" spans="38:84" ht="19.5" customHeight="1">
      <c r="AL297" s="241"/>
      <c r="AX297" s="166"/>
      <c r="AY297" s="166"/>
      <c r="AZ297" s="665" t="s">
        <v>3165</v>
      </c>
      <c r="BA297" s="158"/>
      <c r="BB297" s="158"/>
      <c r="BC297" s="158"/>
      <c r="BD297" s="158"/>
      <c r="BE297" s="158"/>
      <c r="BF297" s="158"/>
      <c r="BG297" s="666" t="s">
        <v>3166</v>
      </c>
      <c r="BH297" s="667" t="s">
        <v>3167</v>
      </c>
      <c r="BI297" s="158"/>
      <c r="BJ297" s="158"/>
      <c r="BK297" s="158"/>
      <c r="BL297" s="158"/>
      <c r="BM297" s="158"/>
      <c r="BN297" s="158"/>
      <c r="BO297" s="158"/>
      <c r="BP297" s="158"/>
      <c r="BQ297" s="158"/>
      <c r="BR297" s="158"/>
      <c r="BS297" s="158"/>
      <c r="BT297" s="158"/>
      <c r="BU297" s="158"/>
      <c r="BV297" s="158"/>
      <c r="BW297" s="158"/>
      <c r="BX297" s="158"/>
      <c r="BY297" s="158"/>
      <c r="BZ297" s="814"/>
      <c r="CA297" s="814"/>
      <c r="CB297" s="809"/>
      <c r="CC297" s="178"/>
      <c r="CD297" s="154"/>
      <c r="CE297" s="154"/>
      <c r="CF297" s="154"/>
    </row>
    <row r="298" spans="38:84" ht="19.5" customHeight="1">
      <c r="AL298" s="241"/>
      <c r="AX298" s="166"/>
      <c r="AY298" s="166"/>
      <c r="AZ298" s="166"/>
      <c r="BA298" s="158"/>
      <c r="BB298" s="158"/>
      <c r="BC298" s="158"/>
      <c r="BD298" s="158"/>
      <c r="BE298" s="158"/>
      <c r="BF298" s="158"/>
      <c r="BG298" s="666" t="s">
        <v>3168</v>
      </c>
      <c r="BH298" s="667" t="s">
        <v>3169</v>
      </c>
      <c r="BI298" s="158"/>
      <c r="BJ298" s="158"/>
      <c r="BK298" s="158"/>
      <c r="BL298" s="158"/>
      <c r="BM298" s="158"/>
      <c r="BN298" s="158"/>
      <c r="BO298" s="158"/>
      <c r="BP298" s="158"/>
      <c r="BQ298" s="158"/>
      <c r="BR298" s="158"/>
      <c r="BS298" s="158"/>
      <c r="BT298" s="158"/>
      <c r="BU298" s="158"/>
      <c r="BV298" s="158"/>
      <c r="BW298" s="158"/>
      <c r="BX298" s="158"/>
      <c r="BY298" s="158"/>
      <c r="BZ298" s="814"/>
      <c r="CA298" s="814"/>
      <c r="CB298" s="809"/>
      <c r="CC298" s="178"/>
      <c r="CD298" s="154"/>
      <c r="CE298" s="154"/>
      <c r="CF298" s="154"/>
    </row>
    <row r="299" spans="38:84" ht="19.5" customHeight="1">
      <c r="AL299" s="241"/>
      <c r="AX299" s="166"/>
      <c r="AY299" s="166"/>
      <c r="AZ299" s="166"/>
      <c r="BA299" s="158"/>
      <c r="BB299" s="158"/>
      <c r="BC299" s="158"/>
      <c r="BD299" s="158"/>
      <c r="BE299" s="158"/>
      <c r="BF299" s="158"/>
      <c r="BG299" s="666" t="s">
        <v>3170</v>
      </c>
      <c r="BH299" s="667" t="s">
        <v>3171</v>
      </c>
      <c r="BI299" s="158"/>
      <c r="BJ299" s="158"/>
      <c r="BK299" s="158"/>
      <c r="BL299" s="158"/>
      <c r="BM299" s="158"/>
      <c r="BN299" s="158"/>
      <c r="BO299" s="158"/>
      <c r="BP299" s="158"/>
      <c r="BQ299" s="158"/>
      <c r="BR299" s="158"/>
      <c r="BS299" s="158"/>
      <c r="BT299" s="158"/>
      <c r="BU299" s="158"/>
      <c r="BV299" s="158"/>
      <c r="BW299" s="158"/>
      <c r="BX299" s="158"/>
      <c r="BY299" s="158"/>
      <c r="BZ299" s="814"/>
      <c r="CA299" s="814"/>
      <c r="CB299" s="809"/>
      <c r="CC299" s="178"/>
      <c r="CD299" s="154"/>
      <c r="CE299" s="154"/>
      <c r="CF299" s="154"/>
    </row>
    <row r="300" spans="38:84" ht="19.5" customHeight="1">
      <c r="AL300" s="241"/>
      <c r="AX300" s="166"/>
      <c r="AY300" s="166"/>
      <c r="AZ300" s="166"/>
      <c r="BA300" s="158"/>
      <c r="BB300" s="158"/>
      <c r="BC300" s="158"/>
      <c r="BD300" s="158"/>
      <c r="BE300" s="158"/>
      <c r="BF300" s="158"/>
      <c r="BG300" s="666" t="s">
        <v>3172</v>
      </c>
      <c r="BH300" s="667" t="s">
        <v>3173</v>
      </c>
      <c r="BI300" s="158"/>
      <c r="BJ300" s="158"/>
      <c r="BK300" s="158"/>
      <c r="BL300" s="158"/>
      <c r="BM300" s="158"/>
      <c r="BN300" s="158"/>
      <c r="BO300" s="158"/>
      <c r="BP300" s="158"/>
      <c r="BQ300" s="158"/>
      <c r="BR300" s="158"/>
      <c r="BS300" s="158"/>
      <c r="BT300" s="158"/>
      <c r="BU300" s="158"/>
      <c r="BV300" s="158"/>
      <c r="BW300" s="158"/>
      <c r="BX300" s="158"/>
      <c r="BY300" s="158"/>
      <c r="BZ300" s="814"/>
      <c r="CA300" s="814"/>
      <c r="CB300" s="809"/>
      <c r="CC300" s="178"/>
      <c r="CD300" s="154"/>
      <c r="CE300" s="154"/>
      <c r="CF300" s="154"/>
    </row>
    <row r="301" spans="38:84" ht="19.5" customHeight="1">
      <c r="AL301" s="241"/>
      <c r="AX301" s="166"/>
      <c r="AY301" s="166"/>
      <c r="AZ301" s="166"/>
      <c r="BA301" s="158"/>
      <c r="BB301" s="158"/>
      <c r="BC301" s="158"/>
      <c r="BD301" s="158"/>
      <c r="BE301" s="158"/>
      <c r="BF301" s="158"/>
      <c r="BG301" s="666" t="s">
        <v>3174</v>
      </c>
      <c r="BH301" s="667" t="s">
        <v>3175</v>
      </c>
      <c r="BI301" s="158"/>
      <c r="BJ301" s="158"/>
      <c r="BK301" s="158"/>
      <c r="BL301" s="158"/>
      <c r="BM301" s="158"/>
      <c r="BN301" s="158"/>
      <c r="BO301" s="158"/>
      <c r="BP301" s="158"/>
      <c r="BQ301" s="158"/>
      <c r="BR301" s="158"/>
      <c r="BS301" s="158"/>
      <c r="BT301" s="158"/>
      <c r="BU301" s="158"/>
      <c r="BV301" s="158"/>
      <c r="BW301" s="158"/>
      <c r="BX301" s="158"/>
      <c r="BY301" s="158"/>
      <c r="BZ301" s="814"/>
      <c r="CA301" s="814"/>
      <c r="CB301" s="809"/>
      <c r="CC301" s="178"/>
      <c r="CD301" s="154"/>
      <c r="CE301" s="154"/>
      <c r="CF301" s="154"/>
    </row>
    <row r="302" spans="38:84" ht="19.5" customHeight="1">
      <c r="AL302" s="241"/>
      <c r="AX302" s="166"/>
      <c r="AY302" s="166"/>
      <c r="AZ302" s="166"/>
      <c r="BA302" s="158"/>
      <c r="BB302" s="158"/>
      <c r="BC302" s="158"/>
      <c r="BD302" s="158"/>
      <c r="BE302" s="158"/>
      <c r="BF302" s="158"/>
      <c r="BG302" s="666" t="s">
        <v>3176</v>
      </c>
      <c r="BH302" s="667" t="s">
        <v>3177</v>
      </c>
      <c r="BI302" s="158"/>
      <c r="BJ302" s="158"/>
      <c r="BK302" s="158"/>
      <c r="BL302" s="158"/>
      <c r="BM302" s="158"/>
      <c r="BN302" s="158"/>
      <c r="BO302" s="158"/>
      <c r="BP302" s="158"/>
      <c r="BQ302" s="158"/>
      <c r="BR302" s="158"/>
      <c r="BS302" s="158"/>
      <c r="BT302" s="158"/>
      <c r="BU302" s="158"/>
      <c r="BV302" s="158"/>
      <c r="BW302" s="158"/>
      <c r="BX302" s="158"/>
      <c r="BY302" s="158"/>
      <c r="BZ302" s="814"/>
      <c r="CA302" s="814"/>
      <c r="CB302" s="809"/>
      <c r="CC302" s="178"/>
      <c r="CD302" s="154"/>
      <c r="CE302" s="154"/>
      <c r="CF302" s="154"/>
    </row>
    <row r="303" spans="38:84" ht="19.5" customHeight="1">
      <c r="AL303" s="241"/>
      <c r="AX303" s="166"/>
      <c r="AY303" s="166"/>
      <c r="AZ303" s="166"/>
      <c r="BA303" s="158"/>
      <c r="BB303" s="158"/>
      <c r="BC303" s="158"/>
      <c r="BD303" s="158"/>
      <c r="BE303" s="158"/>
      <c r="BF303" s="158"/>
      <c r="BG303" s="666" t="s">
        <v>3178</v>
      </c>
      <c r="BH303" s="667" t="s">
        <v>3179</v>
      </c>
      <c r="BI303" s="158"/>
      <c r="BJ303" s="158"/>
      <c r="BK303" s="158"/>
      <c r="BL303" s="158"/>
      <c r="BM303" s="158"/>
      <c r="BN303" s="158"/>
      <c r="BO303" s="158"/>
      <c r="BP303" s="158"/>
      <c r="BQ303" s="158"/>
      <c r="BR303" s="158"/>
      <c r="BS303" s="158"/>
      <c r="BT303" s="158"/>
      <c r="BU303" s="158"/>
      <c r="BV303" s="158"/>
      <c r="BW303" s="158"/>
      <c r="BX303" s="158"/>
      <c r="BY303" s="158"/>
      <c r="BZ303" s="814"/>
      <c r="CA303" s="814"/>
      <c r="CB303" s="809"/>
      <c r="CC303" s="178"/>
      <c r="CD303" s="154"/>
      <c r="CE303" s="154"/>
      <c r="CF303" s="154"/>
    </row>
    <row r="304" spans="38:84" ht="19.5" customHeight="1">
      <c r="AL304" s="241"/>
      <c r="AX304" s="166"/>
      <c r="AY304" s="166"/>
      <c r="AZ304" s="166"/>
      <c r="BA304" s="158"/>
      <c r="BB304" s="158"/>
      <c r="BC304" s="158"/>
      <c r="BD304" s="158"/>
      <c r="BE304" s="158"/>
      <c r="BF304" s="158"/>
      <c r="BG304" s="666" t="s">
        <v>3180</v>
      </c>
      <c r="BH304" s="667" t="s">
        <v>3181</v>
      </c>
      <c r="BI304" s="158"/>
      <c r="BJ304" s="158"/>
      <c r="BK304" s="158"/>
      <c r="BL304" s="158"/>
      <c r="BM304" s="158"/>
      <c r="BN304" s="158"/>
      <c r="BO304" s="158"/>
      <c r="BP304" s="158"/>
      <c r="BQ304" s="158"/>
      <c r="BR304" s="158"/>
      <c r="BS304" s="158"/>
      <c r="BT304" s="158"/>
      <c r="BU304" s="158"/>
      <c r="BV304" s="158"/>
      <c r="BW304" s="158"/>
      <c r="BX304" s="158"/>
      <c r="BY304" s="158"/>
      <c r="BZ304" s="814"/>
      <c r="CA304" s="814"/>
      <c r="CB304" s="809"/>
      <c r="CC304" s="178"/>
      <c r="CD304" s="154"/>
      <c r="CE304" s="154"/>
      <c r="CF304" s="154"/>
    </row>
    <row r="305" spans="38:84" ht="19.5" customHeight="1">
      <c r="AL305" s="241"/>
      <c r="AX305" s="166"/>
      <c r="AY305" s="166"/>
      <c r="AZ305" s="166"/>
      <c r="BA305" s="158"/>
      <c r="BB305" s="158"/>
      <c r="BC305" s="158"/>
      <c r="BD305" s="158"/>
      <c r="BE305" s="158"/>
      <c r="BF305" s="158"/>
      <c r="BG305" s="668" t="s">
        <v>3182</v>
      </c>
      <c r="BH305" s="667" t="s">
        <v>3183</v>
      </c>
      <c r="BI305" s="158"/>
      <c r="BJ305" s="158"/>
      <c r="BK305" s="158"/>
      <c r="BL305" s="158"/>
      <c r="BM305" s="158"/>
      <c r="BN305" s="158"/>
      <c r="BO305" s="158"/>
      <c r="BP305" s="158"/>
      <c r="BQ305" s="158"/>
      <c r="BR305" s="158"/>
      <c r="BS305" s="158"/>
      <c r="BT305" s="158"/>
      <c r="BU305" s="158"/>
      <c r="BV305" s="158"/>
      <c r="BW305" s="158"/>
      <c r="BX305" s="158"/>
      <c r="BY305" s="158"/>
      <c r="BZ305" s="814"/>
      <c r="CA305" s="814"/>
      <c r="CB305" s="809"/>
      <c r="CC305" s="178"/>
      <c r="CD305" s="154"/>
      <c r="CE305" s="154"/>
      <c r="CF305" s="154"/>
    </row>
    <row r="306" spans="38:84" ht="19.5" customHeight="1">
      <c r="AL306" s="241"/>
      <c r="AX306" s="166"/>
      <c r="AY306" s="166"/>
      <c r="AZ306" s="166"/>
      <c r="BA306" s="158"/>
      <c r="BB306" s="158"/>
      <c r="BC306" s="158"/>
      <c r="BD306" s="158"/>
      <c r="BE306" s="158"/>
      <c r="BF306" s="158"/>
      <c r="BG306" s="158"/>
      <c r="BH306" s="667" t="s">
        <v>3184</v>
      </c>
      <c r="BI306" s="158"/>
      <c r="BJ306" s="158"/>
      <c r="BK306" s="158"/>
      <c r="BL306" s="158"/>
      <c r="BM306" s="158"/>
      <c r="BN306" s="158"/>
      <c r="BO306" s="158"/>
      <c r="BP306" s="158"/>
      <c r="BQ306" s="158"/>
      <c r="BR306" s="158"/>
      <c r="BS306" s="158"/>
      <c r="BT306" s="158"/>
      <c r="BU306" s="158"/>
      <c r="BV306" s="158"/>
      <c r="BW306" s="158"/>
      <c r="BX306" s="158"/>
      <c r="BY306" s="158"/>
      <c r="BZ306" s="814"/>
      <c r="CA306" s="814"/>
      <c r="CB306" s="809"/>
      <c r="CC306" s="178"/>
      <c r="CD306" s="154"/>
      <c r="CE306" s="154"/>
      <c r="CF306" s="154"/>
    </row>
    <row r="307" spans="38:84" ht="19.5" customHeight="1">
      <c r="AL307" s="241"/>
      <c r="AX307" s="166"/>
      <c r="AY307" s="166"/>
      <c r="AZ307" s="166"/>
      <c r="BA307" s="158"/>
      <c r="BB307" s="158"/>
      <c r="BC307" s="158"/>
      <c r="BD307" s="158"/>
      <c r="BE307" s="158"/>
      <c r="BF307" s="158"/>
      <c r="BG307" s="158"/>
      <c r="BH307" s="667" t="s">
        <v>3185</v>
      </c>
      <c r="BI307" s="158"/>
      <c r="BJ307" s="158"/>
      <c r="BK307" s="158"/>
      <c r="BL307" s="158"/>
      <c r="BM307" s="158"/>
      <c r="BN307" s="158"/>
      <c r="BO307" s="158"/>
      <c r="BP307" s="158"/>
      <c r="BQ307" s="158"/>
      <c r="BR307" s="158"/>
      <c r="BS307" s="158"/>
      <c r="BT307" s="158"/>
      <c r="BU307" s="158"/>
      <c r="BV307" s="158"/>
      <c r="BW307" s="158"/>
      <c r="BX307" s="158"/>
      <c r="BY307" s="158"/>
      <c r="BZ307" s="814"/>
      <c r="CA307" s="814"/>
      <c r="CB307" s="809"/>
      <c r="CC307" s="178"/>
      <c r="CD307" s="154"/>
      <c r="CE307" s="154"/>
      <c r="CF307" s="154"/>
    </row>
    <row r="308" spans="38:84" ht="19.5" customHeight="1">
      <c r="AL308" s="241"/>
      <c r="AX308" s="166"/>
      <c r="AY308" s="166"/>
      <c r="AZ308" s="166"/>
      <c r="BA308" s="158"/>
      <c r="BB308" s="158"/>
      <c r="BC308" s="158"/>
      <c r="BD308" s="158"/>
      <c r="BE308" s="158"/>
      <c r="BF308" s="158"/>
      <c r="BG308" s="158"/>
      <c r="BH308" s="667" t="s">
        <v>3186</v>
      </c>
      <c r="BI308" s="158"/>
      <c r="BJ308" s="158"/>
      <c r="BK308" s="158"/>
      <c r="BL308" s="158"/>
      <c r="BM308" s="158"/>
      <c r="BN308" s="158"/>
      <c r="BO308" s="158"/>
      <c r="BP308" s="158"/>
      <c r="BQ308" s="158"/>
      <c r="BR308" s="158"/>
      <c r="BS308" s="158"/>
      <c r="BT308" s="158"/>
      <c r="BU308" s="158"/>
      <c r="BV308" s="158"/>
      <c r="BW308" s="158"/>
      <c r="BX308" s="158"/>
      <c r="BY308" s="158"/>
      <c r="BZ308" s="814"/>
      <c r="CA308" s="814"/>
      <c r="CB308" s="809"/>
      <c r="CC308" s="178"/>
      <c r="CD308" s="154"/>
      <c r="CE308" s="154"/>
      <c r="CF308" s="154"/>
    </row>
    <row r="309" spans="38:84" ht="19.5" customHeight="1">
      <c r="AL309" s="241"/>
      <c r="AX309" s="166"/>
      <c r="AY309" s="166"/>
      <c r="AZ309" s="166"/>
      <c r="BA309" s="158"/>
      <c r="BB309" s="158"/>
      <c r="BC309" s="158"/>
      <c r="BD309" s="158"/>
      <c r="BE309" s="158"/>
      <c r="BF309" s="158"/>
      <c r="BG309" s="158"/>
      <c r="BH309" s="667" t="s">
        <v>3187</v>
      </c>
      <c r="BI309" s="158"/>
      <c r="BJ309" s="158"/>
      <c r="BK309" s="158"/>
      <c r="BL309" s="158"/>
      <c r="BM309" s="158"/>
      <c r="BN309" s="158"/>
      <c r="BO309" s="158"/>
      <c r="BP309" s="158"/>
      <c r="BQ309" s="158"/>
      <c r="BR309" s="158"/>
      <c r="BS309" s="158"/>
      <c r="BT309" s="158"/>
      <c r="BU309" s="158"/>
      <c r="BV309" s="158"/>
      <c r="BW309" s="158"/>
      <c r="BX309" s="158"/>
      <c r="BY309" s="158"/>
      <c r="BZ309" s="814"/>
      <c r="CA309" s="814"/>
      <c r="CB309" s="809"/>
      <c r="CC309" s="178"/>
      <c r="CD309" s="154"/>
      <c r="CE309" s="154"/>
      <c r="CF309" s="154"/>
    </row>
    <row r="310" spans="38:84" ht="19.5" customHeight="1">
      <c r="AL310" s="241"/>
      <c r="AX310" s="166"/>
      <c r="AY310" s="166"/>
      <c r="AZ310" s="166"/>
      <c r="BA310" s="158"/>
      <c r="BB310" s="158"/>
      <c r="BC310" s="158"/>
      <c r="BD310" s="158"/>
      <c r="BE310" s="158"/>
      <c r="BF310" s="158"/>
      <c r="BG310" s="158"/>
      <c r="BH310" s="667" t="s">
        <v>3188</v>
      </c>
      <c r="BI310" s="158"/>
      <c r="BJ310" s="158"/>
      <c r="BK310" s="158"/>
      <c r="BL310" s="158"/>
      <c r="BM310" s="158"/>
      <c r="BN310" s="158"/>
      <c r="BO310" s="158"/>
      <c r="BP310" s="158"/>
      <c r="BQ310" s="158"/>
      <c r="BR310" s="158"/>
      <c r="BS310" s="158"/>
      <c r="BT310" s="158"/>
      <c r="BU310" s="158"/>
      <c r="BV310" s="158"/>
      <c r="BW310" s="158"/>
      <c r="BX310" s="158"/>
      <c r="BY310" s="158"/>
      <c r="BZ310" s="814"/>
      <c r="CA310" s="814"/>
      <c r="CB310" s="809"/>
      <c r="CC310" s="178"/>
      <c r="CD310" s="154"/>
      <c r="CE310" s="154"/>
      <c r="CF310" s="154"/>
    </row>
    <row r="311" spans="38:84" ht="19.5" customHeight="1">
      <c r="AL311" s="241"/>
      <c r="AX311" s="166"/>
      <c r="AY311" s="166"/>
      <c r="AZ311" s="166"/>
      <c r="BA311" s="158"/>
      <c r="BB311" s="158"/>
      <c r="BC311" s="158"/>
      <c r="BD311" s="158"/>
      <c r="BE311" s="158"/>
      <c r="BF311" s="158"/>
      <c r="BG311" s="158"/>
      <c r="BH311" s="667" t="s">
        <v>3189</v>
      </c>
      <c r="BI311" s="158"/>
      <c r="BJ311" s="158"/>
      <c r="BK311" s="158"/>
      <c r="BL311" s="158"/>
      <c r="BM311" s="158"/>
      <c r="BN311" s="158"/>
      <c r="BO311" s="158"/>
      <c r="BP311" s="158"/>
      <c r="BQ311" s="158"/>
      <c r="BR311" s="158"/>
      <c r="BS311" s="158"/>
      <c r="BT311" s="158"/>
      <c r="BU311" s="158"/>
      <c r="BV311" s="158"/>
      <c r="BW311" s="158"/>
      <c r="BX311" s="158"/>
      <c r="BY311" s="158"/>
      <c r="BZ311" s="814"/>
      <c r="CA311" s="814"/>
      <c r="CB311" s="809"/>
      <c r="CC311" s="178"/>
      <c r="CD311" s="154"/>
      <c r="CE311" s="154"/>
      <c r="CF311" s="154"/>
    </row>
    <row r="312" spans="38:84" ht="19.5" customHeight="1">
      <c r="AL312" s="241"/>
      <c r="AX312" s="166"/>
      <c r="AY312" s="166"/>
      <c r="AZ312" s="166"/>
      <c r="BA312" s="158"/>
      <c r="BB312" s="158"/>
      <c r="BC312" s="158"/>
      <c r="BD312" s="158"/>
      <c r="BE312" s="158"/>
      <c r="BF312" s="158"/>
      <c r="BG312" s="158"/>
      <c r="BH312" s="669" t="s">
        <v>3190</v>
      </c>
      <c r="BI312" s="158"/>
      <c r="BJ312" s="158"/>
      <c r="BK312" s="158"/>
      <c r="BL312" s="158"/>
      <c r="BM312" s="158"/>
      <c r="BN312" s="158"/>
      <c r="BO312" s="158"/>
      <c r="BP312" s="158"/>
      <c r="BQ312" s="158"/>
      <c r="BR312" s="158"/>
      <c r="BS312" s="158"/>
      <c r="BT312" s="158"/>
      <c r="BU312" s="158"/>
      <c r="BV312" s="158"/>
      <c r="BW312" s="158"/>
      <c r="BX312" s="158"/>
      <c r="BY312" s="158"/>
      <c r="BZ312" s="814"/>
      <c r="CA312" s="814"/>
      <c r="CB312" s="809"/>
      <c r="CC312" s="178"/>
      <c r="CD312" s="154"/>
      <c r="CE312" s="154"/>
      <c r="CF312" s="154"/>
    </row>
    <row r="313" spans="38:84" ht="19.5" customHeight="1">
      <c r="AL313" s="241"/>
      <c r="BA313" s="200"/>
      <c r="BB313" s="200"/>
      <c r="BC313" s="200"/>
      <c r="BD313" s="200"/>
      <c r="BE313" s="200"/>
      <c r="BF313" s="200"/>
      <c r="BG313" s="200"/>
      <c r="BH313" s="200"/>
      <c r="BI313" s="200"/>
      <c r="BJ313" s="200"/>
      <c r="BK313" s="200"/>
      <c r="BL313" s="200"/>
      <c r="BM313" s="200"/>
      <c r="BN313" s="200"/>
      <c r="BO313" s="200"/>
      <c r="BP313" s="200"/>
      <c r="BQ313" s="200"/>
      <c r="BR313" s="200"/>
      <c r="BS313" s="200"/>
    </row>
    <row r="314" spans="38:84" ht="19.5" customHeight="1">
      <c r="AL314" s="241"/>
      <c r="AX314" s="166" t="s">
        <v>3405</v>
      </c>
      <c r="AY314" s="166"/>
      <c r="AZ314" s="166"/>
      <c r="BA314" s="158"/>
      <c r="BB314" s="158"/>
      <c r="BC314" s="158"/>
      <c r="BD314" s="158"/>
      <c r="BE314" s="158"/>
      <c r="BF314" s="158"/>
      <c r="BG314" s="158"/>
      <c r="BH314" s="158"/>
      <c r="BI314" s="158"/>
      <c r="BJ314" s="158"/>
      <c r="BK314" s="158"/>
      <c r="BL314" s="158"/>
      <c r="BM314" s="158"/>
      <c r="BN314" s="158"/>
      <c r="BO314" s="158"/>
      <c r="BP314" s="158"/>
      <c r="BQ314" s="158"/>
      <c r="BR314" s="158"/>
      <c r="BS314" s="158"/>
    </row>
    <row r="315" spans="38:84" ht="19.5" customHeight="1">
      <c r="AL315" s="241"/>
      <c r="AX315" s="659" t="s">
        <v>1028</v>
      </c>
      <c r="AY315" s="659" t="s">
        <v>2283</v>
      </c>
      <c r="AZ315" s="659" t="s">
        <v>3406</v>
      </c>
      <c r="BA315" s="661" t="s">
        <v>3407</v>
      </c>
      <c r="BB315" s="661" t="s">
        <v>3408</v>
      </c>
      <c r="BC315" s="661" t="s">
        <v>3409</v>
      </c>
      <c r="BD315" s="661" t="s">
        <v>3410</v>
      </c>
      <c r="BE315" s="661" t="s">
        <v>2441</v>
      </c>
      <c r="BF315" s="661" t="s">
        <v>3000</v>
      </c>
      <c r="BG315" s="661" t="s">
        <v>3411</v>
      </c>
      <c r="BH315" s="661" t="s">
        <v>3412</v>
      </c>
      <c r="BI315" s="661" t="s">
        <v>3413</v>
      </c>
      <c r="BJ315" s="661" t="s">
        <v>3414</v>
      </c>
      <c r="BK315" s="661" t="s">
        <v>3415</v>
      </c>
      <c r="BL315" s="661" t="s">
        <v>3416</v>
      </c>
      <c r="BM315" s="661" t="s">
        <v>2448</v>
      </c>
      <c r="BN315" s="661" t="s">
        <v>2451</v>
      </c>
      <c r="BO315" s="661" t="s">
        <v>3417</v>
      </c>
      <c r="BP315" s="661" t="s">
        <v>1792</v>
      </c>
      <c r="BQ315" s="661" t="s">
        <v>3418</v>
      </c>
      <c r="BR315" s="661" t="s">
        <v>3419</v>
      </c>
      <c r="BS315" s="661" t="s">
        <v>2080</v>
      </c>
    </row>
    <row r="316" spans="38:84" ht="19.5" customHeight="1">
      <c r="AL316" s="241"/>
      <c r="AX316" s="663" t="s">
        <v>2073</v>
      </c>
      <c r="AY316" s="786" t="s">
        <v>2073</v>
      </c>
      <c r="AZ316" s="663" t="s">
        <v>2073</v>
      </c>
      <c r="BA316" s="799" t="s">
        <v>2073</v>
      </c>
      <c r="BB316" s="799" t="s">
        <v>2073</v>
      </c>
      <c r="BC316" s="799" t="s">
        <v>2073</v>
      </c>
      <c r="BD316" s="798" t="s">
        <v>2073</v>
      </c>
      <c r="BE316" s="799" t="s">
        <v>2073</v>
      </c>
      <c r="BF316" s="799" t="s">
        <v>2073</v>
      </c>
      <c r="BG316" s="799" t="s">
        <v>2073</v>
      </c>
      <c r="BH316" s="798" t="s">
        <v>2073</v>
      </c>
      <c r="BI316" s="798" t="s">
        <v>2073</v>
      </c>
      <c r="BJ316" s="798" t="s">
        <v>2073</v>
      </c>
      <c r="BK316" s="799" t="s">
        <v>2073</v>
      </c>
      <c r="BL316" s="798" t="s">
        <v>2073</v>
      </c>
      <c r="BM316" s="798" t="s">
        <v>2073</v>
      </c>
      <c r="BN316" s="799" t="s">
        <v>2073</v>
      </c>
      <c r="BO316" s="798" t="s">
        <v>2073</v>
      </c>
      <c r="BP316" s="799" t="s">
        <v>2073</v>
      </c>
      <c r="BQ316" s="798" t="s">
        <v>2073</v>
      </c>
      <c r="BR316" s="798" t="s">
        <v>2073</v>
      </c>
      <c r="BS316" s="661" t="s">
        <v>2073</v>
      </c>
    </row>
    <row r="317" spans="38:84" ht="19.5" customHeight="1">
      <c r="AL317" s="241"/>
      <c r="AX317" s="662" t="s">
        <v>3420</v>
      </c>
      <c r="AY317" s="664" t="s">
        <v>3421</v>
      </c>
      <c r="AZ317" s="662" t="s">
        <v>3422</v>
      </c>
      <c r="BA317" s="666" t="s">
        <v>3423</v>
      </c>
      <c r="BB317" s="666" t="s">
        <v>3424</v>
      </c>
      <c r="BC317" s="666" t="s">
        <v>3425</v>
      </c>
      <c r="BD317" s="667" t="s">
        <v>3426</v>
      </c>
      <c r="BE317" s="666" t="s">
        <v>3427</v>
      </c>
      <c r="BF317" s="666" t="s">
        <v>3428</v>
      </c>
      <c r="BG317" s="666" t="s">
        <v>3429</v>
      </c>
      <c r="BH317" s="667" t="s">
        <v>3430</v>
      </c>
      <c r="BI317" s="667" t="s">
        <v>3431</v>
      </c>
      <c r="BJ317" s="667" t="s">
        <v>3432</v>
      </c>
      <c r="BK317" s="666" t="s">
        <v>3433</v>
      </c>
      <c r="BL317" s="667" t="s">
        <v>3434</v>
      </c>
      <c r="BM317" s="667" t="s">
        <v>3435</v>
      </c>
      <c r="BN317" s="666" t="s">
        <v>3436</v>
      </c>
      <c r="BO317" s="667" t="s">
        <v>3437</v>
      </c>
      <c r="BP317" s="666" t="s">
        <v>3438</v>
      </c>
      <c r="BQ317" s="667" t="s">
        <v>3439</v>
      </c>
      <c r="BR317" s="667" t="s">
        <v>3440</v>
      </c>
      <c r="BS317" s="158"/>
    </row>
    <row r="318" spans="38:84" ht="19.5" customHeight="1">
      <c r="AL318" s="241"/>
      <c r="AX318" s="662" t="s">
        <v>3441</v>
      </c>
      <c r="AY318" s="664" t="s">
        <v>3442</v>
      </c>
      <c r="AZ318" s="662" t="s">
        <v>3443</v>
      </c>
      <c r="BA318" s="668" t="s">
        <v>3444</v>
      </c>
      <c r="BB318" s="666" t="s">
        <v>3445</v>
      </c>
      <c r="BC318" s="666" t="s">
        <v>3446</v>
      </c>
      <c r="BD318" s="667" t="s">
        <v>3447</v>
      </c>
      <c r="BE318" s="666" t="s">
        <v>3448</v>
      </c>
      <c r="BF318" s="666" t="s">
        <v>3449</v>
      </c>
      <c r="BG318" s="666" t="s">
        <v>3450</v>
      </c>
      <c r="BH318" s="667" t="s">
        <v>3451</v>
      </c>
      <c r="BI318" s="667" t="s">
        <v>3452</v>
      </c>
      <c r="BJ318" s="667" t="s">
        <v>3453</v>
      </c>
      <c r="BK318" s="668" t="s">
        <v>3454</v>
      </c>
      <c r="BL318" s="667" t="s">
        <v>3455</v>
      </c>
      <c r="BM318" s="667" t="s">
        <v>3456</v>
      </c>
      <c r="BN318" s="666" t="s">
        <v>3457</v>
      </c>
      <c r="BO318" s="667" t="s">
        <v>3458</v>
      </c>
      <c r="BP318" s="666" t="s">
        <v>3459</v>
      </c>
      <c r="BQ318" s="667" t="s">
        <v>3460</v>
      </c>
      <c r="BR318" s="669" t="s">
        <v>3461</v>
      </c>
      <c r="BS318" s="158"/>
    </row>
    <row r="319" spans="38:84" ht="19.5" customHeight="1">
      <c r="AL319" s="241"/>
      <c r="AX319" s="662" t="s">
        <v>3462</v>
      </c>
      <c r="AY319" s="664" t="s">
        <v>3463</v>
      </c>
      <c r="AZ319" s="662" t="s">
        <v>3464</v>
      </c>
      <c r="BA319" s="158"/>
      <c r="BB319" s="668" t="s">
        <v>3404</v>
      </c>
      <c r="BC319" s="666" t="s">
        <v>3465</v>
      </c>
      <c r="BD319" s="667" t="s">
        <v>3466</v>
      </c>
      <c r="BE319" s="666" t="s">
        <v>3467</v>
      </c>
      <c r="BF319" s="666" t="s">
        <v>3468</v>
      </c>
      <c r="BG319" s="666" t="s">
        <v>3469</v>
      </c>
      <c r="BH319" s="667" t="s">
        <v>3470</v>
      </c>
      <c r="BI319" s="667" t="s">
        <v>3471</v>
      </c>
      <c r="BJ319" s="667" t="s">
        <v>3472</v>
      </c>
      <c r="BK319" s="158"/>
      <c r="BL319" s="667" t="s">
        <v>3473</v>
      </c>
      <c r="BM319" s="667" t="s">
        <v>3474</v>
      </c>
      <c r="BN319" s="666" t="s">
        <v>3475</v>
      </c>
      <c r="BO319" s="667" t="s">
        <v>3476</v>
      </c>
      <c r="BP319" s="668" t="s">
        <v>3477</v>
      </c>
      <c r="BQ319" s="667" t="s">
        <v>3478</v>
      </c>
      <c r="BR319" s="158"/>
      <c r="BS319" s="158"/>
    </row>
    <row r="320" spans="38:84" ht="19.5" customHeight="1">
      <c r="AX320" s="662" t="s">
        <v>3402</v>
      </c>
      <c r="AY320" s="787" t="s">
        <v>3479</v>
      </c>
      <c r="AZ320" s="662" t="s">
        <v>3480</v>
      </c>
      <c r="BA320" s="158"/>
      <c r="BB320" s="158"/>
      <c r="BC320" s="666" t="s">
        <v>3481</v>
      </c>
      <c r="BD320" s="667" t="s">
        <v>3482</v>
      </c>
      <c r="BE320" s="668" t="s">
        <v>3483</v>
      </c>
      <c r="BF320" s="666" t="s">
        <v>3484</v>
      </c>
      <c r="BG320" s="666" t="s">
        <v>3485</v>
      </c>
      <c r="BH320" s="667" t="s">
        <v>3486</v>
      </c>
      <c r="BI320" s="667" t="s">
        <v>3487</v>
      </c>
      <c r="BJ320" s="667" t="s">
        <v>3488</v>
      </c>
      <c r="BK320" s="158"/>
      <c r="BL320" s="667" t="s">
        <v>3489</v>
      </c>
      <c r="BM320" s="667" t="s">
        <v>3490</v>
      </c>
      <c r="BN320" s="668" t="s">
        <v>3491</v>
      </c>
      <c r="BO320" s="667" t="s">
        <v>3492</v>
      </c>
      <c r="BP320" s="158"/>
      <c r="BQ320" s="669" t="s">
        <v>3493</v>
      </c>
      <c r="BR320" s="158"/>
      <c r="BS320" s="158"/>
    </row>
    <row r="321" spans="50:71" ht="19.5" customHeight="1">
      <c r="AX321" s="662" t="s">
        <v>3494</v>
      </c>
      <c r="AY321" s="166"/>
      <c r="AZ321" s="662" t="s">
        <v>3495</v>
      </c>
      <c r="BA321" s="158"/>
      <c r="BB321" s="158"/>
      <c r="BC321" s="666" t="s">
        <v>3496</v>
      </c>
      <c r="BD321" s="667" t="s">
        <v>3497</v>
      </c>
      <c r="BE321" s="158"/>
      <c r="BF321" s="666" t="s">
        <v>3498</v>
      </c>
      <c r="BG321" s="666" t="s">
        <v>3499</v>
      </c>
      <c r="BH321" s="667" t="s">
        <v>3500</v>
      </c>
      <c r="BI321" s="669" t="s">
        <v>3501</v>
      </c>
      <c r="BJ321" s="669" t="s">
        <v>3502</v>
      </c>
      <c r="BK321" s="158"/>
      <c r="BL321" s="667" t="s">
        <v>3503</v>
      </c>
      <c r="BM321" s="667" t="s">
        <v>3504</v>
      </c>
      <c r="BN321" s="158"/>
      <c r="BO321" s="667" t="s">
        <v>3505</v>
      </c>
      <c r="BP321" s="158"/>
      <c r="BQ321" s="158"/>
      <c r="BR321" s="158"/>
      <c r="BS321" s="158"/>
    </row>
    <row r="322" spans="50:71" ht="19.5" customHeight="1">
      <c r="AX322" s="662" t="s">
        <v>3506</v>
      </c>
      <c r="AY322" s="166"/>
      <c r="AZ322" s="665" t="s">
        <v>3507</v>
      </c>
      <c r="BA322" s="158"/>
      <c r="BB322" s="158"/>
      <c r="BC322" s="666" t="s">
        <v>3508</v>
      </c>
      <c r="BD322" s="667" t="s">
        <v>3509</v>
      </c>
      <c r="BE322" s="158"/>
      <c r="BF322" s="668" t="s">
        <v>3510</v>
      </c>
      <c r="BG322" s="666" t="s">
        <v>3511</v>
      </c>
      <c r="BH322" s="667" t="s">
        <v>3512</v>
      </c>
      <c r="BI322" s="158"/>
      <c r="BJ322" s="158"/>
      <c r="BK322" s="158"/>
      <c r="BL322" s="667" t="s">
        <v>3513</v>
      </c>
      <c r="BM322" s="667" t="s">
        <v>3514</v>
      </c>
      <c r="BN322" s="158"/>
      <c r="BO322" s="669" t="s">
        <v>3515</v>
      </c>
      <c r="BP322" s="158"/>
      <c r="BQ322" s="158"/>
      <c r="BR322" s="158"/>
      <c r="BS322" s="158"/>
    </row>
    <row r="323" spans="50:71" ht="19.5" customHeight="1">
      <c r="AX323" s="662" t="s">
        <v>3516</v>
      </c>
      <c r="AY323" s="166"/>
      <c r="AZ323" s="166"/>
      <c r="BA323" s="158"/>
      <c r="BB323" s="158"/>
      <c r="BC323" s="666" t="s">
        <v>3517</v>
      </c>
      <c r="BD323" s="667" t="s">
        <v>3518</v>
      </c>
      <c r="BE323" s="158"/>
      <c r="BF323" s="158"/>
      <c r="BG323" s="668" t="s">
        <v>3519</v>
      </c>
      <c r="BH323" s="667" t="s">
        <v>3520</v>
      </c>
      <c r="BI323" s="158"/>
      <c r="BJ323" s="158"/>
      <c r="BK323" s="158"/>
      <c r="BL323" s="667" t="s">
        <v>3521</v>
      </c>
      <c r="BM323" s="667" t="s">
        <v>3522</v>
      </c>
      <c r="BN323" s="158"/>
      <c r="BO323" s="158"/>
      <c r="BP323" s="158"/>
      <c r="BQ323" s="158"/>
      <c r="BR323" s="158"/>
      <c r="BS323" s="158"/>
    </row>
    <row r="324" spans="50:71" ht="19.5" customHeight="1">
      <c r="AX324" s="662" t="s">
        <v>3523</v>
      </c>
      <c r="AY324" s="166"/>
      <c r="AZ324" s="166"/>
      <c r="BA324" s="158"/>
      <c r="BB324" s="158"/>
      <c r="BC324" s="668" t="s">
        <v>3524</v>
      </c>
      <c r="BD324" s="667" t="s">
        <v>3525</v>
      </c>
      <c r="BE324" s="158"/>
      <c r="BF324" s="158"/>
      <c r="BG324" s="158"/>
      <c r="BH324" s="669" t="s">
        <v>3526</v>
      </c>
      <c r="BI324" s="158"/>
      <c r="BJ324" s="158"/>
      <c r="BK324" s="158"/>
      <c r="BL324" s="667" t="s">
        <v>3527</v>
      </c>
      <c r="BM324" s="667" t="s">
        <v>3528</v>
      </c>
      <c r="BN324" s="158"/>
      <c r="BO324" s="158"/>
      <c r="BP324" s="158"/>
      <c r="BQ324" s="158"/>
      <c r="BR324" s="158"/>
      <c r="BS324" s="158"/>
    </row>
    <row r="325" spans="50:71" ht="19.5" customHeight="1">
      <c r="AX325" s="662" t="s">
        <v>3529</v>
      </c>
      <c r="AY325" s="166"/>
      <c r="AZ325" s="166"/>
      <c r="BA325" s="158"/>
      <c r="BB325" s="158"/>
      <c r="BC325" s="158"/>
      <c r="BD325" s="667" t="s">
        <v>3530</v>
      </c>
      <c r="BE325" s="158"/>
      <c r="BF325" s="158"/>
      <c r="BG325" s="158"/>
      <c r="BH325" s="158"/>
      <c r="BI325" s="158"/>
      <c r="BJ325" s="158"/>
      <c r="BK325" s="158"/>
      <c r="BL325" s="669" t="s">
        <v>3531</v>
      </c>
      <c r="BM325" s="669" t="s">
        <v>3532</v>
      </c>
      <c r="BN325" s="158"/>
      <c r="BO325" s="158"/>
      <c r="BP325" s="158"/>
      <c r="BQ325" s="158"/>
      <c r="BR325" s="158"/>
      <c r="BS325" s="158"/>
    </row>
    <row r="326" spans="50:71" ht="19.5" customHeight="1">
      <c r="AX326" s="662" t="s">
        <v>3533</v>
      </c>
      <c r="AY326" s="166"/>
      <c r="AZ326" s="166"/>
      <c r="BA326" s="158"/>
      <c r="BB326" s="158"/>
      <c r="BC326" s="158"/>
      <c r="BD326" s="667" t="s">
        <v>3534</v>
      </c>
      <c r="BE326" s="158"/>
      <c r="BF326" s="158"/>
      <c r="BG326" s="158"/>
      <c r="BH326" s="158"/>
      <c r="BI326" s="158"/>
      <c r="BJ326" s="158"/>
      <c r="BK326" s="158"/>
      <c r="BL326" s="158"/>
      <c r="BM326" s="158"/>
      <c r="BN326" s="158"/>
      <c r="BO326" s="158"/>
      <c r="BP326" s="158"/>
      <c r="BQ326" s="158"/>
      <c r="BR326" s="158"/>
      <c r="BS326" s="158"/>
    </row>
    <row r="327" spans="50:71" ht="19.5" customHeight="1">
      <c r="AX327" s="662" t="s">
        <v>3535</v>
      </c>
      <c r="AY327" s="166"/>
      <c r="AZ327" s="166"/>
      <c r="BA327" s="158"/>
      <c r="BB327" s="158"/>
      <c r="BC327" s="158"/>
      <c r="BD327" s="667" t="s">
        <v>3536</v>
      </c>
      <c r="BE327" s="158"/>
      <c r="BF327" s="158"/>
      <c r="BG327" s="158"/>
      <c r="BH327" s="158"/>
      <c r="BI327" s="158"/>
      <c r="BJ327" s="158"/>
      <c r="BK327" s="158"/>
      <c r="BL327" s="158"/>
      <c r="BM327" s="158"/>
      <c r="BN327" s="158"/>
      <c r="BO327" s="158"/>
      <c r="BP327" s="158"/>
      <c r="BQ327" s="158"/>
      <c r="BR327" s="158"/>
      <c r="BS327" s="158"/>
    </row>
    <row r="328" spans="50:71" ht="19.5" customHeight="1">
      <c r="AX328" s="662" t="s">
        <v>3537</v>
      </c>
      <c r="AY328" s="166"/>
      <c r="AZ328" s="166"/>
      <c r="BA328" s="158"/>
      <c r="BB328" s="158"/>
      <c r="BC328" s="158"/>
      <c r="BD328" s="669" t="s">
        <v>3538</v>
      </c>
      <c r="BE328" s="158"/>
      <c r="BF328" s="158"/>
      <c r="BG328" s="158"/>
      <c r="BH328" s="158"/>
      <c r="BI328" s="158"/>
      <c r="BJ328" s="158"/>
      <c r="BK328" s="158"/>
      <c r="BL328" s="158"/>
      <c r="BM328" s="158"/>
      <c r="BN328" s="158"/>
      <c r="BO328" s="158"/>
      <c r="BP328" s="158"/>
      <c r="BQ328" s="158"/>
      <c r="BR328" s="158"/>
      <c r="BS328" s="158"/>
    </row>
    <row r="329" spans="50:71" ht="19.5" customHeight="1">
      <c r="AX329" s="662" t="s">
        <v>3539</v>
      </c>
      <c r="AY329" s="166"/>
      <c r="AZ329" s="166"/>
      <c r="BA329" s="158"/>
      <c r="BB329" s="158"/>
      <c r="BC329" s="158"/>
      <c r="BD329" s="158"/>
      <c r="BE329" s="158"/>
      <c r="BF329" s="158"/>
      <c r="BG329" s="158"/>
      <c r="BH329" s="158"/>
      <c r="BI329" s="158"/>
      <c r="BJ329" s="158"/>
      <c r="BK329" s="158"/>
      <c r="BL329" s="158"/>
      <c r="BM329" s="158"/>
      <c r="BN329" s="158"/>
      <c r="BO329" s="158"/>
      <c r="BP329" s="158"/>
      <c r="BQ329" s="158"/>
      <c r="BR329" s="158"/>
      <c r="BS329" s="158"/>
    </row>
    <row r="330" spans="50:71" ht="19.5" customHeight="1">
      <c r="AX330" s="662" t="s">
        <v>3540</v>
      </c>
      <c r="AY330" s="166"/>
      <c r="AZ330" s="166"/>
      <c r="BA330" s="158"/>
      <c r="BB330" s="158"/>
      <c r="BC330" s="158"/>
      <c r="BD330" s="158"/>
      <c r="BE330" s="158"/>
      <c r="BF330" s="158"/>
      <c r="BG330" s="158"/>
      <c r="BH330" s="158"/>
      <c r="BI330" s="158"/>
      <c r="BJ330" s="158"/>
      <c r="BK330" s="158"/>
      <c r="BL330" s="158"/>
      <c r="BM330" s="158"/>
      <c r="BN330" s="158"/>
      <c r="BO330" s="158"/>
      <c r="BP330" s="158"/>
      <c r="BQ330" s="158"/>
      <c r="BR330" s="158"/>
      <c r="BS330" s="158"/>
    </row>
    <row r="331" spans="50:71" ht="19.5" customHeight="1">
      <c r="AX331" s="662" t="s">
        <v>3541</v>
      </c>
      <c r="AY331" s="166"/>
      <c r="AZ331" s="166"/>
      <c r="BA331" s="158"/>
      <c r="BB331" s="158"/>
      <c r="BC331" s="158"/>
      <c r="BD331" s="158"/>
      <c r="BE331" s="158"/>
      <c r="BF331" s="158"/>
      <c r="BG331" s="158"/>
      <c r="BH331" s="158"/>
      <c r="BI331" s="158"/>
      <c r="BJ331" s="158"/>
      <c r="BK331" s="158"/>
      <c r="BL331" s="158"/>
      <c r="BM331" s="158"/>
      <c r="BN331" s="158"/>
      <c r="BO331" s="158"/>
      <c r="BP331" s="158"/>
      <c r="BQ331" s="158"/>
      <c r="BR331" s="158"/>
      <c r="BS331" s="158"/>
    </row>
    <row r="332" spans="50:71" ht="19.5" customHeight="1">
      <c r="AX332" s="662" t="s">
        <v>3542</v>
      </c>
      <c r="AY332" s="166"/>
      <c r="AZ332" s="166"/>
      <c r="BA332" s="158"/>
      <c r="BB332" s="158"/>
      <c r="BC332" s="158"/>
      <c r="BD332" s="158"/>
      <c r="BE332" s="158"/>
      <c r="BF332" s="158"/>
      <c r="BG332" s="158"/>
      <c r="BH332" s="158"/>
      <c r="BI332" s="158"/>
      <c r="BJ332" s="158"/>
      <c r="BK332" s="158"/>
      <c r="BL332" s="158"/>
      <c r="BM332" s="158"/>
      <c r="BN332" s="158"/>
      <c r="BO332" s="158"/>
      <c r="BP332" s="158"/>
      <c r="BQ332" s="158"/>
      <c r="BR332" s="158"/>
      <c r="BS332" s="158"/>
    </row>
    <row r="333" spans="50:71" ht="19.5" customHeight="1">
      <c r="AX333" s="662" t="s">
        <v>3543</v>
      </c>
      <c r="AY333" s="166"/>
      <c r="AZ333" s="166"/>
      <c r="BA333" s="158"/>
      <c r="BB333" s="158"/>
      <c r="BC333" s="158"/>
      <c r="BD333" s="158"/>
      <c r="BE333" s="158"/>
      <c r="BF333" s="158"/>
      <c r="BG333" s="158"/>
      <c r="BH333" s="158"/>
      <c r="BI333" s="158"/>
      <c r="BJ333" s="158"/>
      <c r="BK333" s="158"/>
      <c r="BL333" s="158"/>
      <c r="BM333" s="158"/>
      <c r="BN333" s="158"/>
      <c r="BO333" s="158"/>
      <c r="BP333" s="158"/>
      <c r="BQ333" s="158"/>
      <c r="BR333" s="158"/>
      <c r="BS333" s="158"/>
    </row>
    <row r="334" spans="50:71" ht="19.5" customHeight="1">
      <c r="AX334" s="662" t="s">
        <v>3544</v>
      </c>
      <c r="AY334" s="166"/>
      <c r="AZ334" s="166"/>
      <c r="BA334" s="158"/>
      <c r="BB334" s="158"/>
      <c r="BC334" s="158"/>
      <c r="BD334" s="158"/>
      <c r="BE334" s="158"/>
      <c r="BF334" s="158"/>
      <c r="BG334" s="158"/>
      <c r="BH334" s="158"/>
      <c r="BI334" s="158"/>
      <c r="BJ334" s="158"/>
      <c r="BK334" s="158"/>
      <c r="BL334" s="158"/>
      <c r="BM334" s="158"/>
      <c r="BN334" s="158"/>
      <c r="BO334" s="158"/>
      <c r="BP334" s="158"/>
      <c r="BQ334" s="158"/>
      <c r="BR334" s="158"/>
      <c r="BS334" s="158"/>
    </row>
    <row r="335" spans="50:71" ht="19.5" customHeight="1">
      <c r="AX335" s="662" t="s">
        <v>3545</v>
      </c>
      <c r="AY335" s="166"/>
      <c r="AZ335" s="166"/>
      <c r="BA335" s="158"/>
      <c r="BB335" s="158"/>
      <c r="BC335" s="158"/>
      <c r="BD335" s="158"/>
      <c r="BE335" s="158"/>
      <c r="BF335" s="158"/>
      <c r="BG335" s="158"/>
      <c r="BH335" s="158"/>
      <c r="BI335" s="158"/>
      <c r="BJ335" s="158"/>
      <c r="BK335" s="158"/>
      <c r="BL335" s="158"/>
      <c r="BM335" s="158"/>
      <c r="BN335" s="158"/>
      <c r="BO335" s="158"/>
      <c r="BP335" s="158"/>
      <c r="BQ335" s="158"/>
      <c r="BR335" s="158"/>
      <c r="BS335" s="158"/>
    </row>
    <row r="336" spans="50:71" ht="19.5" customHeight="1">
      <c r="AX336" s="665" t="s">
        <v>3546</v>
      </c>
      <c r="AY336" s="166"/>
      <c r="AZ336" s="166"/>
      <c r="BA336" s="158"/>
      <c r="BB336" s="158"/>
      <c r="BC336" s="158"/>
      <c r="BD336" s="158"/>
      <c r="BE336" s="158"/>
      <c r="BF336" s="158"/>
      <c r="BG336" s="158"/>
      <c r="BH336" s="158"/>
      <c r="BI336" s="158"/>
      <c r="BJ336" s="158"/>
      <c r="BK336" s="158"/>
      <c r="BL336" s="158"/>
      <c r="BM336" s="158"/>
      <c r="BN336" s="158"/>
      <c r="BO336" s="158"/>
      <c r="BP336" s="158"/>
      <c r="BQ336" s="158"/>
      <c r="BR336" s="158"/>
      <c r="BS336" s="158"/>
    </row>
    <row r="338" spans="50:50" ht="19.5" customHeight="1">
      <c r="AX338" s="166" t="s">
        <v>3661</v>
      </c>
    </row>
    <row r="339" spans="50:50" ht="19.5" customHeight="1">
      <c r="AX339" s="969" t="s">
        <v>2113</v>
      </c>
    </row>
    <row r="340" spans="50:50" ht="19.5" customHeight="1">
      <c r="AX340" s="662" t="s">
        <v>3662</v>
      </c>
    </row>
    <row r="341" spans="50:50" ht="19.5" customHeight="1">
      <c r="AX341" s="662" t="s">
        <v>3663</v>
      </c>
    </row>
    <row r="342" spans="50:50" ht="19.5" customHeight="1">
      <c r="AX342" s="662" t="s">
        <v>3664</v>
      </c>
    </row>
    <row r="343" spans="50:50" ht="19.5" customHeight="1">
      <c r="AX343" s="662" t="s">
        <v>3665</v>
      </c>
    </row>
    <row r="344" spans="50:50" ht="19.5" customHeight="1">
      <c r="AX344" s="662" t="s">
        <v>3666</v>
      </c>
    </row>
    <row r="345" spans="50:50" ht="19.5" customHeight="1">
      <c r="AX345" s="662" t="s">
        <v>3667</v>
      </c>
    </row>
    <row r="346" spans="50:50" ht="19.5" customHeight="1">
      <c r="AX346" s="662" t="s">
        <v>3668</v>
      </c>
    </row>
    <row r="347" spans="50:50" ht="19.5" customHeight="1">
      <c r="AX347" s="662" t="s">
        <v>3669</v>
      </c>
    </row>
    <row r="348" spans="50:50" ht="19.5" customHeight="1">
      <c r="AX348" s="662" t="s">
        <v>3670</v>
      </c>
    </row>
    <row r="349" spans="50:50" ht="19.5" customHeight="1">
      <c r="AX349" s="662" t="s">
        <v>3671</v>
      </c>
    </row>
    <row r="350" spans="50:50" ht="19.5" customHeight="1">
      <c r="AX350" s="662" t="s">
        <v>3672</v>
      </c>
    </row>
    <row r="351" spans="50:50" ht="19.5" customHeight="1">
      <c r="AX351" s="662" t="s">
        <v>3673</v>
      </c>
    </row>
    <row r="352" spans="50:50" ht="19.5" customHeight="1">
      <c r="AX352" s="662" t="s">
        <v>3674</v>
      </c>
    </row>
    <row r="353" spans="50:59" ht="19.5" customHeight="1">
      <c r="AX353" s="662" t="s">
        <v>3675</v>
      </c>
    </row>
    <row r="354" spans="50:59" ht="19.5" customHeight="1">
      <c r="AX354" s="662" t="s">
        <v>3676</v>
      </c>
    </row>
    <row r="355" spans="50:59" ht="19.5" customHeight="1">
      <c r="AX355" s="662" t="s">
        <v>3677</v>
      </c>
    </row>
    <row r="356" spans="50:59" ht="19.5" customHeight="1">
      <c r="AX356" s="662" t="s">
        <v>3678</v>
      </c>
    </row>
    <row r="357" spans="50:59" ht="19.5" customHeight="1">
      <c r="AX357" s="662" t="s">
        <v>3679</v>
      </c>
    </row>
    <row r="358" spans="50:59" ht="19.5" customHeight="1">
      <c r="AX358" s="662" t="s">
        <v>3680</v>
      </c>
    </row>
    <row r="359" spans="50:59" ht="19.5" customHeight="1">
      <c r="AX359" s="662" t="s">
        <v>3681</v>
      </c>
    </row>
    <row r="360" spans="50:59" ht="19.5" customHeight="1">
      <c r="AX360" s="662" t="s">
        <v>3682</v>
      </c>
    </row>
    <row r="361" spans="50:59" ht="19.5" customHeight="1">
      <c r="AX361" s="665" t="s">
        <v>3683</v>
      </c>
    </row>
    <row r="362" spans="50:59" ht="19.5" customHeight="1">
      <c r="AX362" s="166" t="s">
        <v>3684</v>
      </c>
      <c r="AY362" s="166" t="s">
        <v>3685</v>
      </c>
      <c r="AZ362" s="166" t="s">
        <v>3686</v>
      </c>
      <c r="BA362" s="166" t="s">
        <v>3687</v>
      </c>
      <c r="BB362" s="166" t="s">
        <v>3688</v>
      </c>
      <c r="BC362" s="166" t="s">
        <v>3689</v>
      </c>
      <c r="BD362" s="166" t="s">
        <v>3690</v>
      </c>
      <c r="BE362" s="166" t="s">
        <v>3691</v>
      </c>
      <c r="BF362" s="970"/>
      <c r="BG362" s="971"/>
    </row>
    <row r="363" spans="50:59" ht="19.5" customHeight="1">
      <c r="AX363" s="166" t="s">
        <v>3692</v>
      </c>
      <c r="AY363" s="166"/>
      <c r="AZ363" s="166"/>
      <c r="BA363" s="158"/>
      <c r="BB363" s="158"/>
      <c r="BC363" s="158"/>
      <c r="BD363" s="158"/>
      <c r="BE363" s="158"/>
      <c r="BF363" s="970"/>
      <c r="BG363" s="971"/>
    </row>
    <row r="364" spans="50:59" ht="19.5" customHeight="1">
      <c r="AX364" s="972" t="s">
        <v>2072</v>
      </c>
      <c r="AY364" s="972" t="s">
        <v>2283</v>
      </c>
      <c r="AZ364" s="972" t="s">
        <v>3693</v>
      </c>
      <c r="BA364" s="973" t="s">
        <v>3694</v>
      </c>
      <c r="BB364" s="974" t="s">
        <v>3695</v>
      </c>
      <c r="BC364" s="973" t="s">
        <v>3696</v>
      </c>
      <c r="BD364" s="974" t="s">
        <v>3697</v>
      </c>
      <c r="BE364" s="975" t="s">
        <v>3698</v>
      </c>
      <c r="BF364" s="976" t="s">
        <v>3699</v>
      </c>
      <c r="BG364" s="971"/>
    </row>
    <row r="365" spans="50:59" ht="19.5" customHeight="1">
      <c r="AX365" s="977" t="s">
        <v>3660</v>
      </c>
      <c r="AY365" s="969" t="s">
        <v>3660</v>
      </c>
      <c r="AZ365" s="969" t="s">
        <v>3660</v>
      </c>
      <c r="BA365" s="973" t="s">
        <v>3660</v>
      </c>
      <c r="BB365" s="978" t="s">
        <v>3660</v>
      </c>
      <c r="BC365" s="973" t="s">
        <v>3660</v>
      </c>
      <c r="BD365" s="973" t="s">
        <v>3660</v>
      </c>
      <c r="BE365" s="975" t="s">
        <v>3660</v>
      </c>
      <c r="BF365" s="979" t="s">
        <v>3700</v>
      </c>
      <c r="BG365" s="971"/>
    </row>
    <row r="366" spans="50:59" ht="19.5" customHeight="1">
      <c r="AX366" s="980" t="s">
        <v>3420</v>
      </c>
      <c r="AY366" s="981" t="s">
        <v>3701</v>
      </c>
      <c r="AZ366" s="981" t="s">
        <v>3702</v>
      </c>
      <c r="BA366" s="981" t="s">
        <v>3703</v>
      </c>
      <c r="BB366" s="982" t="s">
        <v>3704</v>
      </c>
      <c r="BC366" s="980" t="s">
        <v>3705</v>
      </c>
      <c r="BD366" s="981" t="s">
        <v>3706</v>
      </c>
      <c r="BE366" s="970"/>
      <c r="BF366" s="981" t="s">
        <v>3627</v>
      </c>
      <c r="BG366" s="970" t="s">
        <v>3707</v>
      </c>
    </row>
    <row r="367" spans="50:59" ht="19.5" customHeight="1">
      <c r="AX367" s="980" t="s">
        <v>3708</v>
      </c>
      <c r="AY367" s="981" t="s">
        <v>3709</v>
      </c>
      <c r="AZ367" s="981" t="s">
        <v>3710</v>
      </c>
      <c r="BA367" s="981" t="s">
        <v>3711</v>
      </c>
      <c r="BB367" s="982" t="s">
        <v>3712</v>
      </c>
      <c r="BC367" s="980" t="s">
        <v>3713</v>
      </c>
      <c r="BD367" s="983" t="s">
        <v>3714</v>
      </c>
      <c r="BE367" s="970"/>
      <c r="BF367" s="981" t="s">
        <v>3715</v>
      </c>
      <c r="BG367" s="970" t="s">
        <v>3716</v>
      </c>
    </row>
    <row r="368" spans="50:59" ht="19.5" customHeight="1">
      <c r="AX368" s="980" t="s">
        <v>3717</v>
      </c>
      <c r="AY368" s="981" t="s">
        <v>3718</v>
      </c>
      <c r="AZ368" s="981" t="s">
        <v>3719</v>
      </c>
      <c r="BA368" s="981" t="s">
        <v>3720</v>
      </c>
      <c r="BB368" s="984" t="s">
        <v>3721</v>
      </c>
      <c r="BC368" s="981" t="s">
        <v>3722</v>
      </c>
      <c r="BD368" s="970"/>
      <c r="BE368" s="970"/>
      <c r="BF368" s="981" t="s">
        <v>3628</v>
      </c>
      <c r="BG368" s="970" t="s">
        <v>3723</v>
      </c>
    </row>
    <row r="369" spans="50:59" ht="19.5" customHeight="1">
      <c r="AX369" s="980" t="s">
        <v>3724</v>
      </c>
      <c r="AY369" s="981" t="s">
        <v>3725</v>
      </c>
      <c r="AZ369" s="981" t="s">
        <v>3726</v>
      </c>
      <c r="BA369" s="985" t="s">
        <v>3727</v>
      </c>
      <c r="BB369" s="970"/>
      <c r="BC369" s="981" t="s">
        <v>3728</v>
      </c>
      <c r="BD369" s="970"/>
      <c r="BE369" s="970"/>
      <c r="BF369" s="981" t="s">
        <v>3633</v>
      </c>
      <c r="BG369" s="970" t="s">
        <v>3729</v>
      </c>
    </row>
    <row r="370" spans="50:59" ht="19.5" customHeight="1">
      <c r="AX370" s="980" t="s">
        <v>3730</v>
      </c>
      <c r="AY370" s="981" t="s">
        <v>3731</v>
      </c>
      <c r="AZ370" s="981" t="s">
        <v>3732</v>
      </c>
      <c r="BA370" s="970"/>
      <c r="BB370" s="970"/>
      <c r="BC370" s="981" t="s">
        <v>3733</v>
      </c>
      <c r="BD370" s="970"/>
      <c r="BE370" s="970"/>
      <c r="BF370" s="981" t="s">
        <v>3632</v>
      </c>
      <c r="BG370" s="970" t="s">
        <v>3734</v>
      </c>
    </row>
    <row r="371" spans="50:59" ht="19.5" customHeight="1">
      <c r="AX371" s="986" t="s">
        <v>3735</v>
      </c>
      <c r="AY371" s="981" t="s">
        <v>3736</v>
      </c>
      <c r="AZ371" s="985" t="s">
        <v>3737</v>
      </c>
      <c r="BA371" s="970"/>
      <c r="BB371" s="970"/>
      <c r="BC371" s="987" t="s">
        <v>3738</v>
      </c>
      <c r="BD371" s="970"/>
      <c r="BE371" s="970"/>
      <c r="BF371" s="985" t="s">
        <v>3626</v>
      </c>
      <c r="BG371" s="970" t="s">
        <v>3739</v>
      </c>
    </row>
    <row r="372" spans="50:59" ht="19.5" customHeight="1">
      <c r="AX372" s="970"/>
      <c r="AY372" s="981" t="s">
        <v>3740</v>
      </c>
      <c r="AZ372" s="970"/>
      <c r="BA372" s="970"/>
      <c r="BB372" s="970"/>
      <c r="BC372" s="987" t="s">
        <v>3741</v>
      </c>
      <c r="BD372" s="970"/>
      <c r="BE372" s="970"/>
      <c r="BF372" s="970"/>
      <c r="BG372" s="971"/>
    </row>
    <row r="373" spans="50:59" ht="19.5" customHeight="1">
      <c r="AX373" s="970"/>
      <c r="AY373" s="981" t="s">
        <v>3742</v>
      </c>
      <c r="AZ373" s="970"/>
      <c r="BA373" s="970"/>
      <c r="BB373" s="970"/>
      <c r="BC373" s="983" t="s">
        <v>3743</v>
      </c>
      <c r="BD373" s="970"/>
      <c r="BE373" s="970"/>
      <c r="BF373" s="970"/>
      <c r="BG373" s="971"/>
    </row>
    <row r="374" spans="50:59" ht="19.5" customHeight="1">
      <c r="AX374" s="970"/>
      <c r="AY374" s="981" t="s">
        <v>3744</v>
      </c>
      <c r="AZ374" s="970"/>
      <c r="BA374" s="970"/>
      <c r="BB374" s="970"/>
      <c r="BC374" s="988"/>
      <c r="BD374" s="970"/>
      <c r="BE374" s="970"/>
      <c r="BF374" s="970"/>
      <c r="BG374" s="971"/>
    </row>
    <row r="375" spans="50:59" ht="19.5" customHeight="1">
      <c r="AX375" s="970"/>
      <c r="AY375" s="981" t="s">
        <v>3745</v>
      </c>
      <c r="AZ375" s="970"/>
      <c r="BA375" s="970"/>
      <c r="BB375" s="970"/>
      <c r="BC375" s="970"/>
      <c r="BD375" s="970"/>
      <c r="BE375" s="970"/>
      <c r="BF375" s="970"/>
      <c r="BG375" s="971"/>
    </row>
    <row r="376" spans="50:59" ht="19.5" customHeight="1">
      <c r="AX376" s="970"/>
      <c r="AY376" s="987" t="s">
        <v>3746</v>
      </c>
      <c r="AZ376" s="970"/>
      <c r="BA376" s="970"/>
      <c r="BB376" s="970"/>
      <c r="BC376" s="970"/>
      <c r="BD376" s="970"/>
      <c r="BE376" s="970"/>
      <c r="BF376" s="970"/>
      <c r="BG376" s="971"/>
    </row>
    <row r="377" spans="50:59" ht="19.5" customHeight="1">
      <c r="AX377" s="970"/>
      <c r="AY377" s="987" t="s">
        <v>3747</v>
      </c>
      <c r="AZ377" s="970"/>
      <c r="BA377" s="970"/>
      <c r="BB377" s="970"/>
      <c r="BC377" s="970"/>
      <c r="BD377" s="970"/>
      <c r="BE377" s="970"/>
      <c r="BF377" s="970"/>
      <c r="BG377" s="971"/>
    </row>
    <row r="378" spans="50:59" ht="19.5" customHeight="1">
      <c r="AX378" s="970"/>
      <c r="AY378" s="981" t="s">
        <v>3748</v>
      </c>
      <c r="AZ378" s="970"/>
      <c r="BA378" s="970"/>
      <c r="BB378" s="970"/>
      <c r="BC378" s="970"/>
      <c r="BD378" s="970"/>
      <c r="BE378" s="970"/>
      <c r="BF378" s="970"/>
      <c r="BG378" s="971"/>
    </row>
    <row r="379" spans="50:59" ht="19.5" customHeight="1">
      <c r="AX379" s="970"/>
      <c r="AY379" s="981" t="s">
        <v>3749</v>
      </c>
      <c r="AZ379" s="970"/>
      <c r="BA379" s="970"/>
      <c r="BB379" s="970"/>
      <c r="BC379" s="970"/>
      <c r="BD379" s="970"/>
      <c r="BE379" s="970"/>
      <c r="BF379" s="970"/>
      <c r="BG379" s="971"/>
    </row>
    <row r="380" spans="50:59" ht="19.5" customHeight="1">
      <c r="AX380" s="970"/>
      <c r="AY380" s="981" t="s">
        <v>3750</v>
      </c>
      <c r="AZ380" s="970"/>
      <c r="BA380" s="970"/>
      <c r="BB380" s="970"/>
      <c r="BC380" s="970"/>
      <c r="BD380" s="970"/>
      <c r="BE380" s="970"/>
      <c r="BF380" s="970"/>
      <c r="BG380" s="971"/>
    </row>
    <row r="381" spans="50:59" ht="19.5" customHeight="1">
      <c r="AX381" s="970"/>
      <c r="AY381" s="981" t="s">
        <v>3751</v>
      </c>
      <c r="AZ381" s="970"/>
      <c r="BA381" s="970"/>
      <c r="BB381" s="970"/>
      <c r="BC381" s="970"/>
      <c r="BD381" s="970"/>
      <c r="BE381" s="970"/>
      <c r="BF381" s="970"/>
      <c r="BG381" s="971"/>
    </row>
    <row r="382" spans="50:59" ht="19.5" customHeight="1">
      <c r="AX382" s="970"/>
      <c r="AY382" s="981" t="s">
        <v>3752</v>
      </c>
      <c r="AZ382" s="970"/>
      <c r="BA382" s="970"/>
      <c r="BB382" s="970"/>
      <c r="BC382" s="970"/>
      <c r="BD382" s="970"/>
      <c r="BE382" s="970"/>
      <c r="BF382" s="970"/>
      <c r="BG382" s="971"/>
    </row>
    <row r="383" spans="50:59" ht="19.5" customHeight="1">
      <c r="AX383" s="970"/>
      <c r="AY383" s="981" t="s">
        <v>3753</v>
      </c>
      <c r="AZ383" s="970"/>
      <c r="BA383" s="970"/>
      <c r="BB383" s="970"/>
      <c r="BC383" s="970"/>
      <c r="BD383" s="970"/>
      <c r="BE383" s="970"/>
      <c r="BF383" s="970"/>
      <c r="BG383" s="971"/>
    </row>
    <row r="384" spans="50:59" ht="19.5" customHeight="1">
      <c r="AX384" s="970"/>
      <c r="AY384" s="981" t="s">
        <v>3754</v>
      </c>
      <c r="AZ384" s="970"/>
      <c r="BA384" s="970"/>
      <c r="BB384" s="970"/>
      <c r="BC384" s="970"/>
      <c r="BD384" s="970"/>
      <c r="BE384" s="970"/>
      <c r="BF384" s="970"/>
      <c r="BG384" s="971"/>
    </row>
    <row r="385" spans="50:68" ht="19.5" customHeight="1">
      <c r="AX385" s="970"/>
      <c r="AY385" s="981" t="s">
        <v>3755</v>
      </c>
      <c r="AZ385" s="970"/>
      <c r="BA385" s="970"/>
      <c r="BB385" s="970"/>
      <c r="BC385" s="970"/>
      <c r="BD385" s="970"/>
      <c r="BE385" s="970"/>
      <c r="BF385" s="970"/>
      <c r="BG385" s="971"/>
    </row>
    <row r="386" spans="50:68" ht="19.5" customHeight="1">
      <c r="AX386" s="970"/>
      <c r="AY386" s="981" t="s">
        <v>3756</v>
      </c>
      <c r="AZ386" s="970"/>
      <c r="BA386" s="970"/>
      <c r="BB386" s="970"/>
      <c r="BC386" s="970"/>
      <c r="BD386" s="970"/>
      <c r="BE386" s="970"/>
      <c r="BF386" s="970"/>
      <c r="BG386" s="971"/>
    </row>
    <row r="387" spans="50:68" ht="19.5" customHeight="1">
      <c r="AX387" s="970"/>
      <c r="AY387" s="981" t="s">
        <v>3757</v>
      </c>
      <c r="AZ387" s="970"/>
      <c r="BA387" s="970"/>
      <c r="BB387" s="970"/>
      <c r="BC387" s="970"/>
      <c r="BD387" s="970"/>
      <c r="BE387" s="970"/>
      <c r="BF387" s="970"/>
      <c r="BG387" s="971"/>
    </row>
    <row r="388" spans="50:68" ht="19.5" customHeight="1">
      <c r="AX388" s="970"/>
      <c r="AY388" s="981" t="s">
        <v>3758</v>
      </c>
      <c r="AZ388" s="970"/>
      <c r="BA388" s="970"/>
      <c r="BB388" s="970"/>
      <c r="BC388" s="970"/>
      <c r="BD388" s="970"/>
      <c r="BE388" s="970"/>
      <c r="BF388" s="970"/>
      <c r="BG388" s="971"/>
    </row>
    <row r="389" spans="50:68" ht="19.5" customHeight="1">
      <c r="AX389" s="970"/>
      <c r="AY389" s="981" t="s">
        <v>3759</v>
      </c>
      <c r="AZ389" s="970"/>
      <c r="BA389" s="970"/>
      <c r="BB389" s="970"/>
      <c r="BC389" s="970"/>
      <c r="BD389" s="970"/>
      <c r="BE389" s="970"/>
      <c r="BF389" s="970"/>
      <c r="BG389" s="971"/>
    </row>
    <row r="390" spans="50:68" ht="19.5" customHeight="1">
      <c r="AX390" s="970"/>
      <c r="AY390" s="985" t="s">
        <v>3760</v>
      </c>
      <c r="AZ390" s="970"/>
      <c r="BA390" s="970"/>
      <c r="BB390" s="970"/>
      <c r="BC390" s="970"/>
      <c r="BD390" s="970"/>
      <c r="BE390" s="970"/>
      <c r="BF390" s="970"/>
      <c r="BG390" s="971"/>
    </row>
    <row r="391" spans="50:68" ht="19.5" customHeight="1">
      <c r="AX391" s="166" t="s">
        <v>4841</v>
      </c>
      <c r="AY391" s="166" t="s">
        <v>4842</v>
      </c>
      <c r="AZ391" s="166" t="s">
        <v>4843</v>
      </c>
      <c r="BA391" s="166" t="s">
        <v>4844</v>
      </c>
      <c r="BB391" s="166" t="s">
        <v>4845</v>
      </c>
      <c r="BC391" s="166" t="s">
        <v>4846</v>
      </c>
      <c r="BD391" s="166" t="s">
        <v>4436</v>
      </c>
      <c r="BE391" s="166" t="s">
        <v>4847</v>
      </c>
      <c r="BF391" s="166" t="s">
        <v>4437</v>
      </c>
      <c r="BG391" s="166" t="s">
        <v>4848</v>
      </c>
      <c r="BH391" s="166" t="s">
        <v>4849</v>
      </c>
      <c r="BI391" s="166" t="s">
        <v>4850</v>
      </c>
      <c r="BJ391" s="166" t="s">
        <v>4851</v>
      </c>
      <c r="BK391" s="166" t="s">
        <v>4852</v>
      </c>
      <c r="BL391" s="166" t="s">
        <v>4853</v>
      </c>
      <c r="BM391" s="166" t="s">
        <v>4854</v>
      </c>
      <c r="BN391" s="166" t="s">
        <v>4855</v>
      </c>
      <c r="BO391" s="166" t="s">
        <v>4856</v>
      </c>
      <c r="BP391" s="166" t="s">
        <v>4857</v>
      </c>
    </row>
    <row r="392" spans="50:68" ht="19.5" customHeight="1">
      <c r="AX392" s="166" t="s">
        <v>4438</v>
      </c>
      <c r="AY392" s="166"/>
      <c r="AZ392" s="166"/>
      <c r="BA392" s="158"/>
      <c r="BB392" s="158"/>
      <c r="BC392" s="158"/>
      <c r="BD392" s="158"/>
      <c r="BE392" s="158"/>
      <c r="BF392" s="158"/>
      <c r="BG392" s="158"/>
      <c r="BH392" s="158"/>
      <c r="BI392" s="158"/>
      <c r="BJ392" s="158"/>
      <c r="BK392" s="158"/>
      <c r="BL392" s="158"/>
      <c r="BM392" s="158"/>
      <c r="BN392" s="158"/>
      <c r="BO392" s="158"/>
      <c r="BP392" s="158"/>
    </row>
    <row r="393" spans="50:68" ht="19.5" customHeight="1">
      <c r="AX393" s="972" t="s">
        <v>4439</v>
      </c>
      <c r="AY393" s="972" t="s">
        <v>2283</v>
      </c>
      <c r="AZ393" s="972" t="s">
        <v>4440</v>
      </c>
      <c r="BA393" s="974" t="s">
        <v>4441</v>
      </c>
      <c r="BB393" s="974" t="s">
        <v>4442</v>
      </c>
      <c r="BC393" s="974" t="s">
        <v>4443</v>
      </c>
      <c r="BD393" s="974" t="s">
        <v>4444</v>
      </c>
      <c r="BE393" s="974" t="s">
        <v>4445</v>
      </c>
      <c r="BF393" s="974" t="s">
        <v>4446</v>
      </c>
      <c r="BG393" s="974" t="s">
        <v>4447</v>
      </c>
      <c r="BH393" s="974" t="s">
        <v>4448</v>
      </c>
      <c r="BI393" s="974" t="s">
        <v>4449</v>
      </c>
      <c r="BJ393" s="974" t="s">
        <v>4450</v>
      </c>
      <c r="BK393" s="974" t="s">
        <v>3413</v>
      </c>
      <c r="BL393" s="974" t="s">
        <v>4451</v>
      </c>
      <c r="BM393" s="974" t="s">
        <v>4452</v>
      </c>
      <c r="BN393" s="974" t="s">
        <v>4453</v>
      </c>
      <c r="BO393" s="974" t="s">
        <v>4454</v>
      </c>
      <c r="BP393" s="974" t="s">
        <v>1891</v>
      </c>
    </row>
    <row r="394" spans="50:68" ht="19.5" customHeight="1">
      <c r="AX394" s="969" t="s">
        <v>3660</v>
      </c>
      <c r="AY394" s="969" t="s">
        <v>3660</v>
      </c>
      <c r="AZ394" s="977" t="s">
        <v>3660</v>
      </c>
      <c r="BA394" s="969" t="s">
        <v>3660</v>
      </c>
      <c r="BB394" s="969" t="s">
        <v>3660</v>
      </c>
      <c r="BC394" s="977" t="s">
        <v>3660</v>
      </c>
      <c r="BD394" s="969" t="s">
        <v>3660</v>
      </c>
      <c r="BE394" s="969" t="s">
        <v>3660</v>
      </c>
      <c r="BF394" s="977" t="s">
        <v>3660</v>
      </c>
      <c r="BG394" s="969" t="s">
        <v>3660</v>
      </c>
      <c r="BH394" s="969" t="s">
        <v>3660</v>
      </c>
      <c r="BI394" s="969" t="s">
        <v>3660</v>
      </c>
      <c r="BJ394" s="977" t="s">
        <v>3660</v>
      </c>
      <c r="BK394" s="977" t="s">
        <v>3660</v>
      </c>
      <c r="BL394" s="969" t="s">
        <v>3660</v>
      </c>
      <c r="BM394" s="969" t="s">
        <v>3660</v>
      </c>
      <c r="BN394" s="977" t="s">
        <v>3660</v>
      </c>
      <c r="BO394" s="969" t="s">
        <v>3660</v>
      </c>
      <c r="BP394" s="972" t="s">
        <v>3660</v>
      </c>
    </row>
    <row r="395" spans="50:68" ht="19.5" customHeight="1">
      <c r="AX395" s="662" t="s">
        <v>3420</v>
      </c>
      <c r="AY395" s="662" t="s">
        <v>4455</v>
      </c>
      <c r="AZ395" s="664" t="s">
        <v>4456</v>
      </c>
      <c r="BA395" s="667" t="s">
        <v>4457</v>
      </c>
      <c r="BB395" s="667" t="s">
        <v>4458</v>
      </c>
      <c r="BC395" s="666" t="s">
        <v>4459</v>
      </c>
      <c r="BD395" s="667" t="s">
        <v>4460</v>
      </c>
      <c r="BE395" s="667" t="s">
        <v>4461</v>
      </c>
      <c r="BF395" s="666" t="s">
        <v>4462</v>
      </c>
      <c r="BG395" s="667" t="s">
        <v>4463</v>
      </c>
      <c r="BH395" s="667" t="s">
        <v>4464</v>
      </c>
      <c r="BI395" s="667" t="s">
        <v>4465</v>
      </c>
      <c r="BJ395" s="666" t="s">
        <v>4466</v>
      </c>
      <c r="BK395" s="666" t="s">
        <v>4467</v>
      </c>
      <c r="BL395" s="667" t="s">
        <v>4468</v>
      </c>
      <c r="BM395" s="667" t="s">
        <v>4469</v>
      </c>
      <c r="BN395" s="666" t="s">
        <v>4470</v>
      </c>
      <c r="BO395" s="667" t="s">
        <v>4471</v>
      </c>
      <c r="BP395" s="158"/>
    </row>
    <row r="396" spans="50:68" ht="19.5" customHeight="1">
      <c r="AX396" s="662" t="s">
        <v>4472</v>
      </c>
      <c r="AY396" s="662" t="s">
        <v>4473</v>
      </c>
      <c r="AZ396" s="787" t="s">
        <v>4474</v>
      </c>
      <c r="BA396" s="667" t="s">
        <v>4475</v>
      </c>
      <c r="BB396" s="667" t="s">
        <v>4476</v>
      </c>
      <c r="BC396" s="668" t="s">
        <v>4477</v>
      </c>
      <c r="BD396" s="667" t="s">
        <v>4478</v>
      </c>
      <c r="BE396" s="667" t="s">
        <v>4479</v>
      </c>
      <c r="BF396" s="666" t="s">
        <v>4480</v>
      </c>
      <c r="BG396" s="667" t="s">
        <v>4481</v>
      </c>
      <c r="BH396" s="667" t="s">
        <v>4482</v>
      </c>
      <c r="BI396" s="667" t="s">
        <v>4483</v>
      </c>
      <c r="BJ396" s="666" t="s">
        <v>4484</v>
      </c>
      <c r="BK396" s="666" t="s">
        <v>4485</v>
      </c>
      <c r="BL396" s="667" t="s">
        <v>4486</v>
      </c>
      <c r="BM396" s="667" t="s">
        <v>4487</v>
      </c>
      <c r="BN396" s="666" t="s">
        <v>4488</v>
      </c>
      <c r="BO396" s="667" t="s">
        <v>4489</v>
      </c>
      <c r="BP396" s="158"/>
    </row>
    <row r="397" spans="50:68" ht="19.5" customHeight="1">
      <c r="AX397" s="662" t="s">
        <v>4490</v>
      </c>
      <c r="AY397" s="665" t="s">
        <v>4491</v>
      </c>
      <c r="AZ397" s="166"/>
      <c r="BA397" s="667" t="s">
        <v>4492</v>
      </c>
      <c r="BB397" s="667" t="s">
        <v>4493</v>
      </c>
      <c r="BC397" s="158"/>
      <c r="BD397" s="667" t="s">
        <v>4494</v>
      </c>
      <c r="BE397" s="667" t="s">
        <v>4495</v>
      </c>
      <c r="BF397" s="668" t="s">
        <v>4496</v>
      </c>
      <c r="BG397" s="667" t="s">
        <v>4497</v>
      </c>
      <c r="BH397" s="667" t="s">
        <v>4498</v>
      </c>
      <c r="BI397" s="667" t="s">
        <v>4499</v>
      </c>
      <c r="BJ397" s="666" t="s">
        <v>4500</v>
      </c>
      <c r="BK397" s="666" t="s">
        <v>4501</v>
      </c>
      <c r="BL397" s="667" t="s">
        <v>4502</v>
      </c>
      <c r="BM397" s="667" t="s">
        <v>4503</v>
      </c>
      <c r="BN397" s="666" t="s">
        <v>4504</v>
      </c>
      <c r="BO397" s="667" t="s">
        <v>4505</v>
      </c>
      <c r="BP397" s="158"/>
    </row>
    <row r="398" spans="50:68" ht="19.5" customHeight="1">
      <c r="AX398" s="662" t="s">
        <v>4506</v>
      </c>
      <c r="AY398" s="166"/>
      <c r="AZ398" s="166"/>
      <c r="BA398" s="667" t="s">
        <v>4507</v>
      </c>
      <c r="BB398" s="667" t="s">
        <v>4508</v>
      </c>
      <c r="BC398" s="158"/>
      <c r="BD398" s="667" t="s">
        <v>4509</v>
      </c>
      <c r="BE398" s="667" t="s">
        <v>4510</v>
      </c>
      <c r="BF398" s="158"/>
      <c r="BG398" s="667" t="s">
        <v>4511</v>
      </c>
      <c r="BH398" s="667" t="s">
        <v>4512</v>
      </c>
      <c r="BI398" s="667" t="s">
        <v>4513</v>
      </c>
      <c r="BJ398" s="668" t="s">
        <v>4514</v>
      </c>
      <c r="BK398" s="666" t="s">
        <v>4515</v>
      </c>
      <c r="BL398" s="667" t="s">
        <v>4516</v>
      </c>
      <c r="BM398" s="667" t="s">
        <v>4517</v>
      </c>
      <c r="BN398" s="668" t="s">
        <v>4518</v>
      </c>
      <c r="BO398" s="667" t="s">
        <v>4519</v>
      </c>
      <c r="BP398" s="158"/>
    </row>
    <row r="399" spans="50:68" ht="19.5" customHeight="1">
      <c r="AX399" s="662" t="s">
        <v>4520</v>
      </c>
      <c r="AY399" s="166"/>
      <c r="AZ399" s="166"/>
      <c r="BA399" s="667" t="s">
        <v>4521</v>
      </c>
      <c r="BB399" s="669" t="s">
        <v>4522</v>
      </c>
      <c r="BC399" s="158"/>
      <c r="BD399" s="667" t="s">
        <v>4523</v>
      </c>
      <c r="BE399" s="667" t="s">
        <v>4524</v>
      </c>
      <c r="BF399" s="158"/>
      <c r="BG399" s="667" t="s">
        <v>4525</v>
      </c>
      <c r="BH399" s="667" t="s">
        <v>4526</v>
      </c>
      <c r="BI399" s="669" t="s">
        <v>4527</v>
      </c>
      <c r="BJ399" s="158"/>
      <c r="BK399" s="666" t="s">
        <v>4528</v>
      </c>
      <c r="BL399" s="667" t="s">
        <v>4529</v>
      </c>
      <c r="BM399" s="667" t="s">
        <v>4530</v>
      </c>
      <c r="BN399" s="158"/>
      <c r="BO399" s="667" t="s">
        <v>4531</v>
      </c>
      <c r="BP399" s="158"/>
    </row>
    <row r="400" spans="50:68" ht="19.5" customHeight="1">
      <c r="AX400" s="662" t="s">
        <v>4532</v>
      </c>
      <c r="AY400" s="166"/>
      <c r="AZ400" s="166"/>
      <c r="BA400" s="667" t="s">
        <v>4533</v>
      </c>
      <c r="BB400" s="158"/>
      <c r="BC400" s="158"/>
      <c r="BD400" s="667" t="s">
        <v>4534</v>
      </c>
      <c r="BE400" s="667" t="s">
        <v>4535</v>
      </c>
      <c r="BF400" s="158"/>
      <c r="BG400" s="667" t="s">
        <v>4536</v>
      </c>
      <c r="BH400" s="667" t="s">
        <v>4537</v>
      </c>
      <c r="BI400" s="158"/>
      <c r="BJ400" s="158"/>
      <c r="BK400" s="668" t="s">
        <v>4538</v>
      </c>
      <c r="BL400" s="667" t="s">
        <v>4539</v>
      </c>
      <c r="BM400" s="669" t="s">
        <v>4540</v>
      </c>
      <c r="BN400" s="158"/>
      <c r="BO400" s="669" t="s">
        <v>4541</v>
      </c>
      <c r="BP400" s="158"/>
    </row>
    <row r="401" spans="50:68" ht="19.5" customHeight="1">
      <c r="AX401" s="662" t="s">
        <v>4542</v>
      </c>
      <c r="AY401" s="166"/>
      <c r="AZ401" s="166"/>
      <c r="BA401" s="667" t="s">
        <v>4543</v>
      </c>
      <c r="BB401" s="158"/>
      <c r="BC401" s="158"/>
      <c r="BD401" s="667" t="s">
        <v>4544</v>
      </c>
      <c r="BE401" s="669" t="s">
        <v>4545</v>
      </c>
      <c r="BF401" s="158"/>
      <c r="BG401" s="667" t="s">
        <v>4546</v>
      </c>
      <c r="BH401" s="667" t="s">
        <v>4547</v>
      </c>
      <c r="BI401" s="158"/>
      <c r="BJ401" s="158"/>
      <c r="BK401" s="158"/>
      <c r="BL401" s="667" t="s">
        <v>4548</v>
      </c>
      <c r="BM401" s="158"/>
      <c r="BN401" s="158"/>
      <c r="BO401" s="158"/>
      <c r="BP401" s="158"/>
    </row>
    <row r="402" spans="50:68" ht="19.5" customHeight="1">
      <c r="AX402" s="662" t="s">
        <v>4549</v>
      </c>
      <c r="AY402" s="166"/>
      <c r="AZ402" s="166"/>
      <c r="BA402" s="667" t="s">
        <v>4550</v>
      </c>
      <c r="BB402" s="158"/>
      <c r="BC402" s="158"/>
      <c r="BD402" s="669" t="s">
        <v>4551</v>
      </c>
      <c r="BE402" s="158"/>
      <c r="BF402" s="158"/>
      <c r="BG402" s="667" t="s">
        <v>4552</v>
      </c>
      <c r="BH402" s="667" t="s">
        <v>4553</v>
      </c>
      <c r="BI402" s="158"/>
      <c r="BJ402" s="158"/>
      <c r="BK402" s="158"/>
      <c r="BL402" s="667" t="s">
        <v>4554</v>
      </c>
      <c r="BM402" s="158"/>
      <c r="BN402" s="158"/>
      <c r="BO402" s="158"/>
      <c r="BP402" s="158"/>
    </row>
    <row r="403" spans="50:68" ht="19.5" customHeight="1">
      <c r="AX403" s="662" t="s">
        <v>4555</v>
      </c>
      <c r="AY403" s="166"/>
      <c r="AZ403" s="166"/>
      <c r="BA403" s="667" t="s">
        <v>4556</v>
      </c>
      <c r="BB403" s="158"/>
      <c r="BC403" s="158"/>
      <c r="BD403" s="158"/>
      <c r="BE403" s="158"/>
      <c r="BF403" s="158"/>
      <c r="BG403" s="667" t="s">
        <v>4557</v>
      </c>
      <c r="BH403" s="667" t="s">
        <v>4558</v>
      </c>
      <c r="BI403" s="158"/>
      <c r="BJ403" s="158"/>
      <c r="BK403" s="158"/>
      <c r="BL403" s="669" t="s">
        <v>4559</v>
      </c>
      <c r="BM403" s="158"/>
      <c r="BN403" s="158"/>
      <c r="BO403" s="158"/>
      <c r="BP403" s="158"/>
    </row>
    <row r="404" spans="50:68" ht="19.5" customHeight="1">
      <c r="AX404" s="662" t="s">
        <v>4560</v>
      </c>
      <c r="AY404" s="166"/>
      <c r="AZ404" s="166"/>
      <c r="BA404" s="667" t="s">
        <v>4561</v>
      </c>
      <c r="BB404" s="158"/>
      <c r="BC404" s="158"/>
      <c r="BD404" s="158"/>
      <c r="BE404" s="158"/>
      <c r="BF404" s="158"/>
      <c r="BG404" s="667" t="s">
        <v>4562</v>
      </c>
      <c r="BH404" s="669" t="s">
        <v>4563</v>
      </c>
      <c r="BI404" s="158"/>
      <c r="BJ404" s="158"/>
      <c r="BK404" s="158"/>
      <c r="BL404" s="158"/>
      <c r="BM404" s="158"/>
      <c r="BN404" s="158"/>
      <c r="BO404" s="158"/>
      <c r="BP404" s="158"/>
    </row>
    <row r="405" spans="50:68" ht="19.5" customHeight="1">
      <c r="AX405" s="662" t="s">
        <v>4564</v>
      </c>
      <c r="AY405" s="166"/>
      <c r="AZ405" s="166"/>
      <c r="BA405" s="667" t="s">
        <v>4565</v>
      </c>
      <c r="BB405" s="158"/>
      <c r="BC405" s="158"/>
      <c r="BD405" s="158"/>
      <c r="BE405" s="158"/>
      <c r="BF405" s="158"/>
      <c r="BG405" s="669" t="s">
        <v>4566</v>
      </c>
      <c r="BH405" s="158"/>
      <c r="BI405" s="158"/>
      <c r="BJ405" s="158"/>
      <c r="BK405" s="158"/>
      <c r="BL405" s="158"/>
      <c r="BM405" s="158"/>
      <c r="BN405" s="158"/>
      <c r="BO405" s="158"/>
      <c r="BP405" s="158"/>
    </row>
    <row r="406" spans="50:68" ht="19.5" customHeight="1">
      <c r="AX406" s="662" t="s">
        <v>4567</v>
      </c>
      <c r="AY406" s="166"/>
      <c r="AZ406" s="166"/>
      <c r="BA406" s="667" t="s">
        <v>4568</v>
      </c>
      <c r="BB406" s="158"/>
      <c r="BC406" s="158"/>
      <c r="BD406" s="158"/>
      <c r="BE406" s="158"/>
      <c r="BF406" s="158"/>
      <c r="BG406" s="158"/>
      <c r="BH406" s="158"/>
      <c r="BI406" s="158"/>
      <c r="BJ406" s="158"/>
      <c r="BK406" s="158"/>
      <c r="BL406" s="158"/>
      <c r="BM406" s="158"/>
      <c r="BN406" s="158"/>
      <c r="BO406" s="158"/>
      <c r="BP406" s="158"/>
    </row>
    <row r="407" spans="50:68" ht="19.5" customHeight="1">
      <c r="AX407" s="662" t="s">
        <v>4569</v>
      </c>
      <c r="AY407" s="166"/>
      <c r="AZ407" s="166"/>
      <c r="BA407" s="667" t="s">
        <v>4570</v>
      </c>
      <c r="BB407" s="158"/>
      <c r="BC407" s="158"/>
      <c r="BD407" s="158"/>
      <c r="BE407" s="158"/>
      <c r="BF407" s="158"/>
      <c r="BG407" s="158"/>
      <c r="BH407" s="158"/>
      <c r="BI407" s="158"/>
      <c r="BJ407" s="158"/>
      <c r="BK407" s="158"/>
      <c r="BL407" s="158"/>
      <c r="BM407" s="158"/>
      <c r="BN407" s="158"/>
      <c r="BO407" s="158"/>
      <c r="BP407" s="158"/>
    </row>
    <row r="408" spans="50:68" ht="19.5" customHeight="1">
      <c r="AX408" s="662" t="s">
        <v>4571</v>
      </c>
      <c r="AY408" s="166"/>
      <c r="AZ408" s="166"/>
      <c r="BA408" s="669" t="s">
        <v>4572</v>
      </c>
      <c r="BB408" s="158"/>
      <c r="BC408" s="158"/>
      <c r="BD408" s="158"/>
      <c r="BE408" s="158"/>
      <c r="BF408" s="158"/>
      <c r="BG408" s="158"/>
      <c r="BH408" s="158"/>
      <c r="BI408" s="158"/>
      <c r="BJ408" s="158"/>
      <c r="BK408" s="158"/>
      <c r="BL408" s="158"/>
      <c r="BM408" s="158"/>
      <c r="BN408" s="158"/>
      <c r="BO408" s="158"/>
      <c r="BP408" s="158"/>
    </row>
    <row r="409" spans="50:68" ht="19.5" customHeight="1">
      <c r="AX409" s="662" t="s">
        <v>4573</v>
      </c>
      <c r="AY409" s="166"/>
      <c r="AZ409" s="166"/>
      <c r="BA409" s="158"/>
      <c r="BB409" s="158"/>
      <c r="BC409" s="158"/>
      <c r="BD409" s="158"/>
      <c r="BE409" s="158"/>
      <c r="BF409" s="158"/>
      <c r="BG409" s="158"/>
      <c r="BH409" s="158"/>
      <c r="BI409" s="158"/>
      <c r="BJ409" s="158"/>
      <c r="BK409" s="158"/>
      <c r="BL409" s="158"/>
      <c r="BM409" s="158"/>
      <c r="BN409" s="158"/>
      <c r="BO409" s="158"/>
      <c r="BP409" s="158"/>
    </row>
    <row r="410" spans="50:68" ht="19.5" customHeight="1">
      <c r="AX410" s="662" t="s">
        <v>4574</v>
      </c>
      <c r="AY410" s="166"/>
      <c r="AZ410" s="166"/>
      <c r="BA410" s="158"/>
      <c r="BB410" s="158"/>
      <c r="BC410" s="158"/>
      <c r="BD410" s="158"/>
      <c r="BE410" s="158"/>
      <c r="BF410" s="158"/>
      <c r="BG410" s="158"/>
      <c r="BH410" s="158"/>
      <c r="BI410" s="158"/>
      <c r="BJ410" s="158"/>
      <c r="BK410" s="158"/>
      <c r="BL410" s="158"/>
      <c r="BM410" s="158"/>
      <c r="BN410" s="158"/>
      <c r="BO410" s="158"/>
      <c r="BP410" s="158"/>
    </row>
    <row r="411" spans="50:68" ht="19.5" customHeight="1">
      <c r="AX411" s="665" t="s">
        <v>4575</v>
      </c>
      <c r="AY411" s="166"/>
      <c r="AZ411" s="166"/>
      <c r="BA411" s="158"/>
      <c r="BB411" s="158"/>
      <c r="BC411" s="158"/>
      <c r="BD411" s="158"/>
      <c r="BE411" s="158"/>
      <c r="BF411" s="158"/>
      <c r="BG411" s="158"/>
      <c r="BH411" s="158"/>
      <c r="BI411" s="158"/>
      <c r="BJ411" s="158"/>
      <c r="BK411" s="158"/>
      <c r="BL411" s="158"/>
      <c r="BM411" s="158"/>
      <c r="BN411" s="158"/>
      <c r="BO411" s="158"/>
      <c r="BP411" s="158"/>
    </row>
    <row r="412" spans="50:68" ht="19.5" customHeight="1">
      <c r="AX412" s="166"/>
      <c r="AY412" s="166"/>
      <c r="AZ412" s="166"/>
      <c r="BA412" s="158"/>
      <c r="BB412" s="158"/>
      <c r="BC412" s="158"/>
      <c r="BD412" s="158"/>
      <c r="BE412" s="158"/>
      <c r="BF412" s="158"/>
      <c r="BG412" s="158"/>
      <c r="BH412" s="158"/>
      <c r="BI412" s="158"/>
      <c r="BJ412" s="158"/>
      <c r="BK412" s="158"/>
      <c r="BL412" s="158"/>
      <c r="BM412" s="158"/>
      <c r="BN412" s="158"/>
      <c r="BO412" s="158"/>
      <c r="BP412" s="158"/>
    </row>
    <row r="413" spans="50:68" ht="19.5" customHeight="1">
      <c r="AX413" s="166" t="s">
        <v>4576</v>
      </c>
      <c r="AY413" s="166"/>
      <c r="AZ413" s="166"/>
      <c r="BA413" s="158"/>
      <c r="BB413" s="158"/>
      <c r="BC413" s="158"/>
      <c r="BD413" s="158"/>
      <c r="BE413" s="158"/>
      <c r="BF413" s="158"/>
      <c r="BG413" s="158"/>
      <c r="BH413" s="158"/>
      <c r="BI413" s="158"/>
      <c r="BJ413" s="158"/>
      <c r="BK413" s="158"/>
      <c r="BL413" s="158"/>
      <c r="BM413" s="158"/>
      <c r="BN413" s="158"/>
      <c r="BO413" s="158"/>
      <c r="BP413" s="158"/>
    </row>
    <row r="414" spans="50:68" ht="19.5" customHeight="1">
      <c r="AX414" s="977" t="s">
        <v>4577</v>
      </c>
      <c r="AY414" s="1282" t="s">
        <v>4578</v>
      </c>
      <c r="AZ414" s="1282" t="s">
        <v>4579</v>
      </c>
      <c r="BA414" s="1283" t="s">
        <v>4580</v>
      </c>
      <c r="BB414" s="1283" t="s">
        <v>4581</v>
      </c>
      <c r="BC414" s="978" t="s">
        <v>4582</v>
      </c>
      <c r="BD414" s="158"/>
      <c r="BE414" s="158"/>
      <c r="BF414" s="158"/>
      <c r="BG414" s="158"/>
      <c r="BH414" s="158"/>
      <c r="BI414" s="158"/>
      <c r="BJ414" s="158"/>
      <c r="BK414" s="158"/>
      <c r="BL414" s="158"/>
      <c r="BM414" s="158"/>
      <c r="BN414" s="158"/>
      <c r="BO414" s="158"/>
      <c r="BP414" s="158"/>
    </row>
    <row r="415" spans="50:68" ht="19.5" customHeight="1">
      <c r="AX415" s="664" t="s">
        <v>4583</v>
      </c>
      <c r="AY415" s="151" t="s">
        <v>2283</v>
      </c>
      <c r="AZ415" s="151" t="s">
        <v>4099</v>
      </c>
      <c r="BA415" s="152" t="s">
        <v>4584</v>
      </c>
      <c r="BB415" s="152" t="s">
        <v>791</v>
      </c>
      <c r="BC415" s="1284" t="s">
        <v>4585</v>
      </c>
      <c r="BD415" s="158"/>
      <c r="BE415" s="158"/>
      <c r="BF415" s="158"/>
      <c r="BG415" s="158"/>
      <c r="BH415" s="158"/>
      <c r="BI415" s="158"/>
      <c r="BJ415" s="158"/>
      <c r="BK415" s="158"/>
      <c r="BL415" s="158"/>
      <c r="BM415" s="158"/>
      <c r="BN415" s="158"/>
      <c r="BO415" s="158"/>
      <c r="BP415" s="158"/>
    </row>
    <row r="416" spans="50:68" ht="19.5" customHeight="1">
      <c r="AX416" s="664" t="s">
        <v>4583</v>
      </c>
      <c r="AY416" s="151" t="s">
        <v>2283</v>
      </c>
      <c r="AZ416" s="151" t="s">
        <v>4100</v>
      </c>
      <c r="BA416" s="152" t="s">
        <v>4586</v>
      </c>
      <c r="BB416" s="152" t="s">
        <v>789</v>
      </c>
      <c r="BC416" s="1284" t="s">
        <v>4587</v>
      </c>
      <c r="BD416" s="158"/>
      <c r="BE416" s="158"/>
      <c r="BF416" s="158"/>
      <c r="BG416" s="158"/>
      <c r="BH416" s="158"/>
      <c r="BI416" s="158"/>
      <c r="BJ416" s="158"/>
      <c r="BK416" s="158"/>
      <c r="BL416" s="158"/>
      <c r="BM416" s="158"/>
      <c r="BN416" s="158"/>
      <c r="BO416" s="158"/>
      <c r="BP416" s="158"/>
    </row>
    <row r="417" spans="50:68" ht="19.5" customHeight="1">
      <c r="AX417" s="664" t="s">
        <v>4583</v>
      </c>
      <c r="AY417" s="151" t="s">
        <v>2283</v>
      </c>
      <c r="AZ417" s="151" t="s">
        <v>4101</v>
      </c>
      <c r="BA417" s="152" t="s">
        <v>4588</v>
      </c>
      <c r="BB417" s="152" t="s">
        <v>791</v>
      </c>
      <c r="BC417" s="1284" t="s">
        <v>4585</v>
      </c>
      <c r="BD417" s="158"/>
      <c r="BE417" s="158"/>
      <c r="BF417" s="158"/>
      <c r="BG417" s="158"/>
      <c r="BH417" s="158"/>
      <c r="BI417" s="158"/>
      <c r="BJ417" s="158"/>
      <c r="BK417" s="158"/>
      <c r="BL417" s="158"/>
      <c r="BM417" s="158"/>
      <c r="BN417" s="158"/>
      <c r="BO417" s="158"/>
      <c r="BP417" s="158"/>
    </row>
    <row r="418" spans="50:68" ht="19.5" customHeight="1">
      <c r="AX418" s="664" t="s">
        <v>4589</v>
      </c>
      <c r="AY418" s="151" t="s">
        <v>4440</v>
      </c>
      <c r="AZ418" s="151" t="s">
        <v>4103</v>
      </c>
      <c r="BA418" s="152" t="s">
        <v>4590</v>
      </c>
      <c r="BB418" s="152" t="s">
        <v>793</v>
      </c>
      <c r="BC418" s="1284" t="s">
        <v>4591</v>
      </c>
      <c r="BD418" s="158"/>
      <c r="BE418" s="158"/>
      <c r="BF418" s="158"/>
      <c r="BG418" s="158"/>
      <c r="BH418" s="158"/>
      <c r="BI418" s="158"/>
      <c r="BJ418" s="158"/>
      <c r="BK418" s="158"/>
      <c r="BL418" s="158"/>
      <c r="BM418" s="158"/>
      <c r="BN418" s="158"/>
      <c r="BO418" s="158"/>
      <c r="BP418" s="158"/>
    </row>
    <row r="419" spans="50:68" ht="19.5" customHeight="1">
      <c r="AX419" s="664" t="s">
        <v>4589</v>
      </c>
      <c r="AY419" s="151" t="s">
        <v>4440</v>
      </c>
      <c r="AZ419" s="151" t="s">
        <v>4104</v>
      </c>
      <c r="BA419" s="152" t="s">
        <v>4592</v>
      </c>
      <c r="BB419" s="152" t="s">
        <v>793</v>
      </c>
      <c r="BC419" s="1284" t="s">
        <v>4591</v>
      </c>
      <c r="BD419" s="158"/>
      <c r="BE419" s="158"/>
      <c r="BF419" s="158"/>
      <c r="BG419" s="158"/>
      <c r="BH419" s="158"/>
      <c r="BI419" s="158"/>
      <c r="BJ419" s="158"/>
      <c r="BK419" s="158"/>
      <c r="BL419" s="158"/>
      <c r="BM419" s="158"/>
      <c r="BN419" s="158"/>
      <c r="BO419" s="158"/>
      <c r="BP419" s="158"/>
    </row>
    <row r="420" spans="50:68" ht="19.5" customHeight="1">
      <c r="AX420" s="664" t="s">
        <v>4593</v>
      </c>
      <c r="AY420" s="151" t="s">
        <v>4441</v>
      </c>
      <c r="AZ420" s="151" t="s">
        <v>4105</v>
      </c>
      <c r="BA420" s="152" t="s">
        <v>4594</v>
      </c>
      <c r="BB420" s="152" t="s">
        <v>802</v>
      </c>
      <c r="BC420" s="1284" t="s">
        <v>4595</v>
      </c>
      <c r="BD420" s="158"/>
      <c r="BE420" s="158"/>
      <c r="BF420" s="158"/>
      <c r="BG420" s="158"/>
      <c r="BH420" s="158"/>
      <c r="BI420" s="158"/>
      <c r="BJ420" s="158"/>
      <c r="BK420" s="158"/>
      <c r="BL420" s="158"/>
      <c r="BM420" s="158"/>
      <c r="BN420" s="158"/>
      <c r="BO420" s="158"/>
      <c r="BP420" s="158"/>
    </row>
    <row r="421" spans="50:68" ht="19.5" customHeight="1">
      <c r="AX421" s="664" t="s">
        <v>4593</v>
      </c>
      <c r="AY421" s="151" t="s">
        <v>4441</v>
      </c>
      <c r="AZ421" s="151" t="s">
        <v>4106</v>
      </c>
      <c r="BA421" s="152" t="s">
        <v>4596</v>
      </c>
      <c r="BB421" s="152" t="s">
        <v>795</v>
      </c>
      <c r="BC421" s="1284" t="s">
        <v>4597</v>
      </c>
      <c r="BD421" s="158"/>
      <c r="BE421" s="158"/>
      <c r="BF421" s="158"/>
      <c r="BG421" s="158"/>
      <c r="BH421" s="158"/>
      <c r="BI421" s="158"/>
      <c r="BJ421" s="158"/>
      <c r="BK421" s="158"/>
      <c r="BL421" s="158"/>
      <c r="BM421" s="158"/>
      <c r="BN421" s="158"/>
      <c r="BO421" s="158"/>
      <c r="BP421" s="158"/>
    </row>
    <row r="422" spans="50:68" ht="19.5" customHeight="1">
      <c r="AX422" s="664" t="s">
        <v>4593</v>
      </c>
      <c r="AY422" s="151" t="s">
        <v>4441</v>
      </c>
      <c r="AZ422" s="151" t="s">
        <v>4107</v>
      </c>
      <c r="BA422" s="152" t="s">
        <v>4598</v>
      </c>
      <c r="BB422" s="152" t="s">
        <v>1</v>
      </c>
      <c r="BC422" s="1284" t="s">
        <v>4599</v>
      </c>
      <c r="BD422" s="158"/>
      <c r="BE422" s="158"/>
      <c r="BF422" s="158"/>
      <c r="BG422" s="158"/>
      <c r="BH422" s="158"/>
      <c r="BI422" s="158"/>
      <c r="BJ422" s="158"/>
      <c r="BK422" s="158"/>
      <c r="BL422" s="158"/>
      <c r="BM422" s="158"/>
      <c r="BN422" s="158"/>
      <c r="BO422" s="158"/>
      <c r="BP422" s="158"/>
    </row>
    <row r="423" spans="50:68" ht="19.5" customHeight="1">
      <c r="AX423" s="664" t="s">
        <v>4593</v>
      </c>
      <c r="AY423" s="151" t="s">
        <v>4441</v>
      </c>
      <c r="AZ423" s="151" t="s">
        <v>4108</v>
      </c>
      <c r="BA423" s="152" t="s">
        <v>4600</v>
      </c>
      <c r="BB423" s="152" t="s">
        <v>804</v>
      </c>
      <c r="BC423" s="1284" t="s">
        <v>4601</v>
      </c>
      <c r="BD423" s="158"/>
      <c r="BE423" s="158"/>
      <c r="BF423" s="158"/>
      <c r="BG423" s="158"/>
      <c r="BH423" s="158"/>
      <c r="BI423" s="158"/>
      <c r="BJ423" s="158"/>
      <c r="BK423" s="158"/>
      <c r="BL423" s="158"/>
      <c r="BM423" s="158"/>
      <c r="BN423" s="158"/>
      <c r="BO423" s="158"/>
      <c r="BP423" s="158"/>
    </row>
    <row r="424" spans="50:68" ht="19.5" customHeight="1">
      <c r="AX424" s="664" t="s">
        <v>4593</v>
      </c>
      <c r="AY424" s="151" t="s">
        <v>4441</v>
      </c>
      <c r="AZ424" s="151" t="s">
        <v>4109</v>
      </c>
      <c r="BA424" s="152" t="s">
        <v>4602</v>
      </c>
      <c r="BB424" s="152" t="s">
        <v>1</v>
      </c>
      <c r="BC424" s="1284" t="s">
        <v>4599</v>
      </c>
      <c r="BD424" s="158"/>
      <c r="BE424" s="158"/>
      <c r="BF424" s="158"/>
      <c r="BG424" s="158"/>
      <c r="BH424" s="158"/>
      <c r="BI424" s="158"/>
      <c r="BJ424" s="158"/>
      <c r="BK424" s="158"/>
      <c r="BL424" s="158"/>
      <c r="BM424" s="158"/>
      <c r="BN424" s="158"/>
      <c r="BO424" s="158"/>
      <c r="BP424" s="158"/>
    </row>
    <row r="425" spans="50:68" ht="19.5" customHeight="1">
      <c r="AX425" s="664" t="s">
        <v>4593</v>
      </c>
      <c r="AY425" s="151" t="s">
        <v>4441</v>
      </c>
      <c r="AZ425" s="151" t="s">
        <v>4110</v>
      </c>
      <c r="BA425" s="152" t="s">
        <v>4603</v>
      </c>
      <c r="BB425" s="152" t="s">
        <v>800</v>
      </c>
      <c r="BC425" s="1284" t="s">
        <v>4604</v>
      </c>
      <c r="BD425" s="158"/>
      <c r="BE425" s="158"/>
      <c r="BF425" s="158"/>
      <c r="BG425" s="158"/>
      <c r="BH425" s="158"/>
      <c r="BI425" s="158"/>
      <c r="BJ425" s="158"/>
      <c r="BK425" s="158"/>
      <c r="BL425" s="158"/>
      <c r="BM425" s="158"/>
      <c r="BN425" s="158"/>
      <c r="BO425" s="158"/>
      <c r="BP425" s="158"/>
    </row>
    <row r="426" spans="50:68" ht="19.5" customHeight="1">
      <c r="AX426" s="664" t="s">
        <v>4593</v>
      </c>
      <c r="AY426" s="151" t="s">
        <v>4441</v>
      </c>
      <c r="AZ426" s="151" t="s">
        <v>4111</v>
      </c>
      <c r="BA426" s="152" t="s">
        <v>4605</v>
      </c>
      <c r="BB426" s="152" t="s">
        <v>805</v>
      </c>
      <c r="BC426" s="1284" t="s">
        <v>4606</v>
      </c>
      <c r="BD426" s="158"/>
      <c r="BE426" s="158"/>
      <c r="BF426" s="158"/>
      <c r="BG426" s="158"/>
      <c r="BH426" s="158"/>
      <c r="BI426" s="158"/>
      <c r="BJ426" s="158"/>
      <c r="BK426" s="158"/>
      <c r="BL426" s="158"/>
      <c r="BM426" s="158"/>
      <c r="BN426" s="158"/>
      <c r="BO426" s="158"/>
      <c r="BP426" s="158"/>
    </row>
    <row r="427" spans="50:68" ht="19.5" customHeight="1">
      <c r="AX427" s="664" t="s">
        <v>4593</v>
      </c>
      <c r="AY427" s="151" t="s">
        <v>4441</v>
      </c>
      <c r="AZ427" s="151" t="s">
        <v>4112</v>
      </c>
      <c r="BA427" s="152" t="s">
        <v>4222</v>
      </c>
      <c r="BB427" s="152" t="s">
        <v>803</v>
      </c>
      <c r="BC427" s="1284" t="s">
        <v>4607</v>
      </c>
      <c r="BD427" s="158"/>
      <c r="BE427" s="158"/>
      <c r="BF427" s="158"/>
      <c r="BG427" s="158"/>
      <c r="BH427" s="158"/>
      <c r="BI427" s="158"/>
      <c r="BJ427" s="158"/>
      <c r="BK427" s="158"/>
      <c r="BL427" s="158"/>
      <c r="BM427" s="158"/>
      <c r="BN427" s="158"/>
      <c r="BO427" s="158"/>
      <c r="BP427" s="158"/>
    </row>
    <row r="428" spans="50:68" ht="19.5" customHeight="1">
      <c r="AX428" s="664" t="s">
        <v>4593</v>
      </c>
      <c r="AY428" s="151" t="s">
        <v>4441</v>
      </c>
      <c r="AZ428" s="151" t="s">
        <v>4113</v>
      </c>
      <c r="BA428" s="152" t="s">
        <v>4608</v>
      </c>
      <c r="BB428" s="152" t="s">
        <v>805</v>
      </c>
      <c r="BC428" s="1284" t="s">
        <v>4609</v>
      </c>
      <c r="BD428" s="158"/>
      <c r="BE428" s="158"/>
      <c r="BF428" s="158"/>
      <c r="BG428" s="158"/>
      <c r="BH428" s="158"/>
      <c r="BI428" s="158"/>
      <c r="BJ428" s="158"/>
      <c r="BK428" s="158"/>
      <c r="BL428" s="158"/>
      <c r="BM428" s="158"/>
      <c r="BN428" s="158"/>
      <c r="BO428" s="158"/>
      <c r="BP428" s="158"/>
    </row>
    <row r="429" spans="50:68" ht="19.5" customHeight="1">
      <c r="AX429" s="664" t="s">
        <v>4593</v>
      </c>
      <c r="AY429" s="151" t="s">
        <v>4441</v>
      </c>
      <c r="AZ429" s="151" t="s">
        <v>4114</v>
      </c>
      <c r="BA429" s="152" t="s">
        <v>4610</v>
      </c>
      <c r="BB429" s="152" t="s">
        <v>799</v>
      </c>
      <c r="BC429" s="1284" t="s">
        <v>4611</v>
      </c>
      <c r="BD429" s="158"/>
      <c r="BE429" s="158"/>
      <c r="BF429" s="158"/>
      <c r="BG429" s="158"/>
      <c r="BH429" s="158"/>
      <c r="BI429" s="158"/>
      <c r="BJ429" s="158"/>
      <c r="BK429" s="158"/>
      <c r="BL429" s="158"/>
      <c r="BM429" s="158"/>
      <c r="BN429" s="158"/>
      <c r="BO429" s="158"/>
      <c r="BP429" s="158"/>
    </row>
    <row r="430" spans="50:68" ht="19.5" customHeight="1">
      <c r="AX430" s="664" t="s">
        <v>4593</v>
      </c>
      <c r="AY430" s="151" t="s">
        <v>4441</v>
      </c>
      <c r="AZ430" s="151" t="s">
        <v>4612</v>
      </c>
      <c r="BA430" s="152" t="s">
        <v>4613</v>
      </c>
      <c r="BB430" s="152" t="s">
        <v>797</v>
      </c>
      <c r="BC430" s="1284" t="s">
        <v>4614</v>
      </c>
      <c r="BD430" s="158"/>
      <c r="BE430" s="158"/>
      <c r="BF430" s="158"/>
      <c r="BG430" s="158"/>
      <c r="BH430" s="158"/>
      <c r="BI430" s="158"/>
      <c r="BJ430" s="158"/>
      <c r="BK430" s="158"/>
      <c r="BL430" s="158"/>
      <c r="BM430" s="158"/>
      <c r="BN430" s="158"/>
      <c r="BO430" s="158"/>
      <c r="BP430" s="158"/>
    </row>
    <row r="431" spans="50:68" ht="19.5" customHeight="1">
      <c r="AX431" s="664" t="s">
        <v>4593</v>
      </c>
      <c r="AY431" s="151" t="s">
        <v>4441</v>
      </c>
      <c r="AZ431" s="151" t="s">
        <v>4615</v>
      </c>
      <c r="BA431" s="152" t="s">
        <v>4616</v>
      </c>
      <c r="BB431" s="152" t="s">
        <v>801</v>
      </c>
      <c r="BC431" s="1284" t="s">
        <v>4617</v>
      </c>
      <c r="BD431" s="158"/>
      <c r="BE431" s="158"/>
      <c r="BF431" s="158"/>
      <c r="BG431" s="158"/>
      <c r="BH431" s="158"/>
      <c r="BI431" s="158"/>
      <c r="BJ431" s="158"/>
      <c r="BK431" s="158"/>
      <c r="BL431" s="158"/>
      <c r="BM431" s="158"/>
      <c r="BN431" s="158"/>
      <c r="BO431" s="158"/>
      <c r="BP431" s="158"/>
    </row>
    <row r="432" spans="50:68" ht="19.5" customHeight="1">
      <c r="AX432" s="664" t="s">
        <v>4593</v>
      </c>
      <c r="AY432" s="151" t="s">
        <v>4441</v>
      </c>
      <c r="AZ432" s="151" t="s">
        <v>4618</v>
      </c>
      <c r="BA432" s="152" t="s">
        <v>4619</v>
      </c>
      <c r="BB432" s="152" t="s">
        <v>790</v>
      </c>
      <c r="BC432" s="1284" t="s">
        <v>4620</v>
      </c>
      <c r="BD432" s="158"/>
      <c r="BE432" s="158"/>
      <c r="BF432" s="158"/>
      <c r="BG432" s="158"/>
      <c r="BH432" s="158"/>
      <c r="BI432" s="158"/>
      <c r="BJ432" s="158"/>
      <c r="BK432" s="158"/>
      <c r="BL432" s="158"/>
      <c r="BM432" s="158"/>
      <c r="BN432" s="158"/>
      <c r="BO432" s="158"/>
      <c r="BP432" s="158"/>
    </row>
    <row r="433" spans="50:68" ht="19.5" customHeight="1">
      <c r="AX433" s="664" t="s">
        <v>4593</v>
      </c>
      <c r="AY433" s="151" t="s">
        <v>4441</v>
      </c>
      <c r="AZ433" s="151" t="s">
        <v>4621</v>
      </c>
      <c r="BA433" s="152" t="s">
        <v>4622</v>
      </c>
      <c r="BB433" s="152" t="s">
        <v>803</v>
      </c>
      <c r="BC433" s="1284" t="s">
        <v>4607</v>
      </c>
      <c r="BD433" s="158"/>
      <c r="BE433" s="158"/>
      <c r="BF433" s="158"/>
      <c r="BG433" s="158"/>
      <c r="BH433" s="158"/>
      <c r="BI433" s="158"/>
      <c r="BJ433" s="158"/>
      <c r="BK433" s="158"/>
      <c r="BL433" s="158"/>
      <c r="BM433" s="158"/>
      <c r="BN433" s="158"/>
      <c r="BO433" s="158"/>
      <c r="BP433" s="158"/>
    </row>
    <row r="434" spans="50:68" ht="19.5" customHeight="1">
      <c r="AX434" s="664" t="s">
        <v>4623</v>
      </c>
      <c r="AY434" s="151" t="s">
        <v>4442</v>
      </c>
      <c r="AZ434" s="151" t="s">
        <v>4115</v>
      </c>
      <c r="BA434" s="152" t="s">
        <v>4624</v>
      </c>
      <c r="BB434" s="152" t="s">
        <v>806</v>
      </c>
      <c r="BC434" s="1284" t="s">
        <v>4625</v>
      </c>
      <c r="BD434" s="158"/>
      <c r="BE434" s="158"/>
      <c r="BF434" s="158"/>
      <c r="BG434" s="158"/>
      <c r="BH434" s="158"/>
      <c r="BI434" s="158"/>
      <c r="BJ434" s="158"/>
      <c r="BK434" s="158"/>
      <c r="BL434" s="158"/>
      <c r="BM434" s="158"/>
      <c r="BN434" s="158"/>
      <c r="BO434" s="158"/>
      <c r="BP434" s="158"/>
    </row>
    <row r="435" spans="50:68" ht="19.5" customHeight="1">
      <c r="AX435" s="664" t="s">
        <v>4623</v>
      </c>
      <c r="AY435" s="151" t="s">
        <v>4442</v>
      </c>
      <c r="AZ435" s="151" t="s">
        <v>4116</v>
      </c>
      <c r="BA435" s="152" t="s">
        <v>4626</v>
      </c>
      <c r="BB435" s="152" t="s">
        <v>806</v>
      </c>
      <c r="BC435" s="1284" t="s">
        <v>4625</v>
      </c>
      <c r="BD435" s="158"/>
      <c r="BE435" s="158"/>
      <c r="BF435" s="158"/>
      <c r="BG435" s="158"/>
      <c r="BH435" s="158"/>
      <c r="BI435" s="158"/>
      <c r="BJ435" s="158"/>
      <c r="BK435" s="158"/>
      <c r="BL435" s="158"/>
      <c r="BM435" s="158"/>
      <c r="BN435" s="158"/>
      <c r="BO435" s="158"/>
      <c r="BP435" s="158"/>
    </row>
    <row r="436" spans="50:68" ht="19.5" customHeight="1">
      <c r="AX436" s="664" t="s">
        <v>4623</v>
      </c>
      <c r="AY436" s="151" t="s">
        <v>4442</v>
      </c>
      <c r="AZ436" s="151" t="s">
        <v>4117</v>
      </c>
      <c r="BA436" s="152" t="s">
        <v>4627</v>
      </c>
      <c r="BB436" s="152" t="s">
        <v>806</v>
      </c>
      <c r="BC436" s="1284" t="s">
        <v>4625</v>
      </c>
      <c r="BD436" s="158"/>
      <c r="BE436" s="158"/>
      <c r="BF436" s="158"/>
      <c r="BG436" s="158"/>
      <c r="BH436" s="158"/>
      <c r="BI436" s="158"/>
      <c r="BJ436" s="158"/>
      <c r="BK436" s="158"/>
      <c r="BL436" s="158"/>
      <c r="BM436" s="158"/>
      <c r="BN436" s="158"/>
      <c r="BO436" s="158"/>
      <c r="BP436" s="158"/>
    </row>
    <row r="437" spans="50:68" ht="19.5" customHeight="1">
      <c r="AX437" s="664" t="s">
        <v>4623</v>
      </c>
      <c r="AY437" s="151" t="s">
        <v>4442</v>
      </c>
      <c r="AZ437" s="151" t="s">
        <v>4628</v>
      </c>
      <c r="BA437" s="152" t="s">
        <v>4629</v>
      </c>
      <c r="BB437" s="152" t="s">
        <v>806</v>
      </c>
      <c r="BC437" s="1284" t="s">
        <v>4625</v>
      </c>
      <c r="BD437" s="158"/>
      <c r="BE437" s="158"/>
      <c r="BF437" s="158"/>
      <c r="BG437" s="158"/>
      <c r="BH437" s="158"/>
      <c r="BI437" s="158"/>
      <c r="BJ437" s="158"/>
      <c r="BK437" s="158"/>
      <c r="BL437" s="158"/>
      <c r="BM437" s="158"/>
      <c r="BN437" s="158"/>
      <c r="BO437" s="158"/>
      <c r="BP437" s="158"/>
    </row>
    <row r="438" spans="50:68" ht="19.5" customHeight="1">
      <c r="AX438" s="664" t="s">
        <v>4623</v>
      </c>
      <c r="AY438" s="151" t="s">
        <v>4442</v>
      </c>
      <c r="AZ438" s="151" t="s">
        <v>4630</v>
      </c>
      <c r="BA438" s="152" t="s">
        <v>4631</v>
      </c>
      <c r="BB438" s="152" t="s">
        <v>806</v>
      </c>
      <c r="BC438" s="1284" t="s">
        <v>4625</v>
      </c>
      <c r="BD438" s="158"/>
      <c r="BE438" s="158"/>
      <c r="BF438" s="158"/>
      <c r="BG438" s="158"/>
      <c r="BH438" s="158"/>
      <c r="BI438" s="158"/>
      <c r="BJ438" s="158"/>
      <c r="BK438" s="158"/>
      <c r="BL438" s="158"/>
      <c r="BM438" s="158"/>
      <c r="BN438" s="158"/>
      <c r="BO438" s="158"/>
      <c r="BP438" s="158"/>
    </row>
    <row r="439" spans="50:68" ht="19.5" customHeight="1">
      <c r="AX439" s="664" t="s">
        <v>4632</v>
      </c>
      <c r="AY439" s="151" t="s">
        <v>4443</v>
      </c>
      <c r="AZ439" s="151" t="s">
        <v>4118</v>
      </c>
      <c r="BA439" s="152" t="s">
        <v>4633</v>
      </c>
      <c r="BB439" s="152" t="s">
        <v>802</v>
      </c>
      <c r="BC439" s="1284" t="s">
        <v>4634</v>
      </c>
      <c r="BD439" s="158"/>
      <c r="BE439" s="158"/>
      <c r="BF439" s="158"/>
      <c r="BG439" s="158"/>
      <c r="BH439" s="158"/>
      <c r="BI439" s="158"/>
      <c r="BJ439" s="158"/>
      <c r="BK439" s="158"/>
      <c r="BL439" s="158"/>
      <c r="BM439" s="158"/>
      <c r="BN439" s="158"/>
      <c r="BO439" s="158"/>
      <c r="BP439" s="158"/>
    </row>
    <row r="440" spans="50:68" ht="19.5" customHeight="1">
      <c r="AX440" s="664" t="s">
        <v>4632</v>
      </c>
      <c r="AY440" s="151" t="s">
        <v>4443</v>
      </c>
      <c r="AZ440" s="151" t="s">
        <v>4119</v>
      </c>
      <c r="BA440" s="152" t="s">
        <v>4102</v>
      </c>
      <c r="BB440" s="152" t="s">
        <v>804</v>
      </c>
      <c r="BC440" s="1284" t="s">
        <v>4635</v>
      </c>
      <c r="BD440" s="158"/>
      <c r="BE440" s="158"/>
      <c r="BF440" s="158"/>
      <c r="BG440" s="158"/>
      <c r="BH440" s="158"/>
      <c r="BI440" s="158"/>
      <c r="BJ440" s="158"/>
      <c r="BK440" s="158"/>
      <c r="BL440" s="158"/>
      <c r="BM440" s="158"/>
      <c r="BN440" s="158"/>
      <c r="BO440" s="158"/>
      <c r="BP440" s="158"/>
    </row>
    <row r="441" spans="50:68" ht="19.5" customHeight="1">
      <c r="AX441" s="664" t="s">
        <v>4636</v>
      </c>
      <c r="AY441" s="151" t="s">
        <v>4444</v>
      </c>
      <c r="AZ441" s="151" t="s">
        <v>4120</v>
      </c>
      <c r="BA441" s="152" t="s">
        <v>4637</v>
      </c>
      <c r="BB441" s="152" t="s">
        <v>810</v>
      </c>
      <c r="BC441" s="1284" t="s">
        <v>4638</v>
      </c>
      <c r="BD441" s="158"/>
      <c r="BE441" s="158"/>
      <c r="BF441" s="158"/>
      <c r="BG441" s="158"/>
      <c r="BH441" s="158"/>
      <c r="BI441" s="158"/>
      <c r="BJ441" s="158"/>
      <c r="BK441" s="158"/>
      <c r="BL441" s="158"/>
      <c r="BM441" s="158"/>
      <c r="BN441" s="158"/>
      <c r="BO441" s="158"/>
      <c r="BP441" s="158"/>
    </row>
    <row r="442" spans="50:68" ht="19.5" customHeight="1">
      <c r="AX442" s="664" t="s">
        <v>4636</v>
      </c>
      <c r="AY442" s="151" t="s">
        <v>4444</v>
      </c>
      <c r="AZ442" s="151" t="s">
        <v>4121</v>
      </c>
      <c r="BA442" s="152" t="s">
        <v>4639</v>
      </c>
      <c r="BB442" s="152" t="s">
        <v>792</v>
      </c>
      <c r="BC442" s="1284" t="s">
        <v>4640</v>
      </c>
      <c r="BD442" s="158"/>
      <c r="BE442" s="158"/>
      <c r="BF442" s="158"/>
      <c r="BG442" s="158"/>
      <c r="BH442" s="158"/>
      <c r="BI442" s="158"/>
      <c r="BJ442" s="158"/>
      <c r="BK442" s="158"/>
      <c r="BL442" s="158"/>
      <c r="BM442" s="158"/>
      <c r="BN442" s="158"/>
      <c r="BO442" s="158"/>
      <c r="BP442" s="158"/>
    </row>
    <row r="443" spans="50:68" ht="19.5" customHeight="1">
      <c r="AX443" s="664" t="s">
        <v>4636</v>
      </c>
      <c r="AY443" s="151" t="s">
        <v>4444</v>
      </c>
      <c r="AZ443" s="151" t="s">
        <v>4122</v>
      </c>
      <c r="BA443" s="152" t="s">
        <v>4641</v>
      </c>
      <c r="BB443" s="152" t="s">
        <v>809</v>
      </c>
      <c r="BC443" s="1284" t="s">
        <v>4642</v>
      </c>
      <c r="BD443" s="158"/>
      <c r="BE443" s="158"/>
      <c r="BF443" s="158"/>
      <c r="BG443" s="158"/>
      <c r="BH443" s="158"/>
      <c r="BI443" s="158"/>
      <c r="BJ443" s="158"/>
      <c r="BK443" s="158"/>
      <c r="BL443" s="158"/>
      <c r="BM443" s="158"/>
      <c r="BN443" s="158"/>
      <c r="BO443" s="158"/>
      <c r="BP443" s="158"/>
    </row>
    <row r="444" spans="50:68" ht="19.5" customHeight="1">
      <c r="AX444" s="664" t="s">
        <v>4636</v>
      </c>
      <c r="AY444" s="151" t="s">
        <v>4444</v>
      </c>
      <c r="AZ444" s="151" t="s">
        <v>4123</v>
      </c>
      <c r="BA444" s="152" t="s">
        <v>4643</v>
      </c>
      <c r="BB444" s="152" t="s">
        <v>808</v>
      </c>
      <c r="BC444" s="1284" t="s">
        <v>4644</v>
      </c>
      <c r="BD444" s="158"/>
      <c r="BE444" s="158"/>
      <c r="BF444" s="158"/>
      <c r="BG444" s="158"/>
      <c r="BH444" s="158"/>
      <c r="BI444" s="158"/>
      <c r="BJ444" s="158"/>
      <c r="BK444" s="158"/>
      <c r="BL444" s="158"/>
      <c r="BM444" s="158"/>
      <c r="BN444" s="158"/>
      <c r="BO444" s="158"/>
      <c r="BP444" s="158"/>
    </row>
    <row r="445" spans="50:68" ht="19.5" customHeight="1">
      <c r="AX445" s="664" t="s">
        <v>4636</v>
      </c>
      <c r="AY445" s="151" t="s">
        <v>4444</v>
      </c>
      <c r="AZ445" s="151" t="s">
        <v>4124</v>
      </c>
      <c r="BA445" s="152" t="s">
        <v>2450</v>
      </c>
      <c r="BB445" s="152" t="s">
        <v>802</v>
      </c>
      <c r="BC445" s="1284" t="s">
        <v>4645</v>
      </c>
      <c r="BD445" s="158"/>
      <c r="BE445" s="158"/>
      <c r="BF445" s="158"/>
      <c r="BG445" s="158"/>
      <c r="BH445" s="158"/>
      <c r="BI445" s="158"/>
      <c r="BJ445" s="158"/>
      <c r="BK445" s="158"/>
      <c r="BL445" s="158"/>
      <c r="BM445" s="158"/>
      <c r="BN445" s="158"/>
      <c r="BO445" s="158"/>
      <c r="BP445" s="158"/>
    </row>
    <row r="446" spans="50:68" ht="19.5" customHeight="1">
      <c r="AX446" s="664" t="s">
        <v>4636</v>
      </c>
      <c r="AY446" s="151" t="s">
        <v>4444</v>
      </c>
      <c r="AZ446" s="151" t="s">
        <v>4125</v>
      </c>
      <c r="BA446" s="152" t="s">
        <v>4646</v>
      </c>
      <c r="BB446" s="152" t="s">
        <v>807</v>
      </c>
      <c r="BC446" s="1284" t="s">
        <v>4647</v>
      </c>
      <c r="BD446" s="158"/>
      <c r="BE446" s="158"/>
      <c r="BF446" s="158"/>
      <c r="BG446" s="158"/>
      <c r="BH446" s="158"/>
      <c r="BI446" s="158"/>
      <c r="BJ446" s="158"/>
      <c r="BK446" s="158"/>
      <c r="BL446" s="158"/>
      <c r="BM446" s="158"/>
      <c r="BN446" s="158"/>
      <c r="BO446" s="158"/>
      <c r="BP446" s="158"/>
    </row>
    <row r="447" spans="50:68" ht="19.5" customHeight="1">
      <c r="AX447" s="664" t="s">
        <v>4636</v>
      </c>
      <c r="AY447" s="151" t="s">
        <v>4444</v>
      </c>
      <c r="AZ447" s="151" t="s">
        <v>4126</v>
      </c>
      <c r="BA447" s="152" t="s">
        <v>4648</v>
      </c>
      <c r="BB447" s="152" t="s">
        <v>810</v>
      </c>
      <c r="BC447" s="1284" t="s">
        <v>4638</v>
      </c>
      <c r="BD447" s="158"/>
      <c r="BE447" s="158"/>
      <c r="BF447" s="158"/>
      <c r="BG447" s="158"/>
      <c r="BH447" s="158"/>
      <c r="BI447" s="158"/>
      <c r="BJ447" s="158"/>
      <c r="BK447" s="158"/>
      <c r="BL447" s="158"/>
      <c r="BM447" s="158"/>
      <c r="BN447" s="158"/>
      <c r="BO447" s="158"/>
      <c r="BP447" s="158"/>
    </row>
    <row r="448" spans="50:68" ht="19.5" customHeight="1">
      <c r="AX448" s="664" t="s">
        <v>4636</v>
      </c>
      <c r="AY448" s="151" t="s">
        <v>4444</v>
      </c>
      <c r="AZ448" s="151" t="s">
        <v>4127</v>
      </c>
      <c r="BA448" s="152" t="s">
        <v>4649</v>
      </c>
      <c r="BB448" s="152" t="s">
        <v>4097</v>
      </c>
      <c r="BC448" s="1284" t="s">
        <v>991</v>
      </c>
      <c r="BD448" s="158"/>
      <c r="BE448" s="158"/>
      <c r="BF448" s="158"/>
      <c r="BG448" s="158"/>
      <c r="BH448" s="158"/>
      <c r="BI448" s="158"/>
      <c r="BJ448" s="158"/>
      <c r="BK448" s="158"/>
      <c r="BL448" s="158"/>
      <c r="BM448" s="158"/>
      <c r="BN448" s="158"/>
      <c r="BO448" s="158"/>
      <c r="BP448" s="158"/>
    </row>
    <row r="449" spans="50:68" ht="19.5" customHeight="1">
      <c r="AX449" s="664" t="s">
        <v>4650</v>
      </c>
      <c r="AY449" s="151" t="s">
        <v>4445</v>
      </c>
      <c r="AZ449" s="151" t="s">
        <v>4128</v>
      </c>
      <c r="BA449" s="152" t="s">
        <v>4651</v>
      </c>
      <c r="BB449" s="152" t="s">
        <v>802</v>
      </c>
      <c r="BC449" s="1284" t="s">
        <v>4634</v>
      </c>
      <c r="BD449" s="158"/>
      <c r="BE449" s="158"/>
      <c r="BF449" s="158"/>
      <c r="BG449" s="158"/>
      <c r="BH449" s="158"/>
      <c r="BI449" s="158"/>
      <c r="BJ449" s="158"/>
      <c r="BK449" s="158"/>
      <c r="BL449" s="158"/>
      <c r="BM449" s="158"/>
      <c r="BN449" s="158"/>
      <c r="BO449" s="158"/>
      <c r="BP449" s="158"/>
    </row>
    <row r="450" spans="50:68" ht="19.5" customHeight="1">
      <c r="AX450" s="664" t="s">
        <v>4650</v>
      </c>
      <c r="AY450" s="151" t="s">
        <v>4445</v>
      </c>
      <c r="AZ450" s="151" t="s">
        <v>4129</v>
      </c>
      <c r="BA450" s="152" t="s">
        <v>4652</v>
      </c>
      <c r="BB450" s="152" t="s">
        <v>812</v>
      </c>
      <c r="BC450" s="1284" t="s">
        <v>4653</v>
      </c>
      <c r="BD450" s="158"/>
      <c r="BE450" s="158"/>
      <c r="BF450" s="158"/>
      <c r="BG450" s="158"/>
      <c r="BH450" s="158"/>
      <c r="BI450" s="158"/>
      <c r="BJ450" s="158"/>
      <c r="BK450" s="158"/>
      <c r="BL450" s="158"/>
      <c r="BM450" s="158"/>
      <c r="BN450" s="158"/>
      <c r="BO450" s="158"/>
      <c r="BP450" s="158"/>
    </row>
    <row r="451" spans="50:68" ht="19.5" customHeight="1">
      <c r="AX451" s="664" t="s">
        <v>4650</v>
      </c>
      <c r="AY451" s="151" t="s">
        <v>4445</v>
      </c>
      <c r="AZ451" s="151" t="s">
        <v>4130</v>
      </c>
      <c r="BA451" s="152" t="s">
        <v>4654</v>
      </c>
      <c r="BB451" s="152" t="s">
        <v>811</v>
      </c>
      <c r="BC451" s="1284" t="s">
        <v>4655</v>
      </c>
      <c r="BD451" s="158"/>
      <c r="BE451" s="158"/>
      <c r="BF451" s="158"/>
      <c r="BG451" s="158"/>
      <c r="BH451" s="158"/>
      <c r="BI451" s="158"/>
      <c r="BJ451" s="158"/>
      <c r="BK451" s="158"/>
      <c r="BL451" s="158"/>
      <c r="BM451" s="158"/>
      <c r="BN451" s="158"/>
      <c r="BO451" s="158"/>
      <c r="BP451" s="158"/>
    </row>
    <row r="452" spans="50:68" ht="19.5" customHeight="1">
      <c r="AX452" s="664" t="s">
        <v>4650</v>
      </c>
      <c r="AY452" s="151" t="s">
        <v>4445</v>
      </c>
      <c r="AZ452" s="151" t="s">
        <v>4656</v>
      </c>
      <c r="BA452" s="152" t="s">
        <v>4657</v>
      </c>
      <c r="BB452" s="152" t="s">
        <v>802</v>
      </c>
      <c r="BC452" s="1284" t="s">
        <v>4634</v>
      </c>
      <c r="BD452" s="158"/>
      <c r="BE452" s="158"/>
      <c r="BF452" s="158"/>
      <c r="BG452" s="158"/>
      <c r="BH452" s="158"/>
      <c r="BI452" s="158"/>
      <c r="BJ452" s="158"/>
      <c r="BK452" s="158"/>
      <c r="BL452" s="158"/>
      <c r="BM452" s="158"/>
      <c r="BN452" s="158"/>
      <c r="BO452" s="158"/>
      <c r="BP452" s="158"/>
    </row>
    <row r="453" spans="50:68" ht="19.5" customHeight="1">
      <c r="AX453" s="664" t="s">
        <v>4650</v>
      </c>
      <c r="AY453" s="151" t="s">
        <v>4445</v>
      </c>
      <c r="AZ453" s="151" t="s">
        <v>4658</v>
      </c>
      <c r="BA453" s="152" t="s">
        <v>4659</v>
      </c>
      <c r="BB453" s="152" t="s">
        <v>813</v>
      </c>
      <c r="BC453" s="1284" t="s">
        <v>4660</v>
      </c>
      <c r="BD453" s="158"/>
      <c r="BE453" s="158"/>
      <c r="BF453" s="158"/>
      <c r="BG453" s="158"/>
      <c r="BH453" s="158"/>
      <c r="BI453" s="158"/>
      <c r="BJ453" s="158"/>
      <c r="BK453" s="158"/>
      <c r="BL453" s="158"/>
      <c r="BM453" s="158"/>
      <c r="BN453" s="158"/>
      <c r="BO453" s="158"/>
      <c r="BP453" s="158"/>
    </row>
    <row r="454" spans="50:68" ht="19.5" customHeight="1">
      <c r="AX454" s="664" t="s">
        <v>4650</v>
      </c>
      <c r="AY454" s="151" t="s">
        <v>4445</v>
      </c>
      <c r="AZ454" s="151" t="s">
        <v>4661</v>
      </c>
      <c r="BA454" s="152" t="s">
        <v>4662</v>
      </c>
      <c r="BB454" s="152" t="s">
        <v>802</v>
      </c>
      <c r="BC454" s="1284" t="s">
        <v>4645</v>
      </c>
      <c r="BD454" s="158"/>
      <c r="BE454" s="158"/>
      <c r="BF454" s="158"/>
      <c r="BG454" s="158"/>
      <c r="BH454" s="158"/>
      <c r="BI454" s="158"/>
      <c r="BJ454" s="158"/>
      <c r="BK454" s="158"/>
      <c r="BL454" s="158"/>
      <c r="BM454" s="158"/>
      <c r="BN454" s="158"/>
      <c r="BO454" s="158"/>
      <c r="BP454" s="158"/>
    </row>
    <row r="455" spans="50:68" ht="19.5" customHeight="1">
      <c r="AX455" s="664" t="s">
        <v>4650</v>
      </c>
      <c r="AY455" s="151" t="s">
        <v>4445</v>
      </c>
      <c r="AZ455" s="151" t="s">
        <v>4663</v>
      </c>
      <c r="BA455" s="152" t="s">
        <v>4664</v>
      </c>
      <c r="BB455" s="152" t="s">
        <v>3326</v>
      </c>
      <c r="BC455" s="1284" t="s">
        <v>4665</v>
      </c>
      <c r="BD455" s="158"/>
      <c r="BE455" s="158"/>
      <c r="BF455" s="158"/>
      <c r="BG455" s="158"/>
      <c r="BH455" s="158"/>
      <c r="BI455" s="158"/>
      <c r="BJ455" s="158"/>
      <c r="BK455" s="158"/>
      <c r="BL455" s="158"/>
      <c r="BM455" s="158"/>
      <c r="BN455" s="158"/>
      <c r="BO455" s="158"/>
      <c r="BP455" s="158"/>
    </row>
    <row r="456" spans="50:68" ht="19.5" customHeight="1">
      <c r="AX456" s="664" t="s">
        <v>4666</v>
      </c>
      <c r="AY456" s="151" t="s">
        <v>4446</v>
      </c>
      <c r="AZ456" s="151" t="s">
        <v>4131</v>
      </c>
      <c r="BA456" s="152" t="s">
        <v>4667</v>
      </c>
      <c r="BB456" s="152" t="s">
        <v>3327</v>
      </c>
      <c r="BC456" s="1284" t="s">
        <v>4668</v>
      </c>
      <c r="BD456" s="158"/>
      <c r="BE456" s="158"/>
      <c r="BF456" s="158"/>
      <c r="BG456" s="158"/>
      <c r="BH456" s="158"/>
      <c r="BI456" s="158"/>
      <c r="BJ456" s="158"/>
      <c r="BK456" s="158"/>
      <c r="BL456" s="158"/>
      <c r="BM456" s="158"/>
      <c r="BN456" s="158"/>
      <c r="BO456" s="158"/>
      <c r="BP456" s="158"/>
    </row>
    <row r="457" spans="50:68" ht="19.5" customHeight="1">
      <c r="AX457" s="664" t="s">
        <v>4666</v>
      </c>
      <c r="AY457" s="151" t="s">
        <v>4446</v>
      </c>
      <c r="AZ457" s="151" t="s">
        <v>4132</v>
      </c>
      <c r="BA457" s="152" t="s">
        <v>4669</v>
      </c>
      <c r="BB457" s="152" t="s">
        <v>3327</v>
      </c>
      <c r="BC457" s="1284" t="s">
        <v>4668</v>
      </c>
      <c r="BD457" s="158"/>
      <c r="BE457" s="158"/>
      <c r="BF457" s="158"/>
      <c r="BG457" s="158"/>
      <c r="BH457" s="158"/>
      <c r="BI457" s="158"/>
      <c r="BJ457" s="158"/>
      <c r="BK457" s="158"/>
      <c r="BL457" s="158"/>
      <c r="BM457" s="158"/>
      <c r="BN457" s="158"/>
      <c r="BO457" s="158"/>
      <c r="BP457" s="158"/>
    </row>
    <row r="458" spans="50:68" ht="19.5" customHeight="1">
      <c r="AX458" s="664" t="s">
        <v>4666</v>
      </c>
      <c r="AY458" s="151" t="s">
        <v>4446</v>
      </c>
      <c r="AZ458" s="151" t="s">
        <v>4133</v>
      </c>
      <c r="BA458" s="152" t="s">
        <v>4670</v>
      </c>
      <c r="BB458" s="152" t="s">
        <v>807</v>
      </c>
      <c r="BC458" s="1284" t="s">
        <v>4647</v>
      </c>
      <c r="BD458" s="158"/>
      <c r="BE458" s="158"/>
      <c r="BF458" s="158"/>
      <c r="BG458" s="158"/>
      <c r="BH458" s="158"/>
      <c r="BI458" s="158"/>
      <c r="BJ458" s="158"/>
      <c r="BK458" s="158"/>
      <c r="BL458" s="158"/>
      <c r="BM458" s="158"/>
      <c r="BN458" s="158"/>
      <c r="BO458" s="158"/>
      <c r="BP458" s="158"/>
    </row>
    <row r="459" spans="50:68" ht="19.5" customHeight="1">
      <c r="AX459" s="664" t="s">
        <v>4671</v>
      </c>
      <c r="AY459" s="151" t="s">
        <v>4447</v>
      </c>
      <c r="AZ459" s="151" t="s">
        <v>4134</v>
      </c>
      <c r="BA459" s="152" t="s">
        <v>4672</v>
      </c>
      <c r="BB459" s="152" t="s">
        <v>802</v>
      </c>
      <c r="BC459" s="1284" t="s">
        <v>4634</v>
      </c>
      <c r="BD459" s="158"/>
      <c r="BE459" s="158"/>
      <c r="BF459" s="158"/>
      <c r="BG459" s="158"/>
      <c r="BH459" s="158"/>
      <c r="BI459" s="158"/>
      <c r="BJ459" s="158"/>
      <c r="BK459" s="158"/>
      <c r="BL459" s="158"/>
      <c r="BM459" s="158"/>
      <c r="BN459" s="158"/>
      <c r="BO459" s="158"/>
      <c r="BP459" s="158"/>
    </row>
    <row r="460" spans="50:68" ht="19.5" customHeight="1">
      <c r="AX460" s="664" t="s">
        <v>4671</v>
      </c>
      <c r="AY460" s="151" t="s">
        <v>4447</v>
      </c>
      <c r="AZ460" s="151" t="s">
        <v>4135</v>
      </c>
      <c r="BA460" s="152" t="s">
        <v>4673</v>
      </c>
      <c r="BB460" s="152" t="s">
        <v>3328</v>
      </c>
      <c r="BC460" s="1284" t="s">
        <v>4674</v>
      </c>
      <c r="BD460" s="158"/>
      <c r="BE460" s="158"/>
      <c r="BF460" s="158"/>
      <c r="BG460" s="158"/>
      <c r="BH460" s="158"/>
      <c r="BI460" s="158"/>
      <c r="BJ460" s="158"/>
      <c r="BK460" s="158"/>
      <c r="BL460" s="158"/>
      <c r="BM460" s="158"/>
      <c r="BN460" s="158"/>
      <c r="BO460" s="158"/>
      <c r="BP460" s="158"/>
    </row>
    <row r="461" spans="50:68" ht="19.5" customHeight="1">
      <c r="AX461" s="664" t="s">
        <v>4671</v>
      </c>
      <c r="AY461" s="151" t="s">
        <v>4447</v>
      </c>
      <c r="AZ461" s="151" t="s">
        <v>4136</v>
      </c>
      <c r="BA461" s="152" t="s">
        <v>4675</v>
      </c>
      <c r="BB461" s="152" t="s">
        <v>3328</v>
      </c>
      <c r="BC461" s="1284" t="s">
        <v>4674</v>
      </c>
      <c r="BD461" s="158"/>
      <c r="BE461" s="158"/>
      <c r="BF461" s="158"/>
      <c r="BG461" s="158"/>
      <c r="BH461" s="158"/>
      <c r="BI461" s="158"/>
      <c r="BJ461" s="158"/>
      <c r="BK461" s="158"/>
      <c r="BL461" s="158"/>
      <c r="BM461" s="158"/>
      <c r="BN461" s="158"/>
      <c r="BO461" s="158"/>
      <c r="BP461" s="158"/>
    </row>
    <row r="462" spans="50:68" ht="19.5" customHeight="1">
      <c r="AX462" s="664" t="s">
        <v>4671</v>
      </c>
      <c r="AY462" s="151" t="s">
        <v>4447</v>
      </c>
      <c r="AZ462" s="151" t="s">
        <v>4137</v>
      </c>
      <c r="BA462" s="152" t="s">
        <v>4676</v>
      </c>
      <c r="BB462" s="152" t="s">
        <v>3328</v>
      </c>
      <c r="BC462" s="1284" t="s">
        <v>4677</v>
      </c>
      <c r="BD462" s="158"/>
      <c r="BE462" s="158"/>
      <c r="BF462" s="158"/>
      <c r="BG462" s="158"/>
      <c r="BH462" s="158"/>
      <c r="BI462" s="158"/>
      <c r="BJ462" s="158"/>
      <c r="BK462" s="158"/>
      <c r="BL462" s="158"/>
      <c r="BM462" s="158"/>
      <c r="BN462" s="158"/>
      <c r="BO462" s="158"/>
      <c r="BP462" s="158"/>
    </row>
    <row r="463" spans="50:68" ht="19.5" customHeight="1">
      <c r="AX463" s="664" t="s">
        <v>4671</v>
      </c>
      <c r="AY463" s="151" t="s">
        <v>4447</v>
      </c>
      <c r="AZ463" s="151" t="s">
        <v>4678</v>
      </c>
      <c r="BA463" s="152" t="s">
        <v>4679</v>
      </c>
      <c r="BB463" s="152" t="s">
        <v>792</v>
      </c>
      <c r="BC463" s="1284" t="s">
        <v>4640</v>
      </c>
      <c r="BD463" s="158"/>
      <c r="BE463" s="158"/>
      <c r="BF463" s="158"/>
      <c r="BG463" s="158"/>
      <c r="BH463" s="158"/>
      <c r="BI463" s="158"/>
      <c r="BJ463" s="158"/>
      <c r="BK463" s="158"/>
      <c r="BL463" s="158"/>
      <c r="BM463" s="158"/>
      <c r="BN463" s="158"/>
      <c r="BO463" s="158"/>
      <c r="BP463" s="158"/>
    </row>
    <row r="464" spans="50:68" ht="19.5" customHeight="1">
      <c r="AX464" s="664" t="s">
        <v>4671</v>
      </c>
      <c r="AY464" s="151" t="s">
        <v>4447</v>
      </c>
      <c r="AZ464" s="151" t="s">
        <v>4680</v>
      </c>
      <c r="BA464" s="152" t="s">
        <v>4681</v>
      </c>
      <c r="BB464" s="152" t="s">
        <v>794</v>
      </c>
      <c r="BC464" s="1284" t="s">
        <v>4682</v>
      </c>
      <c r="BD464" s="158"/>
      <c r="BE464" s="158"/>
      <c r="BF464" s="158"/>
      <c r="BG464" s="158"/>
      <c r="BH464" s="158"/>
      <c r="BI464" s="158"/>
      <c r="BJ464" s="158"/>
      <c r="BK464" s="158"/>
      <c r="BL464" s="158"/>
      <c r="BM464" s="158"/>
      <c r="BN464" s="158"/>
      <c r="BO464" s="158"/>
      <c r="BP464" s="158"/>
    </row>
    <row r="465" spans="50:68" ht="19.5" customHeight="1">
      <c r="AX465" s="664" t="s">
        <v>4671</v>
      </c>
      <c r="AY465" s="151" t="s">
        <v>4447</v>
      </c>
      <c r="AZ465" s="151" t="s">
        <v>4683</v>
      </c>
      <c r="BA465" s="152" t="s">
        <v>4200</v>
      </c>
      <c r="BB465" s="152" t="s">
        <v>3330</v>
      </c>
      <c r="BC465" s="1284" t="s">
        <v>4684</v>
      </c>
      <c r="BD465" s="158"/>
      <c r="BE465" s="158"/>
      <c r="BF465" s="158"/>
      <c r="BG465" s="158"/>
      <c r="BH465" s="158"/>
      <c r="BI465" s="158"/>
      <c r="BJ465" s="158"/>
      <c r="BK465" s="158"/>
      <c r="BL465" s="158"/>
      <c r="BM465" s="158"/>
      <c r="BN465" s="158"/>
      <c r="BO465" s="158"/>
      <c r="BP465" s="158"/>
    </row>
    <row r="466" spans="50:68" ht="19.5" customHeight="1">
      <c r="AX466" s="664" t="s">
        <v>4671</v>
      </c>
      <c r="AY466" s="151" t="s">
        <v>4447</v>
      </c>
      <c r="AZ466" s="151" t="s">
        <v>4685</v>
      </c>
      <c r="BA466" s="152" t="s">
        <v>4686</v>
      </c>
      <c r="BB466" s="152" t="s">
        <v>802</v>
      </c>
      <c r="BC466" s="1284" t="s">
        <v>4645</v>
      </c>
      <c r="BD466" s="158"/>
      <c r="BE466" s="158"/>
      <c r="BF466" s="158"/>
      <c r="BG466" s="158"/>
      <c r="BH466" s="158"/>
      <c r="BI466" s="158"/>
      <c r="BJ466" s="158"/>
      <c r="BK466" s="158"/>
      <c r="BL466" s="158"/>
      <c r="BM466" s="158"/>
      <c r="BN466" s="158"/>
      <c r="BO466" s="158"/>
      <c r="BP466" s="158"/>
    </row>
    <row r="467" spans="50:68" ht="19.5" customHeight="1">
      <c r="AX467" s="664" t="s">
        <v>4671</v>
      </c>
      <c r="AY467" s="151" t="s">
        <v>4447</v>
      </c>
      <c r="AZ467" s="151" t="s">
        <v>4687</v>
      </c>
      <c r="BA467" s="152" t="s">
        <v>4688</v>
      </c>
      <c r="BB467" s="152" t="s">
        <v>3331</v>
      </c>
      <c r="BC467" s="1284" t="s">
        <v>4689</v>
      </c>
      <c r="BD467" s="158"/>
      <c r="BE467" s="158"/>
      <c r="BF467" s="158"/>
      <c r="BG467" s="158"/>
      <c r="BH467" s="158"/>
      <c r="BI467" s="158"/>
      <c r="BJ467" s="158"/>
      <c r="BK467" s="158"/>
      <c r="BL467" s="158"/>
      <c r="BM467" s="158"/>
      <c r="BN467" s="158"/>
      <c r="BO467" s="158"/>
      <c r="BP467" s="158"/>
    </row>
    <row r="468" spans="50:68" ht="19.5" customHeight="1">
      <c r="AX468" s="664" t="s">
        <v>4671</v>
      </c>
      <c r="AY468" s="151" t="s">
        <v>4447</v>
      </c>
      <c r="AZ468" s="151" t="s">
        <v>4690</v>
      </c>
      <c r="BA468" s="152" t="s">
        <v>4691</v>
      </c>
      <c r="BB468" s="152" t="s">
        <v>3329</v>
      </c>
      <c r="BC468" s="1284" t="s">
        <v>4692</v>
      </c>
      <c r="BD468" s="158"/>
      <c r="BE468" s="158"/>
      <c r="BF468" s="158"/>
      <c r="BG468" s="158"/>
      <c r="BH468" s="158"/>
      <c r="BI468" s="158"/>
      <c r="BJ468" s="158"/>
      <c r="BK468" s="158"/>
      <c r="BL468" s="158"/>
      <c r="BM468" s="158"/>
      <c r="BN468" s="158"/>
      <c r="BO468" s="158"/>
      <c r="BP468" s="158"/>
    </row>
    <row r="469" spans="50:68" ht="19.5" customHeight="1">
      <c r="AX469" s="664" t="s">
        <v>4671</v>
      </c>
      <c r="AY469" s="151" t="s">
        <v>4447</v>
      </c>
      <c r="AZ469" s="151" t="s">
        <v>4693</v>
      </c>
      <c r="BA469" s="152" t="s">
        <v>4694</v>
      </c>
      <c r="BB469" s="152" t="s">
        <v>807</v>
      </c>
      <c r="BC469" s="1284" t="s">
        <v>4647</v>
      </c>
      <c r="BD469" s="158"/>
      <c r="BE469" s="158"/>
      <c r="BF469" s="158"/>
      <c r="BG469" s="158"/>
      <c r="BH469" s="158"/>
      <c r="BI469" s="158"/>
      <c r="BJ469" s="158"/>
      <c r="BK469" s="158"/>
      <c r="BL469" s="158"/>
      <c r="BM469" s="158"/>
      <c r="BN469" s="158"/>
      <c r="BO469" s="158"/>
      <c r="BP469" s="158"/>
    </row>
    <row r="470" spans="50:68" ht="19.5" customHeight="1">
      <c r="AX470" s="664" t="s">
        <v>4695</v>
      </c>
      <c r="AY470" s="151" t="s">
        <v>4448</v>
      </c>
      <c r="AZ470" s="151" t="s">
        <v>4138</v>
      </c>
      <c r="BA470" s="152" t="s">
        <v>4696</v>
      </c>
      <c r="BB470" s="152" t="s">
        <v>3333</v>
      </c>
      <c r="BC470" s="1284" t="s">
        <v>4697</v>
      </c>
      <c r="BD470" s="158"/>
      <c r="BE470" s="158"/>
      <c r="BF470" s="158"/>
      <c r="BG470" s="158"/>
      <c r="BH470" s="158"/>
      <c r="BI470" s="158"/>
      <c r="BJ470" s="158"/>
      <c r="BK470" s="158"/>
      <c r="BL470" s="158"/>
      <c r="BM470" s="158"/>
      <c r="BN470" s="158"/>
      <c r="BO470" s="158"/>
      <c r="BP470" s="158"/>
    </row>
    <row r="471" spans="50:68" ht="19.5" customHeight="1">
      <c r="AX471" s="664" t="s">
        <v>4695</v>
      </c>
      <c r="AY471" s="151" t="s">
        <v>4448</v>
      </c>
      <c r="AZ471" s="151" t="s">
        <v>4139</v>
      </c>
      <c r="BA471" s="152" t="s">
        <v>4698</v>
      </c>
      <c r="BB471" s="152" t="s">
        <v>3329</v>
      </c>
      <c r="BC471" s="1284" t="s">
        <v>4699</v>
      </c>
      <c r="BD471" s="158"/>
      <c r="BE471" s="158"/>
      <c r="BF471" s="158"/>
      <c r="BG471" s="158"/>
      <c r="BH471" s="158"/>
      <c r="BI471" s="158"/>
      <c r="BJ471" s="158"/>
      <c r="BK471" s="158"/>
      <c r="BL471" s="158"/>
      <c r="BM471" s="158"/>
      <c r="BN471" s="158"/>
      <c r="BO471" s="158"/>
      <c r="BP471" s="158"/>
    </row>
    <row r="472" spans="50:68" ht="19.5" customHeight="1">
      <c r="AX472" s="664" t="s">
        <v>4695</v>
      </c>
      <c r="AY472" s="151" t="s">
        <v>4448</v>
      </c>
      <c r="AZ472" s="151" t="s">
        <v>4140</v>
      </c>
      <c r="BA472" s="152" t="s">
        <v>4700</v>
      </c>
      <c r="BB472" s="152" t="s">
        <v>3338</v>
      </c>
      <c r="BC472" s="1284" t="s">
        <v>4701</v>
      </c>
      <c r="BD472" s="158"/>
      <c r="BE472" s="158"/>
      <c r="BF472" s="158"/>
      <c r="BG472" s="158"/>
      <c r="BH472" s="158"/>
      <c r="BI472" s="158"/>
      <c r="BJ472" s="158"/>
      <c r="BK472" s="158"/>
      <c r="BL472" s="158"/>
      <c r="BM472" s="158"/>
      <c r="BN472" s="158"/>
      <c r="BO472" s="158"/>
      <c r="BP472" s="158"/>
    </row>
    <row r="473" spans="50:68" ht="19.5" customHeight="1">
      <c r="AX473" s="664" t="s">
        <v>4695</v>
      </c>
      <c r="AY473" s="151" t="s">
        <v>4448</v>
      </c>
      <c r="AZ473" s="151" t="s">
        <v>4141</v>
      </c>
      <c r="BA473" s="152" t="s">
        <v>4702</v>
      </c>
      <c r="BB473" s="152" t="s">
        <v>3335</v>
      </c>
      <c r="BC473" s="1284" t="s">
        <v>4703</v>
      </c>
      <c r="BD473" s="158"/>
      <c r="BE473" s="158"/>
      <c r="BF473" s="158"/>
      <c r="BG473" s="158"/>
      <c r="BH473" s="158"/>
      <c r="BI473" s="158"/>
      <c r="BJ473" s="158"/>
      <c r="BK473" s="158"/>
      <c r="BL473" s="158"/>
      <c r="BM473" s="158"/>
      <c r="BN473" s="158"/>
      <c r="BO473" s="158"/>
      <c r="BP473" s="158"/>
    </row>
    <row r="474" spans="50:68" ht="19.5" customHeight="1">
      <c r="AX474" s="664" t="s">
        <v>4695</v>
      </c>
      <c r="AY474" s="151" t="s">
        <v>4448</v>
      </c>
      <c r="AZ474" s="151" t="s">
        <v>4142</v>
      </c>
      <c r="BA474" s="152" t="s">
        <v>4704</v>
      </c>
      <c r="BB474" s="152" t="s">
        <v>3332</v>
      </c>
      <c r="BC474" s="1284" t="s">
        <v>4705</v>
      </c>
      <c r="BD474" s="158"/>
      <c r="BE474" s="158"/>
      <c r="BF474" s="158"/>
      <c r="BG474" s="158"/>
      <c r="BH474" s="158"/>
      <c r="BI474" s="158"/>
      <c r="BJ474" s="158"/>
      <c r="BK474" s="158"/>
      <c r="BL474" s="158"/>
      <c r="BM474" s="158"/>
      <c r="BN474" s="158"/>
      <c r="BO474" s="158"/>
      <c r="BP474" s="158"/>
    </row>
    <row r="475" spans="50:68" ht="19.5" customHeight="1">
      <c r="AX475" s="664" t="s">
        <v>4695</v>
      </c>
      <c r="AY475" s="151" t="s">
        <v>4448</v>
      </c>
      <c r="AZ475" s="151" t="s">
        <v>4143</v>
      </c>
      <c r="BA475" s="152" t="s">
        <v>4706</v>
      </c>
      <c r="BB475" s="152" t="s">
        <v>3337</v>
      </c>
      <c r="BC475" s="1284" t="s">
        <v>4707</v>
      </c>
      <c r="BD475" s="158"/>
      <c r="BE475" s="158"/>
      <c r="BF475" s="158"/>
      <c r="BG475" s="158"/>
      <c r="BH475" s="158"/>
      <c r="BI475" s="158"/>
      <c r="BJ475" s="158"/>
      <c r="BK475" s="158"/>
      <c r="BL475" s="158"/>
      <c r="BM475" s="158"/>
      <c r="BN475" s="158"/>
      <c r="BO475" s="158"/>
      <c r="BP475" s="158"/>
    </row>
    <row r="476" spans="50:68" ht="19.5" customHeight="1">
      <c r="AX476" s="664" t="s">
        <v>4695</v>
      </c>
      <c r="AY476" s="151" t="s">
        <v>4448</v>
      </c>
      <c r="AZ476" s="151" t="s">
        <v>4144</v>
      </c>
      <c r="BA476" s="152" t="s">
        <v>4708</v>
      </c>
      <c r="BB476" s="152" t="s">
        <v>3335</v>
      </c>
      <c r="BC476" s="1284" t="s">
        <v>4709</v>
      </c>
      <c r="BD476" s="158"/>
      <c r="BE476" s="158"/>
      <c r="BF476" s="158"/>
      <c r="BG476" s="158"/>
      <c r="BH476" s="158"/>
      <c r="BI476" s="158"/>
      <c r="BJ476" s="158"/>
      <c r="BK476" s="158"/>
      <c r="BL476" s="158"/>
      <c r="BM476" s="158"/>
      <c r="BN476" s="158"/>
      <c r="BO476" s="158"/>
      <c r="BP476" s="158"/>
    </row>
    <row r="477" spans="50:68" ht="19.5" customHeight="1">
      <c r="AX477" s="664" t="s">
        <v>4695</v>
      </c>
      <c r="AY477" s="151" t="s">
        <v>4448</v>
      </c>
      <c r="AZ477" s="151" t="s">
        <v>4145</v>
      </c>
      <c r="BA477" s="152" t="s">
        <v>4710</v>
      </c>
      <c r="BB477" s="152" t="s">
        <v>3336</v>
      </c>
      <c r="BC477" s="1284" t="s">
        <v>4711</v>
      </c>
      <c r="BD477" s="158"/>
      <c r="BE477" s="158"/>
      <c r="BF477" s="158"/>
      <c r="BG477" s="158"/>
      <c r="BH477" s="158"/>
      <c r="BI477" s="158"/>
      <c r="BJ477" s="158"/>
      <c r="BK477" s="158"/>
      <c r="BL477" s="158"/>
      <c r="BM477" s="158"/>
      <c r="BN477" s="158"/>
      <c r="BO477" s="158"/>
      <c r="BP477" s="158"/>
    </row>
    <row r="478" spans="50:68" ht="19.5" customHeight="1">
      <c r="AX478" s="664" t="s">
        <v>4695</v>
      </c>
      <c r="AY478" s="151" t="s">
        <v>4448</v>
      </c>
      <c r="AZ478" s="151" t="s">
        <v>4712</v>
      </c>
      <c r="BA478" s="152" t="s">
        <v>4713</v>
      </c>
      <c r="BB478" s="152" t="s">
        <v>3334</v>
      </c>
      <c r="BC478" s="1284" t="s">
        <v>4714</v>
      </c>
      <c r="BD478" s="158"/>
      <c r="BE478" s="158"/>
      <c r="BF478" s="158"/>
      <c r="BG478" s="158"/>
      <c r="BH478" s="158"/>
      <c r="BI478" s="158"/>
      <c r="BJ478" s="158"/>
      <c r="BK478" s="158"/>
      <c r="BL478" s="158"/>
      <c r="BM478" s="158"/>
      <c r="BN478" s="158"/>
      <c r="BO478" s="158"/>
      <c r="BP478" s="158"/>
    </row>
    <row r="479" spans="50:68" ht="19.5" customHeight="1">
      <c r="AX479" s="664" t="s">
        <v>4695</v>
      </c>
      <c r="AY479" s="151" t="s">
        <v>4448</v>
      </c>
      <c r="AZ479" s="151" t="s">
        <v>4715</v>
      </c>
      <c r="BA479" s="152" t="s">
        <v>4716</v>
      </c>
      <c r="BB479" s="152" t="s">
        <v>800</v>
      </c>
      <c r="BC479" s="1284" t="s">
        <v>4717</v>
      </c>
      <c r="BD479" s="158"/>
      <c r="BE479" s="158"/>
      <c r="BF479" s="158"/>
      <c r="BG479" s="158"/>
      <c r="BH479" s="158"/>
      <c r="BI479" s="158"/>
      <c r="BJ479" s="158"/>
      <c r="BK479" s="158"/>
      <c r="BL479" s="158"/>
      <c r="BM479" s="158"/>
      <c r="BN479" s="158"/>
      <c r="BO479" s="158"/>
      <c r="BP479" s="158"/>
    </row>
    <row r="480" spans="50:68" ht="19.5" customHeight="1">
      <c r="AX480" s="664" t="s">
        <v>4718</v>
      </c>
      <c r="AY480" s="151" t="s">
        <v>4449</v>
      </c>
      <c r="AZ480" s="151" t="s">
        <v>4719</v>
      </c>
      <c r="BA480" s="152" t="s">
        <v>4720</v>
      </c>
      <c r="BB480" s="152" t="s">
        <v>3341</v>
      </c>
      <c r="BC480" s="1284" t="s">
        <v>4721</v>
      </c>
      <c r="BD480" s="158"/>
      <c r="BE480" s="158"/>
      <c r="BF480" s="158"/>
      <c r="BG480" s="158"/>
      <c r="BH480" s="158"/>
      <c r="BI480" s="158"/>
      <c r="BJ480" s="158"/>
      <c r="BK480" s="158"/>
      <c r="BL480" s="158"/>
      <c r="BM480" s="158"/>
      <c r="BN480" s="158"/>
      <c r="BO480" s="158"/>
      <c r="BP480" s="158"/>
    </row>
    <row r="481" spans="50:68" ht="19.5" customHeight="1">
      <c r="AX481" s="664" t="s">
        <v>4718</v>
      </c>
      <c r="AY481" s="151" t="s">
        <v>4449</v>
      </c>
      <c r="AZ481" s="151" t="s">
        <v>4722</v>
      </c>
      <c r="BA481" s="152" t="s">
        <v>4723</v>
      </c>
      <c r="BB481" s="152" t="s">
        <v>3340</v>
      </c>
      <c r="BC481" s="1284" t="s">
        <v>4724</v>
      </c>
      <c r="BD481" s="158"/>
      <c r="BE481" s="158"/>
      <c r="BF481" s="158"/>
      <c r="BG481" s="158"/>
      <c r="BH481" s="158"/>
      <c r="BI481" s="158"/>
      <c r="BJ481" s="158"/>
      <c r="BK481" s="158"/>
      <c r="BL481" s="158"/>
      <c r="BM481" s="158"/>
      <c r="BN481" s="158"/>
      <c r="BO481" s="158"/>
      <c r="BP481" s="158"/>
    </row>
    <row r="482" spans="50:68" ht="19.5" customHeight="1">
      <c r="AX482" s="664" t="s">
        <v>4718</v>
      </c>
      <c r="AY482" s="151" t="s">
        <v>4449</v>
      </c>
      <c r="AZ482" s="151" t="s">
        <v>4725</v>
      </c>
      <c r="BA482" s="152" t="s">
        <v>4726</v>
      </c>
      <c r="BB482" s="152" t="s">
        <v>3339</v>
      </c>
      <c r="BC482" s="1284" t="s">
        <v>4727</v>
      </c>
      <c r="BD482" s="158"/>
      <c r="BE482" s="158"/>
      <c r="BF482" s="158"/>
      <c r="BG482" s="158"/>
      <c r="BH482" s="158"/>
      <c r="BI482" s="158"/>
      <c r="BJ482" s="158"/>
      <c r="BK482" s="158"/>
      <c r="BL482" s="158"/>
      <c r="BM482" s="158"/>
      <c r="BN482" s="158"/>
      <c r="BO482" s="158"/>
      <c r="BP482" s="158"/>
    </row>
    <row r="483" spans="50:68" ht="19.5" customHeight="1">
      <c r="AX483" s="664" t="s">
        <v>4718</v>
      </c>
      <c r="AY483" s="151" t="s">
        <v>4449</v>
      </c>
      <c r="AZ483" s="151" t="s">
        <v>4728</v>
      </c>
      <c r="BA483" s="152" t="s">
        <v>4729</v>
      </c>
      <c r="BB483" s="152" t="s">
        <v>3342</v>
      </c>
      <c r="BC483" s="1284" t="s">
        <v>4730</v>
      </c>
      <c r="BD483" s="158"/>
      <c r="BE483" s="158"/>
      <c r="BF483" s="158"/>
      <c r="BG483" s="158"/>
      <c r="BH483" s="158"/>
      <c r="BI483" s="158"/>
      <c r="BJ483" s="158"/>
      <c r="BK483" s="158"/>
      <c r="BL483" s="158"/>
      <c r="BM483" s="158"/>
      <c r="BN483" s="158"/>
      <c r="BO483" s="158"/>
      <c r="BP483" s="158"/>
    </row>
    <row r="484" spans="50:68" ht="19.5" customHeight="1">
      <c r="AX484" s="664" t="s">
        <v>4718</v>
      </c>
      <c r="AY484" s="151" t="s">
        <v>4449</v>
      </c>
      <c r="AZ484" s="151" t="s">
        <v>4731</v>
      </c>
      <c r="BA484" s="152" t="s">
        <v>4732</v>
      </c>
      <c r="BB484" s="152" t="s">
        <v>796</v>
      </c>
      <c r="BC484" s="1284" t="s">
        <v>4733</v>
      </c>
      <c r="BD484" s="158"/>
      <c r="BE484" s="158"/>
      <c r="BF484" s="158"/>
      <c r="BG484" s="158"/>
      <c r="BH484" s="158"/>
      <c r="BI484" s="158"/>
      <c r="BJ484" s="158"/>
      <c r="BK484" s="158"/>
      <c r="BL484" s="158"/>
      <c r="BM484" s="158"/>
      <c r="BN484" s="158"/>
      <c r="BO484" s="158"/>
      <c r="BP484" s="158"/>
    </row>
    <row r="485" spans="50:68" ht="19.5" customHeight="1">
      <c r="AX485" s="664" t="s">
        <v>4734</v>
      </c>
      <c r="AY485" s="151" t="s">
        <v>4450</v>
      </c>
      <c r="AZ485" s="151" t="s">
        <v>4735</v>
      </c>
      <c r="BA485" s="152" t="s">
        <v>4736</v>
      </c>
      <c r="BB485" s="152" t="s">
        <v>3344</v>
      </c>
      <c r="BC485" s="1284" t="s">
        <v>4737</v>
      </c>
      <c r="BD485" s="158"/>
      <c r="BE485" s="158"/>
      <c r="BF485" s="158"/>
      <c r="BG485" s="158"/>
      <c r="BH485" s="158"/>
      <c r="BI485" s="158"/>
      <c r="BJ485" s="158"/>
      <c r="BK485" s="158"/>
      <c r="BL485" s="158"/>
      <c r="BM485" s="158"/>
      <c r="BN485" s="158"/>
      <c r="BO485" s="158"/>
      <c r="BP485" s="158"/>
    </row>
    <row r="486" spans="50:68" ht="19.5" customHeight="1">
      <c r="AX486" s="664" t="s">
        <v>4734</v>
      </c>
      <c r="AY486" s="151" t="s">
        <v>4450</v>
      </c>
      <c r="AZ486" s="151" t="s">
        <v>4738</v>
      </c>
      <c r="BA486" s="152" t="s">
        <v>4739</v>
      </c>
      <c r="BB486" s="152" t="s">
        <v>3343</v>
      </c>
      <c r="BC486" s="1284" t="s">
        <v>4740</v>
      </c>
      <c r="BD486" s="158"/>
      <c r="BE486" s="158"/>
      <c r="BF486" s="158"/>
      <c r="BG486" s="158"/>
      <c r="BH486" s="158"/>
      <c r="BI486" s="158"/>
      <c r="BJ486" s="158"/>
      <c r="BK486" s="158"/>
      <c r="BL486" s="158"/>
      <c r="BM486" s="158"/>
      <c r="BN486" s="158"/>
      <c r="BO486" s="158"/>
      <c r="BP486" s="158"/>
    </row>
    <row r="487" spans="50:68" ht="19.5" customHeight="1">
      <c r="AX487" s="664" t="s">
        <v>4734</v>
      </c>
      <c r="AY487" s="151" t="s">
        <v>4450</v>
      </c>
      <c r="AZ487" s="151" t="s">
        <v>4741</v>
      </c>
      <c r="BA487" s="152" t="s">
        <v>4742</v>
      </c>
      <c r="BB487" s="152" t="s">
        <v>813</v>
      </c>
      <c r="BC487" s="1284" t="s">
        <v>4660</v>
      </c>
      <c r="BD487" s="158"/>
      <c r="BE487" s="158"/>
      <c r="BF487" s="158"/>
      <c r="BG487" s="158"/>
      <c r="BH487" s="158"/>
      <c r="BI487" s="158"/>
      <c r="BJ487" s="158"/>
      <c r="BK487" s="158"/>
      <c r="BL487" s="158"/>
      <c r="BM487" s="158"/>
      <c r="BN487" s="158"/>
      <c r="BO487" s="158"/>
      <c r="BP487" s="158"/>
    </row>
    <row r="488" spans="50:68" ht="19.5" customHeight="1">
      <c r="AX488" s="664" t="s">
        <v>4734</v>
      </c>
      <c r="AY488" s="151" t="s">
        <v>4450</v>
      </c>
      <c r="AZ488" s="151" t="s">
        <v>4743</v>
      </c>
      <c r="BA488" s="152" t="s">
        <v>4744</v>
      </c>
      <c r="BB488" s="152" t="s">
        <v>801</v>
      </c>
      <c r="BC488" s="1284" t="s">
        <v>4745</v>
      </c>
      <c r="BD488" s="158"/>
      <c r="BE488" s="158"/>
      <c r="BF488" s="158"/>
      <c r="BG488" s="158"/>
      <c r="BH488" s="158"/>
      <c r="BI488" s="158"/>
      <c r="BJ488" s="158"/>
      <c r="BK488" s="158"/>
      <c r="BL488" s="158"/>
      <c r="BM488" s="158"/>
      <c r="BN488" s="158"/>
      <c r="BO488" s="158"/>
      <c r="BP488" s="158"/>
    </row>
    <row r="489" spans="50:68" ht="19.5" customHeight="1">
      <c r="AX489" s="664" t="s">
        <v>4746</v>
      </c>
      <c r="AY489" s="151" t="s">
        <v>3413</v>
      </c>
      <c r="AZ489" s="151" t="s">
        <v>4747</v>
      </c>
      <c r="BA489" s="152" t="s">
        <v>4748</v>
      </c>
      <c r="BB489" s="152" t="s">
        <v>3345</v>
      </c>
      <c r="BC489" s="1284" t="s">
        <v>4749</v>
      </c>
      <c r="BD489" s="158"/>
      <c r="BE489" s="158"/>
      <c r="BF489" s="158"/>
      <c r="BG489" s="158"/>
      <c r="BH489" s="158"/>
      <c r="BI489" s="158"/>
      <c r="BJ489" s="158"/>
      <c r="BK489" s="158"/>
      <c r="BL489" s="158"/>
      <c r="BM489" s="158"/>
      <c r="BN489" s="158"/>
      <c r="BO489" s="158"/>
      <c r="BP489" s="158"/>
    </row>
    <row r="490" spans="50:68" ht="19.5" customHeight="1">
      <c r="AX490" s="664" t="s">
        <v>4746</v>
      </c>
      <c r="AY490" s="151" t="s">
        <v>3413</v>
      </c>
      <c r="AZ490" s="151" t="s">
        <v>4750</v>
      </c>
      <c r="BA490" s="152" t="s">
        <v>4751</v>
      </c>
      <c r="BB490" s="152" t="s">
        <v>3345</v>
      </c>
      <c r="BC490" s="1284" t="s">
        <v>4749</v>
      </c>
      <c r="BD490" s="158"/>
      <c r="BE490" s="158"/>
      <c r="BF490" s="158"/>
      <c r="BG490" s="158"/>
      <c r="BH490" s="158"/>
      <c r="BI490" s="158"/>
      <c r="BJ490" s="158"/>
      <c r="BK490" s="158"/>
      <c r="BL490" s="158"/>
      <c r="BM490" s="158"/>
      <c r="BN490" s="158"/>
      <c r="BO490" s="158"/>
      <c r="BP490" s="158"/>
    </row>
    <row r="491" spans="50:68" ht="19.5" customHeight="1">
      <c r="AX491" s="664" t="s">
        <v>4746</v>
      </c>
      <c r="AY491" s="151" t="s">
        <v>3413</v>
      </c>
      <c r="AZ491" s="151" t="s">
        <v>4752</v>
      </c>
      <c r="BA491" s="152" t="s">
        <v>4753</v>
      </c>
      <c r="BB491" s="152" t="s">
        <v>3345</v>
      </c>
      <c r="BC491" s="1284" t="s">
        <v>4749</v>
      </c>
      <c r="BD491" s="158"/>
      <c r="BE491" s="158"/>
      <c r="BF491" s="158"/>
      <c r="BG491" s="158"/>
      <c r="BH491" s="158"/>
      <c r="BI491" s="158"/>
      <c r="BJ491" s="158"/>
      <c r="BK491" s="158"/>
      <c r="BL491" s="158"/>
      <c r="BM491" s="158"/>
      <c r="BN491" s="158"/>
      <c r="BO491" s="158"/>
      <c r="BP491" s="158"/>
    </row>
    <row r="492" spans="50:68" ht="19.5" customHeight="1">
      <c r="AX492" s="664" t="s">
        <v>4746</v>
      </c>
      <c r="AY492" s="151" t="s">
        <v>3413</v>
      </c>
      <c r="AZ492" s="151" t="s">
        <v>4754</v>
      </c>
      <c r="BA492" s="152" t="s">
        <v>4755</v>
      </c>
      <c r="BB492" s="152" t="s">
        <v>3345</v>
      </c>
      <c r="BC492" s="1284" t="s">
        <v>4749</v>
      </c>
      <c r="BD492" s="158"/>
      <c r="BE492" s="158"/>
      <c r="BF492" s="158"/>
      <c r="BG492" s="158"/>
      <c r="BH492" s="158"/>
      <c r="BI492" s="158"/>
      <c r="BJ492" s="158"/>
      <c r="BK492" s="158"/>
      <c r="BL492" s="158"/>
      <c r="BM492" s="158"/>
      <c r="BN492" s="158"/>
      <c r="BO492" s="158"/>
      <c r="BP492" s="158"/>
    </row>
    <row r="493" spans="50:68" ht="19.5" customHeight="1">
      <c r="AX493" s="664" t="s">
        <v>4746</v>
      </c>
      <c r="AY493" s="151" t="s">
        <v>3413</v>
      </c>
      <c r="AZ493" s="151" t="s">
        <v>4756</v>
      </c>
      <c r="BA493" s="152" t="s">
        <v>4757</v>
      </c>
      <c r="BB493" s="152" t="s">
        <v>3347</v>
      </c>
      <c r="BC493" s="1284" t="s">
        <v>4758</v>
      </c>
      <c r="BD493" s="158"/>
      <c r="BE493" s="158"/>
      <c r="BF493" s="158"/>
      <c r="BG493" s="158"/>
      <c r="BH493" s="158"/>
      <c r="BI493" s="158"/>
      <c r="BJ493" s="158"/>
      <c r="BK493" s="158"/>
      <c r="BL493" s="158"/>
      <c r="BM493" s="158"/>
      <c r="BN493" s="158"/>
      <c r="BO493" s="158"/>
      <c r="BP493" s="158"/>
    </row>
    <row r="494" spans="50:68" ht="19.5" customHeight="1">
      <c r="AX494" s="664" t="s">
        <v>4746</v>
      </c>
      <c r="AY494" s="151" t="s">
        <v>3413</v>
      </c>
      <c r="AZ494" s="151" t="s">
        <v>4759</v>
      </c>
      <c r="BA494" s="152" t="s">
        <v>4760</v>
      </c>
      <c r="BB494" s="152" t="s">
        <v>3346</v>
      </c>
      <c r="BC494" s="1284" t="s">
        <v>4761</v>
      </c>
      <c r="BD494" s="158"/>
      <c r="BE494" s="158"/>
      <c r="BF494" s="158"/>
      <c r="BG494" s="158"/>
      <c r="BH494" s="158"/>
      <c r="BI494" s="158"/>
      <c r="BJ494" s="158"/>
      <c r="BK494" s="158"/>
      <c r="BL494" s="158"/>
      <c r="BM494" s="158"/>
      <c r="BN494" s="158"/>
      <c r="BO494" s="158"/>
      <c r="BP494" s="158"/>
    </row>
    <row r="495" spans="50:68" ht="19.5" customHeight="1">
      <c r="AX495" s="664" t="s">
        <v>4762</v>
      </c>
      <c r="AY495" s="151" t="s">
        <v>4451</v>
      </c>
      <c r="AZ495" s="151" t="s">
        <v>4763</v>
      </c>
      <c r="BA495" s="152" t="s">
        <v>4764</v>
      </c>
      <c r="BB495" s="152" t="s">
        <v>4765</v>
      </c>
      <c r="BC495" s="1284" t="s">
        <v>4766</v>
      </c>
      <c r="BD495" s="158"/>
      <c r="BE495" s="158"/>
      <c r="BF495" s="158"/>
      <c r="BG495" s="158"/>
      <c r="BH495" s="158"/>
      <c r="BI495" s="158"/>
      <c r="BJ495" s="158"/>
      <c r="BK495" s="158"/>
      <c r="BL495" s="158"/>
      <c r="BM495" s="158"/>
      <c r="BN495" s="158"/>
      <c r="BO495" s="158"/>
      <c r="BP495" s="158"/>
    </row>
    <row r="496" spans="50:68" ht="19.5" customHeight="1">
      <c r="AX496" s="664" t="s">
        <v>4762</v>
      </c>
      <c r="AY496" s="151" t="s">
        <v>4451</v>
      </c>
      <c r="AZ496" s="151" t="s">
        <v>4767</v>
      </c>
      <c r="BA496" s="152" t="s">
        <v>4768</v>
      </c>
      <c r="BB496" s="152" t="s">
        <v>4769</v>
      </c>
      <c r="BC496" s="1284" t="s">
        <v>4770</v>
      </c>
      <c r="BD496" s="158"/>
      <c r="BE496" s="158"/>
      <c r="BF496" s="158"/>
      <c r="BG496" s="158"/>
      <c r="BH496" s="158"/>
      <c r="BI496" s="158"/>
      <c r="BJ496" s="158"/>
      <c r="BK496" s="158"/>
      <c r="BL496" s="158"/>
      <c r="BM496" s="158"/>
      <c r="BN496" s="158"/>
      <c r="BO496" s="158"/>
      <c r="BP496" s="158"/>
    </row>
    <row r="497" spans="50:68" ht="19.5" customHeight="1">
      <c r="AX497" s="664" t="s">
        <v>4762</v>
      </c>
      <c r="AY497" s="151" t="s">
        <v>4451</v>
      </c>
      <c r="AZ497" s="151" t="s">
        <v>4771</v>
      </c>
      <c r="BA497" s="152" t="s">
        <v>4772</v>
      </c>
      <c r="BB497" s="152" t="s">
        <v>4097</v>
      </c>
      <c r="BC497" s="1284" t="s">
        <v>991</v>
      </c>
      <c r="BD497" s="158"/>
      <c r="BE497" s="158"/>
      <c r="BF497" s="158"/>
      <c r="BG497" s="158"/>
      <c r="BH497" s="158"/>
      <c r="BI497" s="158"/>
      <c r="BJ497" s="158"/>
      <c r="BK497" s="158"/>
      <c r="BL497" s="158"/>
      <c r="BM497" s="158"/>
      <c r="BN497" s="158"/>
      <c r="BO497" s="158"/>
      <c r="BP497" s="158"/>
    </row>
    <row r="498" spans="50:68" ht="19.5" customHeight="1">
      <c r="AX498" s="664" t="s">
        <v>4762</v>
      </c>
      <c r="AY498" s="151" t="s">
        <v>4451</v>
      </c>
      <c r="AZ498" s="151" t="s">
        <v>4773</v>
      </c>
      <c r="BA498" s="152" t="s">
        <v>4774</v>
      </c>
      <c r="BB498" s="152" t="s">
        <v>798</v>
      </c>
      <c r="BC498" s="1284" t="s">
        <v>4775</v>
      </c>
      <c r="BD498" s="158"/>
      <c r="BE498" s="158"/>
      <c r="BF498" s="158"/>
      <c r="BG498" s="158"/>
      <c r="BH498" s="158"/>
      <c r="BI498" s="158"/>
      <c r="BJ498" s="158"/>
      <c r="BK498" s="158"/>
      <c r="BL498" s="158"/>
      <c r="BM498" s="158"/>
      <c r="BN498" s="158"/>
      <c r="BO498" s="158"/>
      <c r="BP498" s="158"/>
    </row>
    <row r="499" spans="50:68" ht="19.5" customHeight="1">
      <c r="AX499" s="664" t="s">
        <v>4762</v>
      </c>
      <c r="AY499" s="151" t="s">
        <v>4451</v>
      </c>
      <c r="AZ499" s="151" t="s">
        <v>4776</v>
      </c>
      <c r="BA499" s="152" t="s">
        <v>4777</v>
      </c>
      <c r="BB499" s="152" t="s">
        <v>4778</v>
      </c>
      <c r="BC499" s="1284" t="s">
        <v>4779</v>
      </c>
      <c r="BD499" s="158"/>
      <c r="BE499" s="158"/>
      <c r="BF499" s="158"/>
      <c r="BG499" s="158"/>
      <c r="BH499" s="158"/>
      <c r="BI499" s="158"/>
      <c r="BJ499" s="158"/>
      <c r="BK499" s="158"/>
      <c r="BL499" s="158"/>
      <c r="BM499" s="158"/>
      <c r="BN499" s="158"/>
      <c r="BO499" s="158"/>
      <c r="BP499" s="158"/>
    </row>
    <row r="500" spans="50:68" ht="19.5" customHeight="1">
      <c r="AX500" s="664" t="s">
        <v>4762</v>
      </c>
      <c r="AY500" s="151" t="s">
        <v>4451</v>
      </c>
      <c r="AZ500" s="151" t="s">
        <v>4780</v>
      </c>
      <c r="BA500" s="152" t="s">
        <v>1742</v>
      </c>
      <c r="BB500" s="152" t="s">
        <v>4781</v>
      </c>
      <c r="BC500" s="1284" t="s">
        <v>4782</v>
      </c>
      <c r="BD500" s="158"/>
      <c r="BE500" s="158"/>
      <c r="BF500" s="158"/>
      <c r="BG500" s="158"/>
      <c r="BH500" s="158"/>
      <c r="BI500" s="158"/>
      <c r="BJ500" s="158"/>
      <c r="BK500" s="158"/>
      <c r="BL500" s="158"/>
      <c r="BM500" s="158"/>
      <c r="BN500" s="158"/>
      <c r="BO500" s="158"/>
      <c r="BP500" s="158"/>
    </row>
    <row r="501" spans="50:68" ht="19.5" customHeight="1">
      <c r="AX501" s="664" t="s">
        <v>4762</v>
      </c>
      <c r="AY501" s="151" t="s">
        <v>4451</v>
      </c>
      <c r="AZ501" s="151" t="s">
        <v>4783</v>
      </c>
      <c r="BA501" s="152" t="s">
        <v>4784</v>
      </c>
      <c r="BB501" s="152" t="s">
        <v>4785</v>
      </c>
      <c r="BC501" s="1284" t="s">
        <v>4786</v>
      </c>
      <c r="BD501" s="158"/>
      <c r="BE501" s="158"/>
      <c r="BF501" s="158"/>
      <c r="BG501" s="158"/>
      <c r="BH501" s="158"/>
      <c r="BI501" s="158"/>
      <c r="BJ501" s="158"/>
      <c r="BK501" s="158"/>
      <c r="BL501" s="158"/>
      <c r="BM501" s="158"/>
      <c r="BN501" s="158"/>
      <c r="BO501" s="158"/>
      <c r="BP501" s="158"/>
    </row>
    <row r="502" spans="50:68" ht="19.5" customHeight="1">
      <c r="AX502" s="664" t="s">
        <v>4762</v>
      </c>
      <c r="AY502" s="151" t="s">
        <v>4451</v>
      </c>
      <c r="AZ502" s="151" t="s">
        <v>4787</v>
      </c>
      <c r="BA502" s="152" t="s">
        <v>1682</v>
      </c>
      <c r="BB502" s="152" t="s">
        <v>4788</v>
      </c>
      <c r="BC502" s="1284" t="s">
        <v>4789</v>
      </c>
      <c r="BD502" s="158"/>
      <c r="BE502" s="158"/>
      <c r="BF502" s="158"/>
      <c r="BG502" s="158"/>
      <c r="BH502" s="158"/>
      <c r="BI502" s="158"/>
      <c r="BJ502" s="158"/>
      <c r="BK502" s="158"/>
      <c r="BL502" s="158"/>
      <c r="BM502" s="158"/>
      <c r="BN502" s="158"/>
      <c r="BO502" s="158"/>
      <c r="BP502" s="158"/>
    </row>
    <row r="503" spans="50:68" ht="19.5" customHeight="1">
      <c r="AX503" s="664" t="s">
        <v>4762</v>
      </c>
      <c r="AY503" s="151" t="s">
        <v>4451</v>
      </c>
      <c r="AZ503" s="151" t="s">
        <v>4790</v>
      </c>
      <c r="BA503" s="152" t="s">
        <v>4791</v>
      </c>
      <c r="BB503" s="152" t="s">
        <v>4792</v>
      </c>
      <c r="BC503" s="1284" t="s">
        <v>4793</v>
      </c>
      <c r="BD503" s="158"/>
      <c r="BE503" s="158"/>
      <c r="BF503" s="158"/>
      <c r="BG503" s="158"/>
      <c r="BH503" s="158"/>
      <c r="BI503" s="158"/>
      <c r="BJ503" s="158"/>
      <c r="BK503" s="158"/>
      <c r="BL503" s="158"/>
      <c r="BM503" s="158"/>
      <c r="BN503" s="158"/>
      <c r="BO503" s="158"/>
      <c r="BP503" s="158"/>
    </row>
    <row r="504" spans="50:68" ht="19.5" customHeight="1">
      <c r="AX504" s="664" t="s">
        <v>4794</v>
      </c>
      <c r="AY504" s="151" t="s">
        <v>4452</v>
      </c>
      <c r="AZ504" s="151" t="s">
        <v>4795</v>
      </c>
      <c r="BA504" s="152" t="s">
        <v>4796</v>
      </c>
      <c r="BB504" s="152" t="s">
        <v>3326</v>
      </c>
      <c r="BC504" s="1284" t="s">
        <v>4665</v>
      </c>
      <c r="BD504" s="158"/>
      <c r="BE504" s="158"/>
      <c r="BF504" s="158"/>
      <c r="BG504" s="158"/>
      <c r="BH504" s="158"/>
      <c r="BI504" s="158"/>
      <c r="BJ504" s="158"/>
      <c r="BK504" s="158"/>
      <c r="BL504" s="158"/>
      <c r="BM504" s="158"/>
      <c r="BN504" s="158"/>
      <c r="BO504" s="158"/>
      <c r="BP504" s="158"/>
    </row>
    <row r="505" spans="50:68" ht="19.5" customHeight="1">
      <c r="AX505" s="664" t="s">
        <v>4794</v>
      </c>
      <c r="AY505" s="151" t="s">
        <v>4452</v>
      </c>
      <c r="AZ505" s="151" t="s">
        <v>4797</v>
      </c>
      <c r="BA505" s="152" t="s">
        <v>4798</v>
      </c>
      <c r="BB505" s="152" t="s">
        <v>4097</v>
      </c>
      <c r="BC505" s="1284" t="s">
        <v>991</v>
      </c>
      <c r="BD505" s="158"/>
      <c r="BE505" s="158"/>
      <c r="BF505" s="158"/>
      <c r="BG505" s="158"/>
      <c r="BH505" s="158"/>
      <c r="BI505" s="158"/>
      <c r="BJ505" s="158"/>
      <c r="BK505" s="158"/>
      <c r="BL505" s="158"/>
      <c r="BM505" s="158"/>
      <c r="BN505" s="158"/>
      <c r="BO505" s="158"/>
      <c r="BP505" s="158"/>
    </row>
    <row r="506" spans="50:68" ht="19.5" customHeight="1">
      <c r="AX506" s="664" t="s">
        <v>4794</v>
      </c>
      <c r="AY506" s="151" t="s">
        <v>4452</v>
      </c>
      <c r="AZ506" s="151" t="s">
        <v>4799</v>
      </c>
      <c r="BA506" s="152" t="s">
        <v>4800</v>
      </c>
      <c r="BB506" s="152" t="s">
        <v>4097</v>
      </c>
      <c r="BC506" s="1284" t="s">
        <v>991</v>
      </c>
      <c r="BD506" s="158"/>
      <c r="BE506" s="158"/>
      <c r="BF506" s="158"/>
      <c r="BG506" s="158"/>
      <c r="BH506" s="158"/>
      <c r="BI506" s="158"/>
      <c r="BJ506" s="158"/>
      <c r="BK506" s="158"/>
      <c r="BL506" s="158"/>
      <c r="BM506" s="158"/>
      <c r="BN506" s="158"/>
      <c r="BO506" s="158"/>
      <c r="BP506" s="158"/>
    </row>
    <row r="507" spans="50:68" ht="19.5" customHeight="1">
      <c r="AX507" s="664" t="s">
        <v>4794</v>
      </c>
      <c r="AY507" s="151" t="s">
        <v>4452</v>
      </c>
      <c r="AZ507" s="151" t="s">
        <v>4801</v>
      </c>
      <c r="BA507" s="152" t="s">
        <v>4802</v>
      </c>
      <c r="BB507" s="152" t="s">
        <v>4097</v>
      </c>
      <c r="BC507" s="1284" t="s">
        <v>991</v>
      </c>
      <c r="BD507" s="158"/>
      <c r="BE507" s="158"/>
      <c r="BF507" s="158"/>
      <c r="BG507" s="158"/>
      <c r="BH507" s="158"/>
      <c r="BI507" s="158"/>
      <c r="BJ507" s="158"/>
      <c r="BK507" s="158"/>
      <c r="BL507" s="158"/>
      <c r="BM507" s="158"/>
      <c r="BN507" s="158"/>
      <c r="BO507" s="158"/>
      <c r="BP507" s="158"/>
    </row>
    <row r="508" spans="50:68" ht="19.5" customHeight="1">
      <c r="AX508" s="664" t="s">
        <v>4794</v>
      </c>
      <c r="AY508" s="151" t="s">
        <v>4452</v>
      </c>
      <c r="AZ508" s="151" t="s">
        <v>4803</v>
      </c>
      <c r="BA508" s="152" t="s">
        <v>4804</v>
      </c>
      <c r="BB508" s="152" t="s">
        <v>803</v>
      </c>
      <c r="BC508" s="1284" t="s">
        <v>4805</v>
      </c>
      <c r="BD508" s="158"/>
      <c r="BE508" s="158"/>
      <c r="BF508" s="158"/>
      <c r="BG508" s="158"/>
      <c r="BH508" s="158"/>
      <c r="BI508" s="158"/>
      <c r="BJ508" s="158"/>
      <c r="BK508" s="158"/>
      <c r="BL508" s="158"/>
      <c r="BM508" s="158"/>
      <c r="BN508" s="158"/>
      <c r="BO508" s="158"/>
      <c r="BP508" s="158"/>
    </row>
    <row r="509" spans="50:68" ht="19.5" customHeight="1">
      <c r="AX509" s="664" t="s">
        <v>4794</v>
      </c>
      <c r="AY509" s="151" t="s">
        <v>4452</v>
      </c>
      <c r="AZ509" s="151" t="s">
        <v>4806</v>
      </c>
      <c r="BA509" s="152" t="s">
        <v>4807</v>
      </c>
      <c r="BB509" s="152" t="s">
        <v>4097</v>
      </c>
      <c r="BC509" s="1284" t="s">
        <v>991</v>
      </c>
      <c r="BD509" s="158"/>
      <c r="BE509" s="158"/>
      <c r="BF509" s="158"/>
      <c r="BG509" s="158"/>
      <c r="BH509" s="158"/>
      <c r="BI509" s="158"/>
      <c r="BJ509" s="158"/>
      <c r="BK509" s="158"/>
      <c r="BL509" s="158"/>
      <c r="BM509" s="158"/>
      <c r="BN509" s="158"/>
      <c r="BO509" s="158"/>
      <c r="BP509" s="158"/>
    </row>
    <row r="510" spans="50:68" ht="19.5" customHeight="1">
      <c r="AX510" s="664" t="s">
        <v>4808</v>
      </c>
      <c r="AY510" s="151" t="s">
        <v>4453</v>
      </c>
      <c r="AZ510" s="151" t="s">
        <v>4809</v>
      </c>
      <c r="BA510" s="152" t="s">
        <v>4810</v>
      </c>
      <c r="BB510" s="152" t="s">
        <v>4811</v>
      </c>
      <c r="BC510" s="1284" t="s">
        <v>4812</v>
      </c>
      <c r="BD510" s="158"/>
      <c r="BE510" s="158"/>
      <c r="BF510" s="158"/>
      <c r="BG510" s="158"/>
      <c r="BH510" s="158"/>
      <c r="BI510" s="158"/>
      <c r="BJ510" s="158"/>
      <c r="BK510" s="158"/>
      <c r="BL510" s="158"/>
      <c r="BM510" s="158"/>
      <c r="BN510" s="158"/>
      <c r="BO510" s="158"/>
      <c r="BP510" s="158"/>
    </row>
    <row r="511" spans="50:68" ht="19.5" customHeight="1">
      <c r="AX511" s="664" t="s">
        <v>4808</v>
      </c>
      <c r="AY511" s="151" t="s">
        <v>4453</v>
      </c>
      <c r="AZ511" s="151" t="s">
        <v>4813</v>
      </c>
      <c r="BA511" s="152" t="s">
        <v>4814</v>
      </c>
      <c r="BB511" s="152" t="s">
        <v>4815</v>
      </c>
      <c r="BC511" s="1284" t="s">
        <v>4816</v>
      </c>
      <c r="BD511" s="158"/>
      <c r="BE511" s="158"/>
      <c r="BF511" s="158"/>
      <c r="BG511" s="158"/>
      <c r="BH511" s="158"/>
      <c r="BI511" s="158"/>
      <c r="BJ511" s="158"/>
      <c r="BK511" s="158"/>
      <c r="BL511" s="158"/>
      <c r="BM511" s="158"/>
      <c r="BN511" s="158"/>
      <c r="BO511" s="158"/>
      <c r="BP511" s="158"/>
    </row>
    <row r="512" spans="50:68" ht="19.5" customHeight="1">
      <c r="AX512" s="664" t="s">
        <v>4808</v>
      </c>
      <c r="AY512" s="151" t="s">
        <v>4453</v>
      </c>
      <c r="AZ512" s="151" t="s">
        <v>4817</v>
      </c>
      <c r="BA512" s="152" t="s">
        <v>4818</v>
      </c>
      <c r="BB512" s="152" t="s">
        <v>4097</v>
      </c>
      <c r="BC512" s="1284" t="s">
        <v>991</v>
      </c>
      <c r="BD512" s="158"/>
      <c r="BE512" s="158"/>
      <c r="BF512" s="158"/>
      <c r="BG512" s="158"/>
      <c r="BH512" s="158"/>
      <c r="BI512" s="158"/>
      <c r="BJ512" s="158"/>
      <c r="BK512" s="158"/>
      <c r="BL512" s="158"/>
      <c r="BM512" s="158"/>
      <c r="BN512" s="158"/>
      <c r="BO512" s="158"/>
      <c r="BP512" s="158"/>
    </row>
    <row r="513" spans="50:68" ht="19.5" customHeight="1">
      <c r="AX513" s="664" t="s">
        <v>4808</v>
      </c>
      <c r="AY513" s="151" t="s">
        <v>4453</v>
      </c>
      <c r="AZ513" s="151" t="s">
        <v>4819</v>
      </c>
      <c r="BA513" s="152" t="s">
        <v>4820</v>
      </c>
      <c r="BB513" s="152" t="s">
        <v>4097</v>
      </c>
      <c r="BC513" s="1284" t="s">
        <v>991</v>
      </c>
      <c r="BD513" s="158"/>
      <c r="BE513" s="158"/>
      <c r="BF513" s="158"/>
      <c r="BG513" s="158"/>
      <c r="BH513" s="158"/>
      <c r="BI513" s="158"/>
      <c r="BJ513" s="158"/>
      <c r="BK513" s="158"/>
      <c r="BL513" s="158"/>
      <c r="BM513" s="158"/>
      <c r="BN513" s="158"/>
      <c r="BO513" s="158"/>
      <c r="BP513" s="158"/>
    </row>
    <row r="514" spans="50:68" ht="19.5" customHeight="1">
      <c r="AX514" s="664" t="s">
        <v>4821</v>
      </c>
      <c r="AY514" s="151" t="s">
        <v>4454</v>
      </c>
      <c r="AZ514" s="151" t="s">
        <v>4822</v>
      </c>
      <c r="BA514" s="152" t="s">
        <v>4823</v>
      </c>
      <c r="BB514" s="152" t="s">
        <v>1258</v>
      </c>
      <c r="BC514" s="1284" t="s">
        <v>4824</v>
      </c>
      <c r="BD514" s="158"/>
      <c r="BE514" s="158"/>
      <c r="BF514" s="158"/>
      <c r="BG514" s="158"/>
      <c r="BH514" s="158"/>
      <c r="BI514" s="158"/>
      <c r="BJ514" s="158"/>
      <c r="BK514" s="158"/>
      <c r="BL514" s="158"/>
      <c r="BM514" s="158"/>
      <c r="BN514" s="158"/>
      <c r="BO514" s="158"/>
      <c r="BP514" s="158"/>
    </row>
    <row r="515" spans="50:68" ht="19.5" customHeight="1">
      <c r="AX515" s="664" t="s">
        <v>4821</v>
      </c>
      <c r="AY515" s="151" t="s">
        <v>4454</v>
      </c>
      <c r="AZ515" s="151" t="s">
        <v>4825</v>
      </c>
      <c r="BA515" s="152" t="s">
        <v>4826</v>
      </c>
      <c r="BB515" s="152" t="s">
        <v>3333</v>
      </c>
      <c r="BC515" s="1284" t="s">
        <v>4827</v>
      </c>
      <c r="BD515" s="158"/>
      <c r="BE515" s="158"/>
      <c r="BF515" s="158"/>
      <c r="BG515" s="158"/>
      <c r="BH515" s="158"/>
      <c r="BI515" s="158"/>
      <c r="BJ515" s="158"/>
      <c r="BK515" s="158"/>
      <c r="BL515" s="158"/>
      <c r="BM515" s="158"/>
      <c r="BN515" s="158"/>
      <c r="BO515" s="158"/>
      <c r="BP515" s="158"/>
    </row>
    <row r="516" spans="50:68" ht="19.5" customHeight="1">
      <c r="AX516" s="664" t="s">
        <v>4821</v>
      </c>
      <c r="AY516" s="151" t="s">
        <v>4454</v>
      </c>
      <c r="AZ516" s="151" t="s">
        <v>4828</v>
      </c>
      <c r="BA516" s="152" t="s">
        <v>4829</v>
      </c>
      <c r="BB516" s="152" t="s">
        <v>4830</v>
      </c>
      <c r="BC516" s="1284" t="s">
        <v>4831</v>
      </c>
      <c r="BD516" s="158"/>
      <c r="BE516" s="158"/>
      <c r="BF516" s="158"/>
      <c r="BG516" s="158"/>
      <c r="BH516" s="158"/>
      <c r="BI516" s="158"/>
      <c r="BJ516" s="158"/>
      <c r="BK516" s="158"/>
      <c r="BL516" s="158"/>
      <c r="BM516" s="158"/>
      <c r="BN516" s="158"/>
      <c r="BO516" s="158"/>
      <c r="BP516" s="158"/>
    </row>
    <row r="517" spans="50:68" ht="19.5" customHeight="1">
      <c r="AX517" s="664" t="s">
        <v>4821</v>
      </c>
      <c r="AY517" s="151" t="s">
        <v>4454</v>
      </c>
      <c r="AZ517" s="151" t="s">
        <v>4832</v>
      </c>
      <c r="BA517" s="152" t="s">
        <v>4833</v>
      </c>
      <c r="BB517" s="152" t="s">
        <v>4834</v>
      </c>
      <c r="BC517" s="1284" t="s">
        <v>4835</v>
      </c>
      <c r="BD517" s="158"/>
      <c r="BE517" s="158"/>
      <c r="BF517" s="158"/>
      <c r="BG517" s="158"/>
      <c r="BH517" s="158"/>
      <c r="BI517" s="158"/>
      <c r="BJ517" s="158"/>
      <c r="BK517" s="158"/>
      <c r="BL517" s="158"/>
      <c r="BM517" s="158"/>
      <c r="BN517" s="158"/>
      <c r="BO517" s="158"/>
      <c r="BP517" s="158"/>
    </row>
    <row r="518" spans="50:68" ht="19.5" customHeight="1">
      <c r="AX518" s="664" t="s">
        <v>4821</v>
      </c>
      <c r="AY518" s="151" t="s">
        <v>4454</v>
      </c>
      <c r="AZ518" s="151" t="s">
        <v>4836</v>
      </c>
      <c r="BA518" s="152" t="s">
        <v>4837</v>
      </c>
      <c r="BB518" s="152" t="s">
        <v>1258</v>
      </c>
      <c r="BC518" s="1284" t="s">
        <v>4838</v>
      </c>
      <c r="BD518" s="158"/>
      <c r="BE518" s="158"/>
      <c r="BF518" s="158"/>
      <c r="BG518" s="158"/>
      <c r="BH518" s="158"/>
      <c r="BI518" s="158"/>
      <c r="BJ518" s="158"/>
      <c r="BK518" s="158"/>
      <c r="BL518" s="158"/>
      <c r="BM518" s="158"/>
      <c r="BN518" s="158"/>
      <c r="BO518" s="158"/>
      <c r="BP518" s="158"/>
    </row>
    <row r="519" spans="50:68" ht="19.5" customHeight="1">
      <c r="AX519" s="787" t="s">
        <v>4821</v>
      </c>
      <c r="AY519" s="1285" t="s">
        <v>4454</v>
      </c>
      <c r="AZ519" s="1285" t="s">
        <v>4839</v>
      </c>
      <c r="BA519" s="791" t="s">
        <v>4840</v>
      </c>
      <c r="BB519" s="791" t="s">
        <v>803</v>
      </c>
      <c r="BC519" s="1286" t="s">
        <v>4805</v>
      </c>
      <c r="BD519" s="158"/>
      <c r="BE519" s="158"/>
      <c r="BF519" s="158"/>
      <c r="BG519" s="158"/>
      <c r="BH519" s="158"/>
      <c r="BI519" s="158"/>
      <c r="BJ519" s="158"/>
      <c r="BK519" s="158"/>
      <c r="BL519" s="158"/>
      <c r="BM519" s="158"/>
      <c r="BN519" s="158"/>
      <c r="BO519" s="158"/>
      <c r="BP519" s="158"/>
    </row>
    <row r="520" spans="50:68" ht="19.5" customHeight="1">
      <c r="AX520" s="166" t="s">
        <v>5133</v>
      </c>
      <c r="AY520" s="166" t="s">
        <v>5134</v>
      </c>
      <c r="AZ520" s="166" t="s">
        <v>5135</v>
      </c>
      <c r="BA520" s="158" t="s">
        <v>5136</v>
      </c>
      <c r="BB520" s="158" t="s">
        <v>5137</v>
      </c>
      <c r="BC520" s="158" t="s">
        <v>5138</v>
      </c>
      <c r="BD520" s="158" t="s">
        <v>5139</v>
      </c>
      <c r="BE520" s="158" t="s">
        <v>5140</v>
      </c>
      <c r="BF520" s="158" t="s">
        <v>5141</v>
      </c>
      <c r="BG520" s="158" t="s">
        <v>5142</v>
      </c>
      <c r="BH520" s="158" t="s">
        <v>5143</v>
      </c>
      <c r="BI520" s="158" t="s">
        <v>5144</v>
      </c>
      <c r="BJ520" s="158" t="s">
        <v>5145</v>
      </c>
      <c r="BK520" s="158" t="s">
        <v>5146</v>
      </c>
      <c r="BL520" s="158" t="s">
        <v>5147</v>
      </c>
      <c r="BM520" s="158" t="s">
        <v>5148</v>
      </c>
      <c r="BN520" s="158" t="s">
        <v>5149</v>
      </c>
    </row>
    <row r="521" spans="50:68" ht="19.5" customHeight="1">
      <c r="AX521" s="166" t="s">
        <v>5150</v>
      </c>
      <c r="AY521" s="166"/>
      <c r="AZ521" s="166"/>
      <c r="BA521" s="158"/>
      <c r="BB521" s="158"/>
      <c r="BC521" s="158"/>
      <c r="BD521" s="158"/>
      <c r="BE521" s="158"/>
      <c r="BF521" s="158"/>
      <c r="BG521" s="158"/>
      <c r="BH521" s="158"/>
      <c r="BI521" s="158"/>
      <c r="BJ521" s="158"/>
      <c r="BK521" s="158"/>
      <c r="BL521" s="158"/>
      <c r="BM521" s="158"/>
      <c r="BN521" s="158"/>
    </row>
    <row r="522" spans="50:68" ht="19.5" customHeight="1">
      <c r="AX522" s="972" t="s">
        <v>5151</v>
      </c>
      <c r="AY522" s="972" t="s">
        <v>5152</v>
      </c>
      <c r="AZ522" s="972" t="s">
        <v>5153</v>
      </c>
      <c r="BA522" s="974" t="s">
        <v>5154</v>
      </c>
      <c r="BB522" s="974" t="s">
        <v>5155</v>
      </c>
      <c r="BC522" s="974" t="s">
        <v>5156</v>
      </c>
      <c r="BD522" s="974" t="s">
        <v>5157</v>
      </c>
      <c r="BE522" s="974" t="s">
        <v>5158</v>
      </c>
      <c r="BF522" s="974" t="s">
        <v>5159</v>
      </c>
      <c r="BG522" s="974" t="s">
        <v>5160</v>
      </c>
      <c r="BH522" s="974" t="s">
        <v>5161</v>
      </c>
      <c r="BI522" s="974" t="s">
        <v>5162</v>
      </c>
      <c r="BJ522" s="974" t="s">
        <v>5163</v>
      </c>
      <c r="BK522" s="974" t="s">
        <v>5164</v>
      </c>
      <c r="BL522" s="974" t="s">
        <v>5165</v>
      </c>
      <c r="BM522" s="974" t="s">
        <v>5166</v>
      </c>
      <c r="BN522" s="974" t="s">
        <v>1891</v>
      </c>
    </row>
    <row r="523" spans="50:68" ht="19.5" customHeight="1">
      <c r="AX523" s="977" t="s">
        <v>3660</v>
      </c>
      <c r="AY523" s="969" t="s">
        <v>3660</v>
      </c>
      <c r="AZ523" s="977" t="s">
        <v>3660</v>
      </c>
      <c r="BA523" s="973" t="s">
        <v>3660</v>
      </c>
      <c r="BB523" s="973" t="s">
        <v>3660</v>
      </c>
      <c r="BC523" s="973" t="s">
        <v>3660</v>
      </c>
      <c r="BD523" s="1113" t="s">
        <v>3660</v>
      </c>
      <c r="BE523" s="1113" t="s">
        <v>3660</v>
      </c>
      <c r="BF523" s="1113" t="s">
        <v>3660</v>
      </c>
      <c r="BG523" s="1113" t="s">
        <v>3660</v>
      </c>
      <c r="BH523" s="1113" t="s">
        <v>3660</v>
      </c>
      <c r="BI523" s="973" t="s">
        <v>3660</v>
      </c>
      <c r="BJ523" s="973" t="s">
        <v>3660</v>
      </c>
      <c r="BK523" s="1113" t="s">
        <v>3660</v>
      </c>
      <c r="BL523" s="973" t="s">
        <v>3660</v>
      </c>
      <c r="BM523" s="973" t="s">
        <v>3660</v>
      </c>
      <c r="BN523" s="1287" t="s">
        <v>3660</v>
      </c>
    </row>
    <row r="524" spans="50:68" ht="19.5" customHeight="1">
      <c r="AX524" s="664" t="s">
        <v>5167</v>
      </c>
      <c r="AY524" s="662" t="s">
        <v>5168</v>
      </c>
      <c r="AZ524" s="664" t="s">
        <v>5169</v>
      </c>
      <c r="BA524" s="667" t="s">
        <v>5170</v>
      </c>
      <c r="BB524" s="667" t="s">
        <v>5171</v>
      </c>
      <c r="BC524" s="667" t="s">
        <v>5172</v>
      </c>
      <c r="BD524" s="666" t="s">
        <v>5173</v>
      </c>
      <c r="BE524" s="666" t="s">
        <v>5174</v>
      </c>
      <c r="BF524" s="666" t="s">
        <v>5175</v>
      </c>
      <c r="BG524" s="666" t="s">
        <v>5176</v>
      </c>
      <c r="BH524" s="666" t="s">
        <v>5177</v>
      </c>
      <c r="BI524" s="667" t="s">
        <v>5178</v>
      </c>
      <c r="BJ524" s="667" t="s">
        <v>5179</v>
      </c>
      <c r="BK524" s="666" t="s">
        <v>5180</v>
      </c>
      <c r="BL524" s="667" t="s">
        <v>5181</v>
      </c>
      <c r="BM524" s="667" t="s">
        <v>5182</v>
      </c>
      <c r="BN524" s="158"/>
    </row>
    <row r="525" spans="50:68" ht="19.5" customHeight="1">
      <c r="AX525" s="664" t="s">
        <v>5183</v>
      </c>
      <c r="AY525" s="662" t="s">
        <v>5184</v>
      </c>
      <c r="AZ525" s="664" t="s">
        <v>5185</v>
      </c>
      <c r="BA525" s="667" t="s">
        <v>5186</v>
      </c>
      <c r="BB525" s="667" t="s">
        <v>5187</v>
      </c>
      <c r="BC525" s="667" t="s">
        <v>5188</v>
      </c>
      <c r="BD525" s="666" t="s">
        <v>5189</v>
      </c>
      <c r="BE525" s="666" t="s">
        <v>5190</v>
      </c>
      <c r="BF525" s="666" t="s">
        <v>5191</v>
      </c>
      <c r="BG525" s="666" t="s">
        <v>5192</v>
      </c>
      <c r="BH525" s="666" t="s">
        <v>5193</v>
      </c>
      <c r="BI525" s="667" t="s">
        <v>5194</v>
      </c>
      <c r="BJ525" s="667" t="s">
        <v>5195</v>
      </c>
      <c r="BK525" s="666" t="s">
        <v>5196</v>
      </c>
      <c r="BL525" s="667" t="s">
        <v>5197</v>
      </c>
      <c r="BM525" s="667" t="s">
        <v>5198</v>
      </c>
      <c r="BN525" s="158"/>
    </row>
    <row r="526" spans="50:68" ht="19.5" customHeight="1">
      <c r="AX526" s="664" t="s">
        <v>5199</v>
      </c>
      <c r="AY526" s="662" t="s">
        <v>5200</v>
      </c>
      <c r="AZ526" s="664" t="s">
        <v>5201</v>
      </c>
      <c r="BA526" s="667" t="s">
        <v>5202</v>
      </c>
      <c r="BB526" s="667" t="s">
        <v>5203</v>
      </c>
      <c r="BC526" s="667" t="s">
        <v>5204</v>
      </c>
      <c r="BD526" s="666" t="s">
        <v>5205</v>
      </c>
      <c r="BE526" s="666" t="s">
        <v>5206</v>
      </c>
      <c r="BF526" s="666" t="s">
        <v>5207</v>
      </c>
      <c r="BG526" s="666" t="s">
        <v>5208</v>
      </c>
      <c r="BH526" s="666" t="s">
        <v>5209</v>
      </c>
      <c r="BI526" s="667" t="s">
        <v>5210</v>
      </c>
      <c r="BJ526" s="667" t="s">
        <v>5211</v>
      </c>
      <c r="BK526" s="666" t="s">
        <v>5212</v>
      </c>
      <c r="BL526" s="667" t="s">
        <v>5213</v>
      </c>
      <c r="BM526" s="667" t="s">
        <v>5214</v>
      </c>
      <c r="BN526" s="158"/>
    </row>
    <row r="527" spans="50:68" ht="19.5" customHeight="1">
      <c r="AX527" s="664" t="s">
        <v>5215</v>
      </c>
      <c r="AY527" s="662" t="s">
        <v>5216</v>
      </c>
      <c r="AZ527" s="664" t="s">
        <v>5217</v>
      </c>
      <c r="BA527" s="667" t="s">
        <v>5218</v>
      </c>
      <c r="BB527" s="667" t="s">
        <v>5219</v>
      </c>
      <c r="BC527" s="667" t="s">
        <v>5220</v>
      </c>
      <c r="BD527" s="666" t="s">
        <v>5221</v>
      </c>
      <c r="BE527" s="666" t="s">
        <v>5222</v>
      </c>
      <c r="BF527" s="666" t="s">
        <v>5223</v>
      </c>
      <c r="BG527" s="666" t="s">
        <v>5224</v>
      </c>
      <c r="BH527" s="666" t="s">
        <v>5225</v>
      </c>
      <c r="BI527" s="667" t="s">
        <v>5226</v>
      </c>
      <c r="BJ527" s="667" t="s">
        <v>5227</v>
      </c>
      <c r="BK527" s="666" t="s">
        <v>5228</v>
      </c>
      <c r="BL527" s="667" t="s">
        <v>5229</v>
      </c>
      <c r="BM527" s="667" t="s">
        <v>5230</v>
      </c>
      <c r="BN527" s="158"/>
    </row>
    <row r="528" spans="50:68" ht="19.5" customHeight="1">
      <c r="AX528" s="664" t="s">
        <v>5231</v>
      </c>
      <c r="AY528" s="662" t="s">
        <v>5232</v>
      </c>
      <c r="AZ528" s="664" t="s">
        <v>5233</v>
      </c>
      <c r="BA528" s="667" t="s">
        <v>5234</v>
      </c>
      <c r="BB528" s="667" t="s">
        <v>5235</v>
      </c>
      <c r="BC528" s="667" t="s">
        <v>5236</v>
      </c>
      <c r="BD528" s="668" t="s">
        <v>5237</v>
      </c>
      <c r="BE528" s="666" t="s">
        <v>5238</v>
      </c>
      <c r="BF528" s="666" t="s">
        <v>5239</v>
      </c>
      <c r="BG528" s="666" t="s">
        <v>5240</v>
      </c>
      <c r="BH528" s="666" t="s">
        <v>5241</v>
      </c>
      <c r="BI528" s="667" t="s">
        <v>5242</v>
      </c>
      <c r="BJ528" s="667" t="s">
        <v>5243</v>
      </c>
      <c r="BK528" s="666" t="s">
        <v>5244</v>
      </c>
      <c r="BL528" s="667" t="s">
        <v>5245</v>
      </c>
      <c r="BM528" s="669" t="s">
        <v>5246</v>
      </c>
      <c r="BN528" s="158"/>
    </row>
    <row r="529" spans="50:66" ht="19.5" customHeight="1">
      <c r="AX529" s="664" t="s">
        <v>5247</v>
      </c>
      <c r="AY529" s="662" t="s">
        <v>5248</v>
      </c>
      <c r="AZ529" s="664" t="s">
        <v>5249</v>
      </c>
      <c r="BA529" s="667" t="s">
        <v>5250</v>
      </c>
      <c r="BB529" s="667" t="s">
        <v>5251</v>
      </c>
      <c r="BC529" s="667" t="s">
        <v>5252</v>
      </c>
      <c r="BD529" s="158"/>
      <c r="BE529" s="666" t="s">
        <v>5253</v>
      </c>
      <c r="BF529" s="666" t="s">
        <v>5254</v>
      </c>
      <c r="BG529" s="666" t="s">
        <v>5255</v>
      </c>
      <c r="BH529" s="666" t="s">
        <v>5256</v>
      </c>
      <c r="BI529" s="667" t="s">
        <v>5257</v>
      </c>
      <c r="BJ529" s="667" t="s">
        <v>5258</v>
      </c>
      <c r="BK529" s="666" t="s">
        <v>5259</v>
      </c>
      <c r="BL529" s="667" t="s">
        <v>5260</v>
      </c>
      <c r="BM529" s="158"/>
      <c r="BN529" s="158"/>
    </row>
    <row r="530" spans="50:66" ht="19.5" customHeight="1">
      <c r="AX530" s="664" t="s">
        <v>5261</v>
      </c>
      <c r="AY530" s="662" t="s">
        <v>5262</v>
      </c>
      <c r="AZ530" s="664" t="s">
        <v>5263</v>
      </c>
      <c r="BA530" s="667" t="s">
        <v>5264</v>
      </c>
      <c r="BB530" s="667" t="s">
        <v>5265</v>
      </c>
      <c r="BC530" s="667" t="s">
        <v>5266</v>
      </c>
      <c r="BD530" s="158"/>
      <c r="BE530" s="666" t="s">
        <v>5267</v>
      </c>
      <c r="BF530" s="666" t="s">
        <v>5268</v>
      </c>
      <c r="BG530" s="666" t="s">
        <v>5269</v>
      </c>
      <c r="BH530" s="666" t="s">
        <v>5270</v>
      </c>
      <c r="BI530" s="667" t="s">
        <v>5271</v>
      </c>
      <c r="BJ530" s="667" t="s">
        <v>5272</v>
      </c>
      <c r="BK530" s="666" t="s">
        <v>5273</v>
      </c>
      <c r="BL530" s="667" t="s">
        <v>5274</v>
      </c>
      <c r="BM530" s="158"/>
      <c r="BN530" s="158"/>
    </row>
    <row r="531" spans="50:66" ht="19.5" customHeight="1">
      <c r="AX531" s="664" t="s">
        <v>5275</v>
      </c>
      <c r="AY531" s="662" t="s">
        <v>5276</v>
      </c>
      <c r="AZ531" s="787" t="s">
        <v>5277</v>
      </c>
      <c r="BA531" s="667" t="s">
        <v>5278</v>
      </c>
      <c r="BB531" s="667" t="s">
        <v>5279</v>
      </c>
      <c r="BC531" s="669" t="s">
        <v>5280</v>
      </c>
      <c r="BD531" s="158"/>
      <c r="BE531" s="666" t="s">
        <v>5281</v>
      </c>
      <c r="BF531" s="666" t="s">
        <v>5282</v>
      </c>
      <c r="BG531" s="666" t="s">
        <v>5283</v>
      </c>
      <c r="BH531" s="666" t="s">
        <v>5284</v>
      </c>
      <c r="BI531" s="667" t="s">
        <v>5285</v>
      </c>
      <c r="BJ531" s="667" t="s">
        <v>5286</v>
      </c>
      <c r="BK531" s="666" t="s">
        <v>5287</v>
      </c>
      <c r="BL531" s="667" t="s">
        <v>5288</v>
      </c>
      <c r="BM531" s="158"/>
      <c r="BN531" s="158"/>
    </row>
    <row r="532" spans="50:66" ht="19.5" customHeight="1">
      <c r="AX532" s="664" t="s">
        <v>5289</v>
      </c>
      <c r="AY532" s="662" t="s">
        <v>5290</v>
      </c>
      <c r="AZ532" s="166"/>
      <c r="BA532" s="667" t="s">
        <v>5291</v>
      </c>
      <c r="BB532" s="667" t="s">
        <v>5292</v>
      </c>
      <c r="BC532" s="158"/>
      <c r="BD532" s="158"/>
      <c r="BE532" s="666" t="s">
        <v>5293</v>
      </c>
      <c r="BF532" s="666" t="s">
        <v>5294</v>
      </c>
      <c r="BG532" s="666" t="s">
        <v>5295</v>
      </c>
      <c r="BH532" s="666" t="s">
        <v>5296</v>
      </c>
      <c r="BI532" s="667" t="s">
        <v>5297</v>
      </c>
      <c r="BJ532" s="667" t="s">
        <v>5298</v>
      </c>
      <c r="BK532" s="666" t="s">
        <v>5299</v>
      </c>
      <c r="BL532" s="667" t="s">
        <v>5300</v>
      </c>
      <c r="BM532" s="158"/>
      <c r="BN532" s="158"/>
    </row>
    <row r="533" spans="50:66" ht="19.5" customHeight="1">
      <c r="AX533" s="664" t="s">
        <v>5301</v>
      </c>
      <c r="AY533" s="662" t="s">
        <v>5302</v>
      </c>
      <c r="AZ533" s="166"/>
      <c r="BA533" s="667" t="s">
        <v>5303</v>
      </c>
      <c r="BB533" s="667" t="s">
        <v>5304</v>
      </c>
      <c r="BC533" s="158"/>
      <c r="BD533" s="158"/>
      <c r="BE533" s="668" t="s">
        <v>5305</v>
      </c>
      <c r="BF533" s="666" t="s">
        <v>5306</v>
      </c>
      <c r="BG533" s="666" t="s">
        <v>5307</v>
      </c>
      <c r="BH533" s="666" t="s">
        <v>5308</v>
      </c>
      <c r="BI533" s="667" t="s">
        <v>5309</v>
      </c>
      <c r="BJ533" s="667" t="s">
        <v>5310</v>
      </c>
      <c r="BK533" s="666" t="s">
        <v>5311</v>
      </c>
      <c r="BL533" s="667" t="s">
        <v>5312</v>
      </c>
      <c r="BM533" s="158"/>
      <c r="BN533" s="158"/>
    </row>
    <row r="534" spans="50:66" ht="19.5" customHeight="1">
      <c r="AX534" s="664" t="s">
        <v>5313</v>
      </c>
      <c r="AY534" s="662" t="s">
        <v>5314</v>
      </c>
      <c r="AZ534" s="166"/>
      <c r="BA534" s="667" t="s">
        <v>5315</v>
      </c>
      <c r="BB534" s="667" t="s">
        <v>5316</v>
      </c>
      <c r="BC534" s="158"/>
      <c r="BD534" s="158"/>
      <c r="BE534" s="158"/>
      <c r="BF534" s="666" t="s">
        <v>5317</v>
      </c>
      <c r="BG534" s="666" t="s">
        <v>5318</v>
      </c>
      <c r="BH534" s="666" t="s">
        <v>5319</v>
      </c>
      <c r="BI534" s="667" t="s">
        <v>5320</v>
      </c>
      <c r="BJ534" s="667" t="s">
        <v>5321</v>
      </c>
      <c r="BK534" s="668" t="s">
        <v>5322</v>
      </c>
      <c r="BL534" s="667" t="s">
        <v>5323</v>
      </c>
      <c r="BM534" s="158"/>
      <c r="BN534" s="158"/>
    </row>
    <row r="535" spans="50:66" ht="19.5" customHeight="1">
      <c r="AX535" s="664" t="s">
        <v>5324</v>
      </c>
      <c r="AY535" s="662" t="s">
        <v>5325</v>
      </c>
      <c r="AZ535" s="166"/>
      <c r="BA535" s="667" t="s">
        <v>5326</v>
      </c>
      <c r="BB535" s="667" t="s">
        <v>5327</v>
      </c>
      <c r="BC535" s="158"/>
      <c r="BD535" s="158"/>
      <c r="BE535" s="158"/>
      <c r="BF535" s="666" t="s">
        <v>5328</v>
      </c>
      <c r="BG535" s="666" t="s">
        <v>5329</v>
      </c>
      <c r="BH535" s="666" t="s">
        <v>5330</v>
      </c>
      <c r="BI535" s="667" t="s">
        <v>5331</v>
      </c>
      <c r="BJ535" s="669" t="s">
        <v>5332</v>
      </c>
      <c r="BK535" s="158"/>
      <c r="BL535" s="667" t="s">
        <v>5333</v>
      </c>
      <c r="BM535" s="158"/>
      <c r="BN535" s="158"/>
    </row>
    <row r="536" spans="50:66" ht="19.5" customHeight="1">
      <c r="AX536" s="664" t="s">
        <v>5334</v>
      </c>
      <c r="AY536" s="662" t="s">
        <v>5335</v>
      </c>
      <c r="AZ536" s="166"/>
      <c r="BA536" s="667" t="s">
        <v>5336</v>
      </c>
      <c r="BB536" s="667" t="s">
        <v>5337</v>
      </c>
      <c r="BC536" s="158"/>
      <c r="BD536" s="158"/>
      <c r="BE536" s="158"/>
      <c r="BF536" s="666" t="s">
        <v>5338</v>
      </c>
      <c r="BG536" s="666" t="s">
        <v>5339</v>
      </c>
      <c r="BH536" s="666" t="s">
        <v>5340</v>
      </c>
      <c r="BI536" s="667" t="s">
        <v>5341</v>
      </c>
      <c r="BJ536" s="158"/>
      <c r="BK536" s="158"/>
      <c r="BL536" s="669" t="s">
        <v>5342</v>
      </c>
      <c r="BM536" s="158"/>
      <c r="BN536" s="158"/>
    </row>
    <row r="537" spans="50:66" ht="19.5" customHeight="1">
      <c r="AX537" s="664" t="s">
        <v>5343</v>
      </c>
      <c r="AY537" s="662" t="s">
        <v>5344</v>
      </c>
      <c r="AZ537" s="166"/>
      <c r="BA537" s="667" t="s">
        <v>5345</v>
      </c>
      <c r="BB537" s="667" t="s">
        <v>5346</v>
      </c>
      <c r="BC537" s="158"/>
      <c r="BD537" s="158"/>
      <c r="BE537" s="158"/>
      <c r="BF537" s="666" t="s">
        <v>5347</v>
      </c>
      <c r="BG537" s="666" t="s">
        <v>5348</v>
      </c>
      <c r="BH537" s="666" t="s">
        <v>5349</v>
      </c>
      <c r="BI537" s="667" t="s">
        <v>5350</v>
      </c>
      <c r="BJ537" s="158"/>
      <c r="BK537" s="158"/>
      <c r="BL537" s="158"/>
      <c r="BM537" s="158"/>
      <c r="BN537" s="158"/>
    </row>
    <row r="538" spans="50:66" ht="19.5" customHeight="1">
      <c r="AX538" s="787" t="s">
        <v>5351</v>
      </c>
      <c r="AY538" s="662" t="s">
        <v>5352</v>
      </c>
      <c r="AZ538" s="166"/>
      <c r="BA538" s="667" t="s">
        <v>5353</v>
      </c>
      <c r="BB538" s="667" t="s">
        <v>5354</v>
      </c>
      <c r="BC538" s="158"/>
      <c r="BD538" s="158"/>
      <c r="BE538" s="158"/>
      <c r="BF538" s="666" t="s">
        <v>5355</v>
      </c>
      <c r="BG538" s="666" t="s">
        <v>5356</v>
      </c>
      <c r="BH538" s="666" t="s">
        <v>5357</v>
      </c>
      <c r="BI538" s="667" t="s">
        <v>5358</v>
      </c>
      <c r="BJ538" s="158"/>
      <c r="BK538" s="158"/>
      <c r="BL538" s="158"/>
      <c r="BM538" s="158"/>
      <c r="BN538" s="158"/>
    </row>
    <row r="539" spans="50:66" ht="19.5" customHeight="1">
      <c r="AX539" s="166"/>
      <c r="AY539" s="662" t="s">
        <v>5359</v>
      </c>
      <c r="AZ539" s="166"/>
      <c r="BA539" s="667" t="s">
        <v>5360</v>
      </c>
      <c r="BB539" s="667" t="s">
        <v>5361</v>
      </c>
      <c r="BC539" s="158"/>
      <c r="BD539" s="158"/>
      <c r="BE539" s="158"/>
      <c r="BF539" s="666" t="s">
        <v>5362</v>
      </c>
      <c r="BG539" s="666" t="s">
        <v>5363</v>
      </c>
      <c r="BH539" s="666" t="s">
        <v>5364</v>
      </c>
      <c r="BI539" s="667" t="s">
        <v>5365</v>
      </c>
      <c r="BJ539" s="158"/>
      <c r="BK539" s="158"/>
      <c r="BL539" s="158"/>
      <c r="BM539" s="158"/>
      <c r="BN539" s="158"/>
    </row>
    <row r="540" spans="50:66" ht="19.5" customHeight="1">
      <c r="AX540" s="166"/>
      <c r="AY540" s="662" t="s">
        <v>5366</v>
      </c>
      <c r="AZ540" s="166"/>
      <c r="BA540" s="667" t="s">
        <v>5367</v>
      </c>
      <c r="BB540" s="667" t="s">
        <v>5368</v>
      </c>
      <c r="BC540" s="158"/>
      <c r="BD540" s="158"/>
      <c r="BE540" s="158"/>
      <c r="BF540" s="666" t="s">
        <v>5369</v>
      </c>
      <c r="BG540" s="666" t="s">
        <v>5370</v>
      </c>
      <c r="BH540" s="666" t="s">
        <v>5371</v>
      </c>
      <c r="BI540" s="667" t="s">
        <v>5372</v>
      </c>
      <c r="BJ540" s="158"/>
      <c r="BK540" s="158"/>
      <c r="BL540" s="158"/>
      <c r="BM540" s="158"/>
      <c r="BN540" s="158"/>
    </row>
    <row r="541" spans="50:66" ht="19.5" customHeight="1">
      <c r="AX541" s="166"/>
      <c r="AY541" s="662" t="s">
        <v>5373</v>
      </c>
      <c r="AZ541" s="166"/>
      <c r="BA541" s="667" t="s">
        <v>5374</v>
      </c>
      <c r="BB541" s="667" t="s">
        <v>5375</v>
      </c>
      <c r="BC541" s="158"/>
      <c r="BD541" s="158"/>
      <c r="BE541" s="158"/>
      <c r="BF541" s="666" t="s">
        <v>5376</v>
      </c>
      <c r="BG541" s="666" t="s">
        <v>5377</v>
      </c>
      <c r="BH541" s="666" t="s">
        <v>5378</v>
      </c>
      <c r="BI541" s="667" t="s">
        <v>5379</v>
      </c>
      <c r="BJ541" s="158"/>
      <c r="BK541" s="158"/>
      <c r="BL541" s="158"/>
      <c r="BM541" s="158"/>
      <c r="BN541" s="158"/>
    </row>
    <row r="542" spans="50:66" ht="19.5" customHeight="1">
      <c r="AX542" s="166"/>
      <c r="AY542" s="662" t="s">
        <v>5380</v>
      </c>
      <c r="AZ542" s="166"/>
      <c r="BA542" s="667" t="s">
        <v>5381</v>
      </c>
      <c r="BB542" s="667" t="s">
        <v>5382</v>
      </c>
      <c r="BC542" s="158"/>
      <c r="BD542" s="158"/>
      <c r="BE542" s="158"/>
      <c r="BF542" s="666" t="s">
        <v>5383</v>
      </c>
      <c r="BG542" s="666" t="s">
        <v>5384</v>
      </c>
      <c r="BH542" s="666" t="s">
        <v>5385</v>
      </c>
      <c r="BI542" s="667" t="s">
        <v>5386</v>
      </c>
      <c r="BJ542" s="158"/>
      <c r="BK542" s="158"/>
      <c r="BL542" s="158"/>
      <c r="BM542" s="158"/>
      <c r="BN542" s="158"/>
    </row>
    <row r="543" spans="50:66" ht="19.5" customHeight="1">
      <c r="AX543" s="166"/>
      <c r="AY543" s="662" t="s">
        <v>5387</v>
      </c>
      <c r="AZ543" s="166"/>
      <c r="BA543" s="667" t="s">
        <v>5388</v>
      </c>
      <c r="BB543" s="667" t="s">
        <v>5389</v>
      </c>
      <c r="BC543" s="158"/>
      <c r="BD543" s="158"/>
      <c r="BE543" s="158"/>
      <c r="BF543" s="666" t="s">
        <v>5390</v>
      </c>
      <c r="BG543" s="666" t="s">
        <v>5391</v>
      </c>
      <c r="BH543" s="666" t="s">
        <v>5392</v>
      </c>
      <c r="BI543" s="667" t="s">
        <v>5393</v>
      </c>
      <c r="BJ543" s="158"/>
      <c r="BK543" s="158"/>
      <c r="BL543" s="158"/>
      <c r="BM543" s="158"/>
      <c r="BN543" s="158"/>
    </row>
    <row r="544" spans="50:66" ht="19.5" customHeight="1">
      <c r="AX544" s="166"/>
      <c r="AY544" s="662" t="s">
        <v>5394</v>
      </c>
      <c r="AZ544" s="166"/>
      <c r="BA544" s="667" t="s">
        <v>5395</v>
      </c>
      <c r="BB544" s="667" t="s">
        <v>5396</v>
      </c>
      <c r="BC544" s="158"/>
      <c r="BD544" s="158"/>
      <c r="BE544" s="158"/>
      <c r="BF544" s="666" t="s">
        <v>5397</v>
      </c>
      <c r="BG544" s="666" t="s">
        <v>5398</v>
      </c>
      <c r="BH544" s="666" t="s">
        <v>5399</v>
      </c>
      <c r="BI544" s="667" t="s">
        <v>5400</v>
      </c>
      <c r="BJ544" s="158"/>
      <c r="BK544" s="158"/>
      <c r="BL544" s="158"/>
      <c r="BM544" s="158"/>
      <c r="BN544" s="158"/>
    </row>
    <row r="545" spans="50:66" ht="19.5" customHeight="1">
      <c r="AX545" s="166"/>
      <c r="AY545" s="662" t="s">
        <v>5401</v>
      </c>
      <c r="AZ545" s="166"/>
      <c r="BA545" s="667" t="s">
        <v>5402</v>
      </c>
      <c r="BB545" s="669" t="s">
        <v>5403</v>
      </c>
      <c r="BC545" s="158"/>
      <c r="BD545" s="158"/>
      <c r="BE545" s="158"/>
      <c r="BF545" s="668" t="s">
        <v>5404</v>
      </c>
      <c r="BG545" s="666" t="s">
        <v>5405</v>
      </c>
      <c r="BH545" s="666" t="s">
        <v>5406</v>
      </c>
      <c r="BI545" s="667" t="s">
        <v>5407</v>
      </c>
      <c r="BJ545" s="158"/>
      <c r="BK545" s="158"/>
      <c r="BL545" s="158"/>
      <c r="BM545" s="158"/>
      <c r="BN545" s="158"/>
    </row>
    <row r="546" spans="50:66" ht="19.5" customHeight="1">
      <c r="AX546" s="166"/>
      <c r="AY546" s="662" t="s">
        <v>5408</v>
      </c>
      <c r="AZ546" s="166"/>
      <c r="BA546" s="667" t="s">
        <v>5409</v>
      </c>
      <c r="BB546" s="158"/>
      <c r="BC546" s="158"/>
      <c r="BD546" s="158"/>
      <c r="BE546" s="158"/>
      <c r="BF546" s="158"/>
      <c r="BG546" s="666" t="s">
        <v>5410</v>
      </c>
      <c r="BH546" s="666" t="s">
        <v>5411</v>
      </c>
      <c r="BI546" s="667" t="s">
        <v>5412</v>
      </c>
      <c r="BJ546" s="158"/>
      <c r="BK546" s="158"/>
      <c r="BL546" s="158"/>
      <c r="BM546" s="158"/>
      <c r="BN546" s="158"/>
    </row>
    <row r="547" spans="50:66" ht="19.5" customHeight="1">
      <c r="AX547" s="166"/>
      <c r="AY547" s="662" t="s">
        <v>5413</v>
      </c>
      <c r="AZ547" s="166"/>
      <c r="BA547" s="667" t="s">
        <v>5414</v>
      </c>
      <c r="BB547" s="158"/>
      <c r="BC547" s="158"/>
      <c r="BD547" s="158"/>
      <c r="BE547" s="158"/>
      <c r="BF547" s="158"/>
      <c r="BG547" s="668" t="s">
        <v>5415</v>
      </c>
      <c r="BH547" s="666" t="s">
        <v>5416</v>
      </c>
      <c r="BI547" s="667" t="s">
        <v>5417</v>
      </c>
      <c r="BJ547" s="158"/>
      <c r="BK547" s="158"/>
      <c r="BL547" s="158"/>
      <c r="BM547" s="158"/>
      <c r="BN547" s="158"/>
    </row>
    <row r="548" spans="50:66" ht="19.5" customHeight="1">
      <c r="AX548" s="166"/>
      <c r="AY548" s="662" t="s">
        <v>5418</v>
      </c>
      <c r="AZ548" s="166"/>
      <c r="BA548" s="667" t="s">
        <v>5419</v>
      </c>
      <c r="BB548" s="158"/>
      <c r="BC548" s="158"/>
      <c r="BD548" s="158"/>
      <c r="BE548" s="158"/>
      <c r="BF548" s="158"/>
      <c r="BG548" s="158"/>
      <c r="BH548" s="666" t="s">
        <v>5420</v>
      </c>
      <c r="BI548" s="667" t="s">
        <v>5421</v>
      </c>
      <c r="BJ548" s="158"/>
      <c r="BK548" s="158"/>
      <c r="BL548" s="158"/>
      <c r="BM548" s="158"/>
      <c r="BN548" s="158"/>
    </row>
    <row r="549" spans="50:66" ht="19.5" customHeight="1">
      <c r="AX549" s="166"/>
      <c r="AY549" s="662" t="s">
        <v>5422</v>
      </c>
      <c r="AZ549" s="166"/>
      <c r="BA549" s="667" t="s">
        <v>5423</v>
      </c>
      <c r="BB549" s="158"/>
      <c r="BC549" s="158"/>
      <c r="BD549" s="158"/>
      <c r="BE549" s="158"/>
      <c r="BF549" s="158"/>
      <c r="BG549" s="158"/>
      <c r="BH549" s="666" t="s">
        <v>5424</v>
      </c>
      <c r="BI549" s="667" t="s">
        <v>5425</v>
      </c>
      <c r="BJ549" s="158"/>
      <c r="BK549" s="158"/>
      <c r="BL549" s="158"/>
      <c r="BM549" s="158"/>
      <c r="BN549" s="158"/>
    </row>
    <row r="550" spans="50:66" ht="19.5" customHeight="1">
      <c r="AX550" s="166"/>
      <c r="AY550" s="662" t="s">
        <v>5426</v>
      </c>
      <c r="AZ550" s="166"/>
      <c r="BA550" s="667" t="s">
        <v>5427</v>
      </c>
      <c r="BB550" s="158"/>
      <c r="BC550" s="158"/>
      <c r="BD550" s="158"/>
      <c r="BE550" s="158"/>
      <c r="BF550" s="158"/>
      <c r="BG550" s="158"/>
      <c r="BH550" s="666" t="s">
        <v>5428</v>
      </c>
      <c r="BI550" s="667" t="s">
        <v>5429</v>
      </c>
      <c r="BJ550" s="158"/>
      <c r="BK550" s="158"/>
      <c r="BL550" s="158"/>
      <c r="BM550" s="158"/>
      <c r="BN550" s="158"/>
    </row>
    <row r="551" spans="50:66" ht="19.5" customHeight="1">
      <c r="AX551" s="166"/>
      <c r="AY551" s="662" t="s">
        <v>5430</v>
      </c>
      <c r="AZ551" s="166"/>
      <c r="BA551" s="667" t="s">
        <v>5431</v>
      </c>
      <c r="BB551" s="158"/>
      <c r="BC551" s="158"/>
      <c r="BD551" s="158"/>
      <c r="BE551" s="158"/>
      <c r="BF551" s="158"/>
      <c r="BG551" s="158"/>
      <c r="BH551" s="668" t="s">
        <v>5432</v>
      </c>
      <c r="BI551" s="667" t="s">
        <v>5433</v>
      </c>
      <c r="BJ551" s="158"/>
      <c r="BK551" s="158"/>
      <c r="BL551" s="158"/>
      <c r="BM551" s="158"/>
      <c r="BN551" s="158"/>
    </row>
    <row r="552" spans="50:66" ht="19.5" customHeight="1">
      <c r="AX552" s="166"/>
      <c r="AY552" s="662" t="s">
        <v>5434</v>
      </c>
      <c r="AZ552" s="166"/>
      <c r="BA552" s="667" t="s">
        <v>5435</v>
      </c>
      <c r="BB552" s="158"/>
      <c r="BC552" s="158"/>
      <c r="BD552" s="158"/>
      <c r="BE552" s="158"/>
      <c r="BF552" s="158"/>
      <c r="BG552" s="158"/>
      <c r="BH552" s="158"/>
      <c r="BI552" s="667" t="s">
        <v>5436</v>
      </c>
      <c r="BJ552" s="158"/>
      <c r="BK552" s="158"/>
      <c r="BL552" s="158"/>
      <c r="BM552" s="158"/>
      <c r="BN552" s="158"/>
    </row>
    <row r="553" spans="50:66" ht="19.5" customHeight="1">
      <c r="AX553" s="166"/>
      <c r="AY553" s="662" t="s">
        <v>5437</v>
      </c>
      <c r="AZ553" s="166"/>
      <c r="BA553" s="667" t="s">
        <v>5438</v>
      </c>
      <c r="BB553" s="158"/>
      <c r="BC553" s="158"/>
      <c r="BD553" s="158"/>
      <c r="BE553" s="158"/>
      <c r="BF553" s="158"/>
      <c r="BG553" s="158"/>
      <c r="BH553" s="158"/>
      <c r="BI553" s="667" t="s">
        <v>5439</v>
      </c>
      <c r="BJ553" s="158"/>
      <c r="BK553" s="158"/>
      <c r="BL553" s="158"/>
      <c r="BM553" s="158"/>
      <c r="BN553" s="158"/>
    </row>
    <row r="554" spans="50:66" ht="19.5" customHeight="1">
      <c r="AX554" s="166"/>
      <c r="AY554" s="662" t="s">
        <v>5440</v>
      </c>
      <c r="AZ554" s="166"/>
      <c r="BA554" s="667" t="s">
        <v>5441</v>
      </c>
      <c r="BB554" s="158"/>
      <c r="BC554" s="158"/>
      <c r="BD554" s="158"/>
      <c r="BE554" s="158"/>
      <c r="BF554" s="158"/>
      <c r="BG554" s="158"/>
      <c r="BH554" s="158"/>
      <c r="BI554" s="667" t="s">
        <v>5442</v>
      </c>
      <c r="BJ554" s="158"/>
      <c r="BK554" s="158"/>
      <c r="BL554" s="158"/>
      <c r="BM554" s="158"/>
      <c r="BN554" s="158"/>
    </row>
    <row r="555" spans="50:66" ht="19.5" customHeight="1">
      <c r="AX555" s="166"/>
      <c r="AY555" s="662" t="s">
        <v>5443</v>
      </c>
      <c r="AZ555" s="166"/>
      <c r="BA555" s="667" t="s">
        <v>5444</v>
      </c>
      <c r="BB555" s="158"/>
      <c r="BC555" s="158"/>
      <c r="BD555" s="158"/>
      <c r="BE555" s="158"/>
      <c r="BF555" s="158"/>
      <c r="BG555" s="158"/>
      <c r="BH555" s="158"/>
      <c r="BI555" s="667" t="s">
        <v>5445</v>
      </c>
      <c r="BJ555" s="158"/>
      <c r="BK555" s="158"/>
      <c r="BL555" s="158"/>
      <c r="BM555" s="158"/>
      <c r="BN555" s="158"/>
    </row>
    <row r="556" spans="50:66" ht="19.5" customHeight="1">
      <c r="AX556" s="166"/>
      <c r="AY556" s="662" t="s">
        <v>5446</v>
      </c>
      <c r="AZ556" s="166"/>
      <c r="BA556" s="667" t="s">
        <v>5447</v>
      </c>
      <c r="BB556" s="158"/>
      <c r="BC556" s="158"/>
      <c r="BD556" s="158"/>
      <c r="BE556" s="158"/>
      <c r="BF556" s="158"/>
      <c r="BG556" s="158"/>
      <c r="BH556" s="158"/>
      <c r="BI556" s="667" t="s">
        <v>5448</v>
      </c>
      <c r="BJ556" s="158"/>
      <c r="BK556" s="158"/>
      <c r="BL556" s="158"/>
      <c r="BM556" s="158"/>
      <c r="BN556" s="158"/>
    </row>
    <row r="557" spans="50:66" ht="19.5" customHeight="1">
      <c r="AX557" s="166"/>
      <c r="AY557" s="662" t="s">
        <v>5449</v>
      </c>
      <c r="AZ557" s="166"/>
      <c r="BA557" s="669" t="s">
        <v>5450</v>
      </c>
      <c r="BB557" s="158"/>
      <c r="BC557" s="158"/>
      <c r="BD557" s="158"/>
      <c r="BE557" s="158"/>
      <c r="BF557" s="158"/>
      <c r="BG557" s="158"/>
      <c r="BH557" s="158"/>
      <c r="BI557" s="667" t="s">
        <v>5451</v>
      </c>
      <c r="BJ557" s="158"/>
      <c r="BK557" s="158"/>
      <c r="BL557" s="158"/>
      <c r="BM557" s="158"/>
      <c r="BN557" s="158"/>
    </row>
    <row r="558" spans="50:66" ht="19.5" customHeight="1">
      <c r="AX558" s="166"/>
      <c r="AY558" s="662" t="s">
        <v>5452</v>
      </c>
      <c r="AZ558" s="166"/>
      <c r="BA558" s="158"/>
      <c r="BB558" s="158"/>
      <c r="BC558" s="158"/>
      <c r="BD558" s="158"/>
      <c r="BE558" s="158"/>
      <c r="BF558" s="158"/>
      <c r="BG558" s="158"/>
      <c r="BH558" s="158"/>
      <c r="BI558" s="667" t="s">
        <v>5453</v>
      </c>
      <c r="BJ558" s="158"/>
      <c r="BK558" s="158"/>
      <c r="BL558" s="158"/>
      <c r="BM558" s="158"/>
      <c r="BN558" s="158"/>
    </row>
    <row r="559" spans="50:66" ht="19.5" customHeight="1">
      <c r="AX559" s="166"/>
      <c r="AY559" s="662" t="s">
        <v>5454</v>
      </c>
      <c r="AZ559" s="166"/>
      <c r="BA559" s="158"/>
      <c r="BB559" s="158"/>
      <c r="BC559" s="158"/>
      <c r="BD559" s="158"/>
      <c r="BE559" s="158"/>
      <c r="BF559" s="158"/>
      <c r="BG559" s="158"/>
      <c r="BH559" s="158"/>
      <c r="BI559" s="667" t="s">
        <v>5455</v>
      </c>
      <c r="BJ559" s="158"/>
      <c r="BK559" s="158"/>
      <c r="BL559" s="158"/>
      <c r="BM559" s="158"/>
      <c r="BN559" s="158"/>
    </row>
    <row r="560" spans="50:66" ht="19.5" customHeight="1">
      <c r="AX560" s="166"/>
      <c r="AY560" s="662" t="s">
        <v>5456</v>
      </c>
      <c r="AZ560" s="166"/>
      <c r="BA560" s="158"/>
      <c r="BB560" s="158"/>
      <c r="BC560" s="158"/>
      <c r="BD560" s="158"/>
      <c r="BE560" s="158"/>
      <c r="BF560" s="158"/>
      <c r="BG560" s="158"/>
      <c r="BH560" s="158"/>
      <c r="BI560" s="667" t="s">
        <v>5457</v>
      </c>
      <c r="BJ560" s="158"/>
      <c r="BK560" s="158"/>
      <c r="BL560" s="158"/>
      <c r="BM560" s="158"/>
      <c r="BN560" s="158"/>
    </row>
    <row r="561" spans="50:66" ht="19.5" customHeight="1">
      <c r="AX561" s="166"/>
      <c r="AY561" s="662" t="s">
        <v>5458</v>
      </c>
      <c r="AZ561" s="166"/>
      <c r="BA561" s="158"/>
      <c r="BB561" s="158"/>
      <c r="BC561" s="158"/>
      <c r="BD561" s="158"/>
      <c r="BE561" s="158"/>
      <c r="BF561" s="158"/>
      <c r="BG561" s="158"/>
      <c r="BH561" s="158"/>
      <c r="BI561" s="667" t="s">
        <v>5459</v>
      </c>
      <c r="BJ561" s="158"/>
      <c r="BK561" s="158"/>
      <c r="BL561" s="158"/>
      <c r="BM561" s="158"/>
      <c r="BN561" s="158"/>
    </row>
    <row r="562" spans="50:66" ht="19.5" customHeight="1">
      <c r="AX562" s="166"/>
      <c r="AY562" s="662" t="s">
        <v>5460</v>
      </c>
      <c r="AZ562" s="166"/>
      <c r="BA562" s="158"/>
      <c r="BB562" s="158"/>
      <c r="BC562" s="158"/>
      <c r="BD562" s="158"/>
      <c r="BE562" s="158"/>
      <c r="BF562" s="158"/>
      <c r="BG562" s="158"/>
      <c r="BH562" s="158"/>
      <c r="BI562" s="667" t="s">
        <v>5461</v>
      </c>
      <c r="BJ562" s="158"/>
      <c r="BK562" s="158"/>
      <c r="BL562" s="158"/>
      <c r="BM562" s="158"/>
      <c r="BN562" s="158"/>
    </row>
    <row r="563" spans="50:66" ht="19.5" customHeight="1">
      <c r="AX563" s="166"/>
      <c r="AY563" s="662" t="s">
        <v>5462</v>
      </c>
      <c r="AZ563" s="166"/>
      <c r="BA563" s="158"/>
      <c r="BB563" s="158"/>
      <c r="BC563" s="158"/>
      <c r="BD563" s="158"/>
      <c r="BE563" s="158"/>
      <c r="BF563" s="158"/>
      <c r="BG563" s="158"/>
      <c r="BH563" s="158"/>
      <c r="BI563" s="667" t="s">
        <v>5463</v>
      </c>
      <c r="BJ563" s="158"/>
      <c r="BK563" s="158"/>
      <c r="BL563" s="158"/>
      <c r="BM563" s="158"/>
      <c r="BN563" s="158"/>
    </row>
    <row r="564" spans="50:66" ht="19.5" customHeight="1">
      <c r="AX564" s="166"/>
      <c r="AY564" s="662" t="s">
        <v>5464</v>
      </c>
      <c r="AZ564" s="166"/>
      <c r="BA564" s="158"/>
      <c r="BB564" s="158"/>
      <c r="BC564" s="158"/>
      <c r="BD564" s="158"/>
      <c r="BE564" s="158"/>
      <c r="BF564" s="158"/>
      <c r="BG564" s="158"/>
      <c r="BH564" s="158"/>
      <c r="BI564" s="667" t="s">
        <v>5465</v>
      </c>
      <c r="BJ564" s="158"/>
      <c r="BK564" s="158"/>
      <c r="BL564" s="158"/>
      <c r="BM564" s="158"/>
      <c r="BN564" s="158"/>
    </row>
    <row r="565" spans="50:66" ht="19.5" customHeight="1">
      <c r="AX565" s="166"/>
      <c r="AY565" s="662" t="s">
        <v>5466</v>
      </c>
      <c r="AZ565" s="166"/>
      <c r="BA565" s="158"/>
      <c r="BB565" s="158"/>
      <c r="BC565" s="158"/>
      <c r="BD565" s="158"/>
      <c r="BE565" s="158"/>
      <c r="BF565" s="158"/>
      <c r="BG565" s="158"/>
      <c r="BH565" s="158"/>
      <c r="BI565" s="667" t="s">
        <v>5467</v>
      </c>
      <c r="BJ565" s="158"/>
      <c r="BK565" s="158"/>
      <c r="BL565" s="158"/>
      <c r="BM565" s="158"/>
      <c r="BN565" s="158"/>
    </row>
    <row r="566" spans="50:66" ht="19.5" customHeight="1">
      <c r="AX566" s="166"/>
      <c r="AY566" s="662" t="s">
        <v>5468</v>
      </c>
      <c r="AZ566" s="166"/>
      <c r="BA566" s="158"/>
      <c r="BB566" s="158"/>
      <c r="BC566" s="158"/>
      <c r="BD566" s="158"/>
      <c r="BE566" s="158"/>
      <c r="BF566" s="158"/>
      <c r="BG566" s="158"/>
      <c r="BH566" s="158"/>
      <c r="BI566" s="667" t="s">
        <v>5469</v>
      </c>
      <c r="BJ566" s="158"/>
      <c r="BK566" s="158"/>
      <c r="BL566" s="158"/>
      <c r="BM566" s="158"/>
      <c r="BN566" s="158"/>
    </row>
    <row r="567" spans="50:66" ht="19.5" customHeight="1">
      <c r="AX567" s="166"/>
      <c r="AY567" s="662" t="s">
        <v>5470</v>
      </c>
      <c r="AZ567" s="166"/>
      <c r="BA567" s="158"/>
      <c r="BB567" s="158"/>
      <c r="BC567" s="158"/>
      <c r="BD567" s="158"/>
      <c r="BE567" s="158"/>
      <c r="BF567" s="158"/>
      <c r="BG567" s="158"/>
      <c r="BH567" s="158"/>
      <c r="BI567" s="669" t="s">
        <v>5471</v>
      </c>
      <c r="BJ567" s="158"/>
      <c r="BK567" s="158"/>
      <c r="BL567" s="158"/>
      <c r="BM567" s="158"/>
      <c r="BN567" s="158"/>
    </row>
    <row r="568" spans="50:66" ht="19.5" customHeight="1">
      <c r="AX568" s="166"/>
      <c r="AY568" s="662" t="s">
        <v>5472</v>
      </c>
      <c r="AZ568" s="166"/>
      <c r="BA568" s="158"/>
      <c r="BB568" s="158"/>
      <c r="BC568" s="158"/>
      <c r="BD568" s="158"/>
      <c r="BE568" s="158"/>
      <c r="BF568" s="158"/>
      <c r="BG568" s="158"/>
      <c r="BH568" s="158"/>
      <c r="BI568" s="158"/>
      <c r="BJ568" s="158"/>
      <c r="BK568" s="158"/>
      <c r="BL568" s="158"/>
      <c r="BM568" s="158"/>
      <c r="BN568" s="158"/>
    </row>
    <row r="569" spans="50:66" ht="19.5" customHeight="1">
      <c r="AX569" s="166"/>
      <c r="AY569" s="662" t="s">
        <v>5473</v>
      </c>
      <c r="AZ569" s="166"/>
      <c r="BA569" s="158"/>
      <c r="BB569" s="158"/>
      <c r="BC569" s="158"/>
      <c r="BD569" s="158"/>
      <c r="BE569" s="158"/>
      <c r="BF569" s="158"/>
      <c r="BG569" s="158"/>
      <c r="BH569" s="158"/>
      <c r="BI569" s="158"/>
      <c r="BJ569" s="158"/>
      <c r="BK569" s="158"/>
      <c r="BL569" s="158"/>
      <c r="BM569" s="158"/>
      <c r="BN569" s="158"/>
    </row>
    <row r="570" spans="50:66" ht="19.5" customHeight="1">
      <c r="AX570" s="166"/>
      <c r="AY570" s="662" t="s">
        <v>5474</v>
      </c>
      <c r="AZ570" s="166"/>
      <c r="BA570" s="158"/>
      <c r="BB570" s="158"/>
      <c r="BC570" s="158"/>
      <c r="BD570" s="158"/>
      <c r="BE570" s="158"/>
      <c r="BF570" s="158"/>
      <c r="BG570" s="158"/>
      <c r="BH570" s="158"/>
      <c r="BI570" s="158"/>
      <c r="BJ570" s="158"/>
      <c r="BK570" s="158"/>
      <c r="BL570" s="158"/>
      <c r="BM570" s="158"/>
      <c r="BN570" s="158"/>
    </row>
    <row r="571" spans="50:66" ht="19.5" customHeight="1">
      <c r="AX571" s="166"/>
      <c r="AY571" s="662" t="s">
        <v>5475</v>
      </c>
      <c r="AZ571" s="166"/>
      <c r="BA571" s="158"/>
      <c r="BB571" s="158"/>
      <c r="BC571" s="158"/>
      <c r="BD571" s="158"/>
      <c r="BE571" s="158"/>
      <c r="BF571" s="158"/>
      <c r="BG571" s="158"/>
      <c r="BH571" s="158"/>
      <c r="BI571" s="158"/>
      <c r="BJ571" s="158"/>
      <c r="BK571" s="158"/>
      <c r="BL571" s="158"/>
      <c r="BM571" s="158"/>
      <c r="BN571" s="158"/>
    </row>
    <row r="572" spans="50:66" ht="19.5" customHeight="1">
      <c r="AX572" s="166"/>
      <c r="AY572" s="665" t="s">
        <v>5476</v>
      </c>
      <c r="AZ572" s="166"/>
      <c r="BA572" s="158"/>
      <c r="BB572" s="158"/>
      <c r="BC572" s="158"/>
      <c r="BD572" s="158"/>
      <c r="BE572" s="158"/>
      <c r="BF572" s="158"/>
      <c r="BG572" s="158"/>
      <c r="BH572" s="158"/>
      <c r="BI572" s="158"/>
      <c r="BJ572" s="158"/>
      <c r="BK572" s="158"/>
      <c r="BL572" s="158"/>
      <c r="BM572" s="158"/>
      <c r="BN572" s="158"/>
    </row>
    <row r="573" spans="50:66" ht="19.5" customHeight="1">
      <c r="AX573" s="166"/>
      <c r="AY573" s="166"/>
      <c r="AZ573" s="166"/>
      <c r="BA573" s="158"/>
      <c r="BB573" s="158"/>
      <c r="BC573" s="158"/>
      <c r="BD573" s="158"/>
      <c r="BE573" s="158"/>
      <c r="BF573" s="158"/>
      <c r="BG573" s="158"/>
      <c r="BH573" s="158"/>
      <c r="BI573" s="158"/>
      <c r="BJ573" s="158"/>
      <c r="BK573" s="158"/>
      <c r="BL573" s="158"/>
      <c r="BM573" s="158"/>
      <c r="BN573" s="158"/>
    </row>
    <row r="574" spans="50:66" ht="19.5" customHeight="1">
      <c r="AX574" s="166" t="s">
        <v>5477</v>
      </c>
      <c r="AY574" s="166"/>
      <c r="AZ574" s="166"/>
      <c r="BA574" s="158"/>
      <c r="BB574" s="158"/>
      <c r="BC574" s="158"/>
      <c r="BD574" s="158"/>
      <c r="BE574" s="158"/>
      <c r="BF574" s="158"/>
      <c r="BG574" s="158"/>
      <c r="BH574" s="158"/>
      <c r="BI574" s="158"/>
      <c r="BJ574" s="158"/>
      <c r="BK574" s="158"/>
      <c r="BL574" s="158"/>
      <c r="BM574" s="158"/>
      <c r="BN574" s="158"/>
    </row>
    <row r="575" spans="50:66" ht="19.5" customHeight="1">
      <c r="AX575" s="977" t="s">
        <v>5098</v>
      </c>
      <c r="AY575" s="1282"/>
      <c r="AZ575" s="1282"/>
      <c r="BA575" s="978" t="str">
        <f>""</f>
        <v/>
      </c>
      <c r="BB575" s="158"/>
      <c r="BC575" s="158"/>
      <c r="BD575" s="158"/>
      <c r="BE575" s="158"/>
      <c r="BF575" s="158"/>
      <c r="BG575" s="158"/>
      <c r="BH575" s="158"/>
      <c r="BI575" s="158"/>
      <c r="BJ575" s="158"/>
      <c r="BK575" s="158"/>
      <c r="BL575" s="158"/>
      <c r="BM575" s="158"/>
      <c r="BN575" s="158"/>
    </row>
    <row r="576" spans="50:66" ht="19.5" customHeight="1">
      <c r="AX576" s="664" t="s">
        <v>4583</v>
      </c>
      <c r="AY576" s="151" t="s">
        <v>5167</v>
      </c>
      <c r="AZ576" s="151" t="s">
        <v>5478</v>
      </c>
      <c r="BA576" s="1284" t="s">
        <v>5100</v>
      </c>
      <c r="BB576" s="158"/>
      <c r="BC576" s="158"/>
      <c r="BD576" s="158"/>
      <c r="BE576" s="158"/>
      <c r="BF576" s="158"/>
      <c r="BG576" s="158"/>
      <c r="BH576" s="158"/>
      <c r="BI576" s="158"/>
      <c r="BJ576" s="158"/>
      <c r="BK576" s="158"/>
      <c r="BL576" s="158"/>
      <c r="BM576" s="158"/>
      <c r="BN576" s="158"/>
    </row>
    <row r="577" spans="50:66" ht="19.5" customHeight="1">
      <c r="AX577" s="664" t="s">
        <v>4589</v>
      </c>
      <c r="AY577" s="151" t="s">
        <v>5183</v>
      </c>
      <c r="AZ577" s="151" t="s">
        <v>5479</v>
      </c>
      <c r="BA577" s="1284" t="s">
        <v>1112</v>
      </c>
      <c r="BB577" s="158"/>
      <c r="BC577" s="158"/>
      <c r="BD577" s="158"/>
      <c r="BE577" s="158"/>
      <c r="BF577" s="158"/>
      <c r="BG577" s="158"/>
      <c r="BH577" s="158"/>
      <c r="BI577" s="158"/>
      <c r="BJ577" s="158"/>
      <c r="BK577" s="158"/>
      <c r="BL577" s="158"/>
      <c r="BM577" s="158"/>
      <c r="BN577" s="158"/>
    </row>
    <row r="578" spans="50:66" ht="19.5" customHeight="1">
      <c r="AX578" s="664" t="s">
        <v>4593</v>
      </c>
      <c r="AY578" s="151" t="s">
        <v>5199</v>
      </c>
      <c r="AZ578" s="151" t="s">
        <v>5479</v>
      </c>
      <c r="BA578" s="1284" t="s">
        <v>1112</v>
      </c>
      <c r="BB578" s="158"/>
      <c r="BC578" s="158"/>
      <c r="BD578" s="158"/>
      <c r="BE578" s="158"/>
      <c r="BF578" s="158"/>
      <c r="BG578" s="158"/>
      <c r="BH578" s="158"/>
      <c r="BI578" s="158"/>
      <c r="BJ578" s="158"/>
      <c r="BK578" s="158"/>
      <c r="BL578" s="158"/>
      <c r="BM578" s="158"/>
      <c r="BN578" s="158"/>
    </row>
    <row r="579" spans="50:66" ht="19.5" customHeight="1">
      <c r="AX579" s="664" t="s">
        <v>4623</v>
      </c>
      <c r="AY579" s="151" t="s">
        <v>5215</v>
      </c>
      <c r="AZ579" s="151" t="s">
        <v>5479</v>
      </c>
      <c r="BA579" s="1284" t="s">
        <v>1112</v>
      </c>
      <c r="BB579" s="158"/>
      <c r="BC579" s="158"/>
      <c r="BD579" s="158"/>
      <c r="BE579" s="158"/>
      <c r="BF579" s="158"/>
      <c r="BG579" s="158"/>
      <c r="BH579" s="158"/>
      <c r="BI579" s="158"/>
      <c r="BJ579" s="158"/>
      <c r="BK579" s="158"/>
      <c r="BL579" s="158"/>
      <c r="BM579" s="158"/>
      <c r="BN579" s="158"/>
    </row>
    <row r="580" spans="50:66" ht="19.5" customHeight="1">
      <c r="AX580" s="664" t="s">
        <v>4632</v>
      </c>
      <c r="AY580" s="151" t="s">
        <v>5231</v>
      </c>
      <c r="AZ580" s="151" t="s">
        <v>5479</v>
      </c>
      <c r="BA580" s="1284" t="s">
        <v>1112</v>
      </c>
      <c r="BB580" s="158"/>
      <c r="BC580" s="158"/>
      <c r="BD580" s="158"/>
      <c r="BE580" s="158"/>
      <c r="BF580" s="158"/>
      <c r="BG580" s="158"/>
      <c r="BH580" s="158"/>
      <c r="BI580" s="158"/>
      <c r="BJ580" s="158"/>
      <c r="BK580" s="158"/>
      <c r="BL580" s="158"/>
      <c r="BM580" s="158"/>
      <c r="BN580" s="158"/>
    </row>
    <row r="581" spans="50:66" ht="19.5" customHeight="1">
      <c r="AX581" s="664" t="s">
        <v>4636</v>
      </c>
      <c r="AY581" s="151" t="s">
        <v>5247</v>
      </c>
      <c r="AZ581" s="151" t="s">
        <v>5479</v>
      </c>
      <c r="BA581" s="1284" t="s">
        <v>1112</v>
      </c>
      <c r="BB581" s="158"/>
      <c r="BC581" s="158"/>
      <c r="BD581" s="158"/>
      <c r="BE581" s="158"/>
      <c r="BF581" s="158"/>
      <c r="BG581" s="158"/>
      <c r="BH581" s="158"/>
      <c r="BI581" s="158"/>
      <c r="BJ581" s="158"/>
      <c r="BK581" s="158"/>
      <c r="BL581" s="158"/>
      <c r="BM581" s="158"/>
      <c r="BN581" s="158"/>
    </row>
    <row r="582" spans="50:66" ht="19.5" customHeight="1">
      <c r="AX582" s="664" t="s">
        <v>4650</v>
      </c>
      <c r="AY582" s="151" t="s">
        <v>5261</v>
      </c>
      <c r="AZ582" s="151" t="s">
        <v>5479</v>
      </c>
      <c r="BA582" s="1284" t="s">
        <v>1112</v>
      </c>
      <c r="BB582" s="158"/>
      <c r="BC582" s="158"/>
      <c r="BD582" s="158"/>
      <c r="BE582" s="158"/>
      <c r="BF582" s="158"/>
      <c r="BG582" s="158"/>
      <c r="BH582" s="158"/>
      <c r="BI582" s="158"/>
      <c r="BJ582" s="158"/>
      <c r="BK582" s="158"/>
      <c r="BL582" s="158"/>
      <c r="BM582" s="158"/>
      <c r="BN582" s="158"/>
    </row>
    <row r="583" spans="50:66" ht="19.5" customHeight="1">
      <c r="AX583" s="664" t="s">
        <v>4666</v>
      </c>
      <c r="AY583" s="151" t="s">
        <v>5275</v>
      </c>
      <c r="AZ583" s="151" t="s">
        <v>5479</v>
      </c>
      <c r="BA583" s="1284" t="s">
        <v>1112</v>
      </c>
      <c r="BB583" s="158"/>
      <c r="BC583" s="158"/>
      <c r="BD583" s="158"/>
      <c r="BE583" s="158"/>
      <c r="BF583" s="158"/>
      <c r="BG583" s="158"/>
      <c r="BH583" s="158"/>
      <c r="BI583" s="158"/>
      <c r="BJ583" s="158"/>
      <c r="BK583" s="158"/>
      <c r="BL583" s="158"/>
      <c r="BM583" s="158"/>
      <c r="BN583" s="158"/>
    </row>
    <row r="584" spans="50:66" ht="19.5" customHeight="1">
      <c r="AX584" s="664" t="s">
        <v>4671</v>
      </c>
      <c r="AY584" s="151" t="s">
        <v>5289</v>
      </c>
      <c r="AZ584" s="151" t="s">
        <v>5479</v>
      </c>
      <c r="BA584" s="1284" t="s">
        <v>1112</v>
      </c>
      <c r="BB584" s="158"/>
      <c r="BC584" s="158"/>
      <c r="BD584" s="158"/>
      <c r="BE584" s="158"/>
      <c r="BF584" s="158"/>
      <c r="BG584" s="158"/>
      <c r="BH584" s="158"/>
      <c r="BI584" s="158"/>
      <c r="BJ584" s="158"/>
      <c r="BK584" s="158"/>
      <c r="BL584" s="158"/>
      <c r="BM584" s="158"/>
      <c r="BN584" s="158"/>
    </row>
    <row r="585" spans="50:66" ht="19.5" customHeight="1">
      <c r="AX585" s="664" t="s">
        <v>4695</v>
      </c>
      <c r="AY585" s="151" t="s">
        <v>5301</v>
      </c>
      <c r="AZ585" s="151" t="s">
        <v>5478</v>
      </c>
      <c r="BA585" s="1284" t="s">
        <v>5100</v>
      </c>
      <c r="BB585" s="158"/>
      <c r="BC585" s="158"/>
      <c r="BD585" s="158"/>
      <c r="BE585" s="158"/>
      <c r="BF585" s="158"/>
      <c r="BG585" s="158"/>
      <c r="BH585" s="158"/>
      <c r="BI585" s="158"/>
      <c r="BJ585" s="158"/>
      <c r="BK585" s="158"/>
      <c r="BL585" s="158"/>
      <c r="BM585" s="158"/>
      <c r="BN585" s="158"/>
    </row>
    <row r="586" spans="50:66" ht="19.5" customHeight="1">
      <c r="AX586" s="664" t="s">
        <v>4718</v>
      </c>
      <c r="AY586" s="151" t="s">
        <v>5313</v>
      </c>
      <c r="AZ586" s="151" t="s">
        <v>5478</v>
      </c>
      <c r="BA586" s="1284" t="s">
        <v>5100</v>
      </c>
      <c r="BB586" s="158"/>
      <c r="BC586" s="158"/>
      <c r="BD586" s="158"/>
      <c r="BE586" s="158"/>
      <c r="BF586" s="158"/>
      <c r="BG586" s="158"/>
      <c r="BH586" s="158"/>
      <c r="BI586" s="158"/>
      <c r="BJ586" s="158"/>
      <c r="BK586" s="158"/>
      <c r="BL586" s="158"/>
      <c r="BM586" s="158"/>
      <c r="BN586" s="158"/>
    </row>
    <row r="587" spans="50:66" ht="19.5" customHeight="1">
      <c r="AX587" s="664" t="s">
        <v>4734</v>
      </c>
      <c r="AY587" s="151" t="s">
        <v>5324</v>
      </c>
      <c r="AZ587" s="151" t="s">
        <v>5478</v>
      </c>
      <c r="BA587" s="1284" t="s">
        <v>5100</v>
      </c>
      <c r="BB587" s="158"/>
      <c r="BC587" s="158"/>
      <c r="BD587" s="158"/>
      <c r="BE587" s="158"/>
      <c r="BF587" s="158"/>
      <c r="BG587" s="158"/>
      <c r="BH587" s="158"/>
      <c r="BI587" s="158"/>
      <c r="BJ587" s="158"/>
      <c r="BK587" s="158"/>
      <c r="BL587" s="158"/>
      <c r="BM587" s="158"/>
      <c r="BN587" s="158"/>
    </row>
    <row r="588" spans="50:66" ht="19.5" customHeight="1">
      <c r="AX588" s="664" t="s">
        <v>4746</v>
      </c>
      <c r="AY588" s="151" t="s">
        <v>5334</v>
      </c>
      <c r="AZ588" s="151" t="s">
        <v>5478</v>
      </c>
      <c r="BA588" s="1284" t="s">
        <v>5100</v>
      </c>
      <c r="BB588" s="158"/>
      <c r="BC588" s="158"/>
      <c r="BD588" s="158"/>
      <c r="BE588" s="158"/>
      <c r="BF588" s="158"/>
      <c r="BG588" s="158"/>
      <c r="BH588" s="158"/>
      <c r="BI588" s="158"/>
      <c r="BJ588" s="158"/>
      <c r="BK588" s="158"/>
      <c r="BL588" s="158"/>
      <c r="BM588" s="158"/>
      <c r="BN588" s="158"/>
    </row>
    <row r="589" spans="50:66" ht="19.5" customHeight="1">
      <c r="AX589" s="664" t="s">
        <v>4762</v>
      </c>
      <c r="AY589" s="151" t="s">
        <v>5343</v>
      </c>
      <c r="AZ589" s="151" t="s">
        <v>5478</v>
      </c>
      <c r="BA589" s="1284" t="s">
        <v>5100</v>
      </c>
      <c r="BB589" s="158"/>
      <c r="BC589" s="158"/>
      <c r="BD589" s="158"/>
      <c r="BE589" s="158"/>
      <c r="BF589" s="158"/>
      <c r="BG589" s="158"/>
      <c r="BH589" s="158"/>
      <c r="BI589" s="158"/>
      <c r="BJ589" s="158"/>
      <c r="BK589" s="158"/>
      <c r="BL589" s="158"/>
      <c r="BM589" s="158"/>
      <c r="BN589" s="158"/>
    </row>
    <row r="590" spans="50:66" ht="19.5" customHeight="1">
      <c r="AX590" s="787" t="s">
        <v>4794</v>
      </c>
      <c r="AY590" s="1285" t="s">
        <v>5351</v>
      </c>
      <c r="AZ590" s="1285" t="s">
        <v>5478</v>
      </c>
      <c r="BA590" s="1286" t="s">
        <v>5100</v>
      </c>
      <c r="BB590" s="158"/>
      <c r="BC590" s="158"/>
      <c r="BD590" s="158"/>
      <c r="BE590" s="158"/>
      <c r="BF590" s="158"/>
      <c r="BG590" s="158"/>
      <c r="BH590" s="158"/>
      <c r="BI590" s="158"/>
      <c r="BJ590" s="158"/>
      <c r="BK590" s="158"/>
      <c r="BL590" s="158"/>
      <c r="BM590" s="158"/>
      <c r="BN590" s="158"/>
    </row>
  </sheetData>
  <sheetProtection algorithmName="SHA-512" hashValue="tPIZzDo2AUF54IH2IFySl7gysF2nYwRkIS+1h1oG/5Fc7yxXYt16s02lwqEIbTdV/5H98TTt3kVreckOhgXS/w==" saltValue="vRlHrcA2p7N4bSlNywL6Kg==" spinCount="100000" sheet="1" objects="1" scenarios="1" selectLockedCells="1"/>
  <protectedRanges>
    <protectedRange sqref="BG23:BK23 BG89:BJ101 BG11:BJ22" name="範囲1_4"/>
    <protectedRange sqref="Q93:Z93 AF11:AJ12 AB93:AD93 Q11:Z12 AB11:AD12 L106:N106 C93:N93 AF93:AJ93 AF106:AJ108 AB106:AD108 Y108:Z110 AF110:AJ110 AH109:AJ109 AB110:AD110 AD109:AF109 AA109:AB109 Z107 C11:N12 C162:N162 Q162:Z162 AF162:AJ162 AB162:AD162 Q121:Z123 C121:N123 AF120:AJ123 AB120:AD123 AB168:AD179 AF168:AJ179 Q168:Z179 C168:N179 C120:I120" name="範囲1"/>
    <protectedRange sqref="D13:I14 K13:P14 D26:I26 K26:P26 D57:I57 K57:P57" name="範囲1_8_1"/>
    <protectedRange sqref="C15:I15" name="範囲1_1_2_1"/>
    <protectedRange sqref="C19:I19" name="範囲1_2_2_1"/>
    <protectedRange sqref="AE95 AB95:AC95 AF96:AF97 AM98 AQ98:AS98 AA95:AA97 AG95:AI97 AB96:AD100 L98 R98:T98 N98:O98 L105:O105 AQ94:AS95 X98:Y98 AF100:AI100 AH98:AI98 AF99:AJ99 AM94:AM95 Q99:T101 Q105:T105 V113:Y113 L99:O101 L87:N87 V119:Y120" name="範囲1_8_2"/>
    <protectedRange sqref="L16:L19 O16:O19 L29:L35" name="範囲14_1"/>
    <protectedRange sqref="C101:C103 C94 C96:C99 D94:I103 C28:I36 C81:I81 C104:I106 C56:I56 C20:C25 E20:I25 D20:D24 C83:I83 C85:I87 C112:I118" name="範囲1_6_1"/>
    <protectedRange sqref="T95 Q112:S112 AK98:AL98 AK99:AO100 AQ99:AS100 V105:Z105 V98:W98 L94:Q94 M95:R95 AK95:AL95 AA94:AC94 AQ96:AS97 L96:P97 AK96:AO97 V99:Z101 J94:K101 J102:N104 Q102:Z104 AB101:AD105 J28:N28 Q28:Z28 J36:N36 AB28:AD28 AF28:AJ28 J113:K113 R87:V87 J112:N112 AG112:AJ112 AB113:AD113 AF112:AF113 AF101:AJ105 J105:K106 V106:X106 Q106:S106 L15:N15 Q15:Z15 AB15:AD15 AF15:AJ15 AF20:AJ25 D25 J56:N56 AB56:AD56 AF56:AJ56 Q56:Z56 O83:P83 R83:V83 Y81:Z84 Q81:X82 L37:N40 AB37:AD40 AF37:AJ40 Q37:Z40 M20:N25 J20:L24 K25 Z20:Z25 Y20:Y24 AB20:AB25 AD20:AD25 AC20:AC24 Q20:X25 AF87 AB81:AD84 AB87:AD87 AF81:AJ83 J81:N84 Y87:Z87 J87:K87 R84:X84 AG84:AJ84 O87:P87 V112:X112 AA112:AD112 J29:K35" name="範囲1_9"/>
    <protectedRange sqref="C90:I92" name="範囲1_2_2_2"/>
    <protectedRange sqref="D88:K88 N88" name="範囲1_8_3"/>
    <protectedRange sqref="D124:I124" name="範囲1_8_4"/>
    <protectedRange sqref="L124:N124 AA149 AD149:AK149 AB150:AD151 AF150:AJ151 C126:I151 J148:L151 M126:N144 Q124:T124 AA124:AB124 AF148:AJ148 AB148:AD148 U148:Z151 J124:K144 Q126:T144 AD124 AD126:AJ144 M146:N151 J146:K147 Q146:T151 V146:AB147 AD146:AJ147 V126:AB144" name="範囲1_10"/>
    <protectedRange sqref="J18:K19 J146:U146 L149 Y149 Q112:R112 AM94:AM95 AQ94:AT95 AE95 AB95:AC95 AB96:AF97 AM98 AQ98:AT98 AG95:AJ97 AA95:AA97 AB98:AE98 R98:U98 N98:O98 L98 AA94:AB94 X98:Y98 AH98:AJ98 AB99:AJ100 L105:U105 L28:M28 AA126:AC144 N90:N92 L112:M112 L99:U101 V106:W106 Q106:R106 L15:M15 D25 L56:M56 AA146:AC146 L36:M40 M20:M25 L20:L24 L81:M84 L87:N87 V113:Z113 V112:W112 V119:Z120" name="範囲26"/>
    <protectedRange sqref="C107:K110 Q108:X110 Q107:Y107" name="範囲1_5"/>
    <protectedRange sqref="Q13:AJ14" name="範囲1_9_2"/>
    <protectedRange sqref="AK19 AK17" name="範囲1_8_2_1"/>
    <protectedRange sqref="AB16:AD19 AF16:AJ19 Q16:Z19" name="範囲1_9_3"/>
    <protectedRange sqref="Q26:AJ27 Q57:AJ58" name="範囲1_9_1"/>
    <protectedRange sqref="C37:I40" name="範囲1_6_1_1"/>
    <protectedRange sqref="J37:K40" name="範囲1_9_4"/>
    <protectedRange sqref="AB29:AD36 AF29:AJ36 Q29:Z36" name="範囲1_9_6"/>
    <protectedRange sqref="K41:P41" name="範囲1_8_1_1"/>
    <protectedRange sqref="J43:N43 J52:N55 AB43:AD50 AF43:AJ50 Q43:Z50 Q41:AJ42 J44:K50 AB52:AD55 AF52:AJ55 Q52:Z55" name="範囲1_9_7"/>
    <protectedRange sqref="L43:M43 L52:M55" name="範囲26_2"/>
    <protectedRange sqref="D41:I41" name="範囲1_8_1_2"/>
    <protectedRange sqref="C43:I43" name="範囲1_1_2_1_5_3"/>
    <protectedRange sqref="C45:I49 C52:I54" name="範囲1_2_2_1_5_2"/>
    <protectedRange sqref="C55:I55" name="範囲1_6_1_5_2"/>
    <protectedRange sqref="L44:L50" name="範囲14_1_2"/>
    <protectedRange sqref="O46:O49" name="範囲14_1_3"/>
    <protectedRange sqref="AB78:AD78 AF78:AJ78 Q78:Z78 J59:N59 AB59:AD61 AF59:AJ61 Q59:Z60 U62 J60:K60 J71:K71 AB71:AD71 AF71:AJ71 Q71:Z71 P62 Q61 U61:V61 R61:T62 W61:X62 J78:K78 AB80:AD80 AF80:AJ80 Q80:Z80 J80:K80" name="範囲1_9_5"/>
    <protectedRange sqref="L59:M59" name="範囲26_1"/>
    <protectedRange sqref="C59:I59" name="範囲1_1_2_1_6_1"/>
    <protectedRange sqref="C77:I77 D60:I63 C60:C62" name="範囲1_2_2_1_6_1"/>
    <protectedRange sqref="L61 J61" name="範囲14_1_5"/>
    <protectedRange sqref="K61" name="範囲1_9_2_1"/>
    <protectedRange sqref="AA62:AH62 AJ62:AN62 AP62:AS62 Y62" name="範囲1_8_2_1_1"/>
    <protectedRange sqref="Y62:AT62" name="範囲26_1_1"/>
    <protectedRange sqref="O61" name="範囲14_1_6"/>
    <protectedRange sqref="Y61" name="範囲1_8_2_2"/>
    <protectedRange sqref="Y61:Z61" name="範囲26_2_1"/>
    <protectedRange sqref="L60" name="範囲14_1_8"/>
    <protectedRange sqref="C152:N153 Y152 AF152:AJ153 AB152:AD153 Q152:X153 Z152:Z153 D154:J154" name="範囲1_1"/>
    <protectedRange sqref="Q161:R161 K155:N159 Q155:AK155 Q156:R158 AC156:AJ156 AE161:AJ161 AC157:AK158 Q159:AF159 AI159:AT159 Q164:Z167 AB164:AD167 AF164:AJ167 C161:O161 C164:N167 C163:J163 C156:F160 G156:J158 G160:R160 G159:I159" name="範囲1_1_1"/>
    <protectedRange sqref="C155:I155 C154" name="範囲1_6_1_2"/>
    <protectedRange sqref="J155 AF154:AJ154 AB154:AD154 V154:Z154 K154 AB156:AB158 V156:Z158 AT156 AN156:AR156 AT161 AN161:AR161 AD161 X161:AB161 V160:Z160 AB160" name="範囲1_9_3_1"/>
    <protectedRange sqref="C119:I119" name="範囲1_6_1_4"/>
    <protectedRange sqref="J116:N120" name="範囲1_9_8"/>
    <protectedRange sqref="AA116:AD116 V116:Y116 Q116:T116 AF116:AI116" name="範囲1_8_2_6"/>
    <protectedRange sqref="AK116:AO116 AQ116:AS116" name="範囲1_9_12"/>
    <protectedRange sqref="Q116:AJ116" name="範囲26_6"/>
    <protectedRange sqref="AF117:AI117 AA117:AD117 V117:Y117 Q117:T117" name="範囲1_8_2_7"/>
    <protectedRange sqref="AQ117:AS117 AK117:AO117 O117:P117" name="範囲1_9_13"/>
    <protectedRange sqref="Q117:AJ117" name="範囲26_7"/>
    <protectedRange sqref="AF118:AI119 AA118:AD119 V118:Y118 Q118:T120" name="範囲1_8_2_8"/>
    <protectedRange sqref="AQ118:AS119 AK118:AO119" name="範囲1_9_14"/>
    <protectedRange sqref="AA118:AJ119 V118:Z118 Q118:U120" name="範囲26_8"/>
    <protectedRange sqref="BG64:BJ65 BG67:BJ72 BI75:BJ75 BI78:BJ80" name="範囲1_4_1"/>
    <protectedRange sqref="C63 D64:I70 C65:C70" name="範囲1_2_2_1_1"/>
    <protectedRange sqref="Q65:Y65 AB65:AE65 AG63:AH63 AP65:AS66 AJ63 AL65:AN66 Q63:X63 AC63:AE63 Q69:Y70 AB69:AE70 AC67:AE67 AL69:AN70 Q66:X67 AG67:AH67 AJ67 AG69:AH70 AJ69:AJ70 AP68:AS70 AM68:AN68 AJ65 AG65:AH65" name="範囲1_8_2_9"/>
    <protectedRange sqref="L63 O66 L69:L71 L65:L67" name="範囲14_1_1"/>
    <protectedRange sqref="J63:K63 J69:K70 J65:K67" name="範囲1_9_15"/>
    <protectedRange sqref="Q65:Z65 AB65:AE65 AL65:AT66 AG63:AJ63 Q63:X63 AC63:AE63 Q69:Z70 AB69:AE70 AC67:AE67 AL69:AT70 Q66:X67 AG67:AJ67 AG69:AJ70 AM68:AT68 AG65:AJ65" name="範囲26_9"/>
    <protectedRange sqref="Y63 AB63" name="範囲1_8_2_10"/>
    <protectedRange sqref="Y63:Z63 AB63" name="範囲26_10"/>
    <protectedRange sqref="Y67 AB67" name="範囲1_8_2_12"/>
    <protectedRange sqref="Y67:Z67 AB67" name="範囲26_12"/>
    <protectedRange sqref="AP67:AS67 AL67:AN67" name="範囲1_8_2_13"/>
    <protectedRange sqref="AL67:AT67" name="範囲26_13"/>
    <protectedRange sqref="AJ66 AG66:AH66 AB66:AE66 Y66" name="範囲1_8_2_14"/>
    <protectedRange sqref="AG66:AJ66 AB66:AE66 Y66:Z66" name="範囲26_14"/>
    <protectedRange sqref="V72:X72 Q72:S72" name="範囲1_9_17"/>
    <protectedRange sqref="Q72:R72" name="範囲26_16"/>
    <protectedRange sqref="AP45:AS45 AL45 AN45" name="範囲1_8_2_15"/>
    <protectedRange sqref="AP45:AT45 AL45 AN45" name="範囲26_15"/>
    <protectedRange sqref="AL60:AQ60 AS60" name="範囲1_8_2_16"/>
    <protectedRange sqref="AS60:AT60 AL60:AQ60" name="範囲26_17"/>
    <protectedRange sqref="AJ75 AG75:AH75 AB75:AE75 Q75:Y75" name="範囲1_8_2_17"/>
    <protectedRange sqref="L75 O75 L78 O78 L80 O80" name="範囲14_1_4"/>
    <protectedRange sqref="C75:I76" name="範囲1_6_1_6"/>
    <protectedRange sqref="J76:N76 J75:K75 V76:Z76 Q76:S76 AB76:AD76 AF76:AJ76" name="範囲1_9_16"/>
    <protectedRange sqref="L76:M76 Q76:R76 AG75:AJ75 AB75:AE75 Q75:Z75" name="範囲26_18"/>
    <protectedRange sqref="C16:I18" name="範囲1_2_2_1_2"/>
    <protectedRange sqref="C50:I51" name="範囲1_2_2_1_1_1"/>
    <protectedRange sqref="L51" name="範囲14_1_2_1"/>
    <protectedRange sqref="J51:K51" name="範囲1_9_1_1"/>
    <protectedRange sqref="Q51:T51 AA51:AH51 AJ51 V51:X51" name="範囲1_8_2_18"/>
    <protectedRange sqref="Q51:X51 AA51:AJ51" name="範囲26_19"/>
    <protectedRange sqref="O51 Y51" name="範囲14_1_2_2"/>
    <protectedRange sqref="C73:I74" name="範囲1_2_2_1_6_1_1"/>
    <protectedRange sqref="C71:I72" name="範囲1_2_2_1_1_2"/>
    <protectedRange sqref="V73:Z74 Q73:S74 AB73:AD74 J73:N74 AF73:AJ74" name="範囲1_9_17_1"/>
    <protectedRange sqref="Q73:R74 L73:M74" name="範囲26_16_1"/>
    <protectedRange sqref="J72:N72" name="範囲1_9_17_2"/>
    <protectedRange sqref="L72:M72" name="範囲26_16_2"/>
    <protectedRange sqref="Y72:Z72 AB72:AD72 AF72:AJ72" name="範囲1_9_17_3"/>
    <protectedRange sqref="J77:N77 V77:Z77 Q77:S77 AB77:AD77 AF77:AJ77" name="範囲1_9_18"/>
    <protectedRange sqref="L77:M77 Q77:R77" name="範囲26_20"/>
    <protectedRange sqref="V124:Z124" name="範囲1_10_2"/>
    <protectedRange sqref="AE124:AJ124" name="範囲1_10_3"/>
    <protectedRange sqref="M145:N145 J145:K145 Q145:T145 V145:AB145 AD145:AJ145" name="範囲1_10_1"/>
    <protectedRange sqref="J145:U145 AA145:AC145" name="範囲26_21"/>
    <protectedRange sqref="J62 L62" name="範囲14_1_7"/>
    <protectedRange sqref="K62" name="範囲1_9_20"/>
    <protectedRange sqref="C80:I80" name="範囲1_6_1_2_1"/>
    <protectedRange sqref="C78:I79" name="範囲1_6_1_7"/>
    <protectedRange sqref="AL78:AN78 AP78:AS78" name="範囲1_8_2_2_1"/>
    <protectedRange sqref="AL78:AT78" name="範囲26_5"/>
    <protectedRange sqref="AL63:AN63 AP63:AS63" name="範囲1_8_2_3"/>
    <protectedRange sqref="AL63:AT63" name="範囲26_3"/>
    <protectedRange sqref="V79:Z79 Q79:S79 AB79:AD79 J79:N79 AF79:AJ79" name="範囲1_9_9"/>
    <protectedRange sqref="Q79:R79 L79:M79" name="範囲26_4"/>
    <protectedRange sqref="AK30" name="範囲1_9_6_1"/>
    <protectedRange sqref="D89:I89" name="範囲1_8_3_1"/>
    <protectedRange sqref="N89" name="範囲26_11"/>
    <protectedRange sqref="C44:I44" name="範囲1_2_2_1_3"/>
  </protectedRanges>
  <mergeCells count="785">
    <mergeCell ref="AP80:AR80"/>
    <mergeCell ref="Q51:X51"/>
    <mergeCell ref="C57:I58"/>
    <mergeCell ref="J57:K58"/>
    <mergeCell ref="U44:X44"/>
    <mergeCell ref="O44:P44"/>
    <mergeCell ref="Q44:T44"/>
    <mergeCell ref="O41:P42"/>
    <mergeCell ref="J41:K42"/>
    <mergeCell ref="C41:I42"/>
    <mergeCell ref="L44:N44"/>
    <mergeCell ref="C45:I45"/>
    <mergeCell ref="L45:N45"/>
    <mergeCell ref="O45:P45"/>
    <mergeCell ref="Q50:T50"/>
    <mergeCell ref="L65:N65"/>
    <mergeCell ref="C71:I72"/>
    <mergeCell ref="AC69:AF69"/>
    <mergeCell ref="Y68:Z68"/>
    <mergeCell ref="AG52:AJ52"/>
    <mergeCell ref="Q45:T45"/>
    <mergeCell ref="AH66:AJ66"/>
    <mergeCell ref="AG67:AJ67"/>
    <mergeCell ref="O69:P69"/>
    <mergeCell ref="J79:N79"/>
    <mergeCell ref="O79:V79"/>
    <mergeCell ref="W79:Z79"/>
    <mergeCell ref="AA79:AH79"/>
    <mergeCell ref="AI79:AL79"/>
    <mergeCell ref="AN79:AP79"/>
    <mergeCell ref="AR79:AT79"/>
    <mergeCell ref="U71:X71"/>
    <mergeCell ref="AP72:AQ72"/>
    <mergeCell ref="AC75:AF75"/>
    <mergeCell ref="Y78:AB78"/>
    <mergeCell ref="AC78:AF78"/>
    <mergeCell ref="O75:P75"/>
    <mergeCell ref="O71:P71"/>
    <mergeCell ref="L71:N71"/>
    <mergeCell ref="AD72:AF72"/>
    <mergeCell ref="O72:X72"/>
    <mergeCell ref="C102:K104"/>
    <mergeCell ref="AG98:AT98"/>
    <mergeCell ref="Q95:T95"/>
    <mergeCell ref="N91:Q92"/>
    <mergeCell ref="AS75:AT75"/>
    <mergeCell ref="J76:N76"/>
    <mergeCell ref="L75:N75"/>
    <mergeCell ref="L78:N78"/>
    <mergeCell ref="Q78:T78"/>
    <mergeCell ref="J77:N77"/>
    <mergeCell ref="P77:S77"/>
    <mergeCell ref="O85:P85"/>
    <mergeCell ref="AF84:AM84"/>
    <mergeCell ref="AC86:AD86"/>
    <mergeCell ref="AM85:AN85"/>
    <mergeCell ref="U85:V85"/>
    <mergeCell ref="Q84:S84"/>
    <mergeCell ref="S85:T85"/>
    <mergeCell ref="Q85:R85"/>
    <mergeCell ref="Y75:AB75"/>
    <mergeCell ref="AS80:AT80"/>
    <mergeCell ref="C78:I79"/>
    <mergeCell ref="AP78:AR78"/>
    <mergeCell ref="AS78:AT78"/>
    <mergeCell ref="C31:I32"/>
    <mergeCell ref="J32:N32"/>
    <mergeCell ref="O32:T32"/>
    <mergeCell ref="C43:I43"/>
    <mergeCell ref="C44:I44"/>
    <mergeCell ref="Q41:T42"/>
    <mergeCell ref="Q35:T35"/>
    <mergeCell ref="L47:N49"/>
    <mergeCell ref="O60:P60"/>
    <mergeCell ref="O47:P49"/>
    <mergeCell ref="C60:I62"/>
    <mergeCell ref="G48:I48"/>
    <mergeCell ref="C48:E48"/>
    <mergeCell ref="C59:I59"/>
    <mergeCell ref="C46:I46"/>
    <mergeCell ref="G49:I49"/>
    <mergeCell ref="C34:I34"/>
    <mergeCell ref="L41:N42"/>
    <mergeCell ref="L34:N34"/>
    <mergeCell ref="O34:P34"/>
    <mergeCell ref="L46:N46"/>
    <mergeCell ref="J62:N62"/>
    <mergeCell ref="L60:N60"/>
    <mergeCell ref="Q33:T33"/>
    <mergeCell ref="C35:I35"/>
    <mergeCell ref="L35:N35"/>
    <mergeCell ref="O35:P35"/>
    <mergeCell ref="AK35:AM35"/>
    <mergeCell ref="O70:P70"/>
    <mergeCell ref="J66:N66"/>
    <mergeCell ref="Y41:AB42"/>
    <mergeCell ref="C63:I64"/>
    <mergeCell ref="AG35:AJ35"/>
    <mergeCell ref="AK44:AN44"/>
    <mergeCell ref="AG36:AJ36"/>
    <mergeCell ref="Y44:AB44"/>
    <mergeCell ref="L63:N63"/>
    <mergeCell ref="U70:X70"/>
    <mergeCell ref="O61:P61"/>
    <mergeCell ref="U45:X45"/>
    <mergeCell ref="O57:P58"/>
    <mergeCell ref="Q69:T69"/>
    <mergeCell ref="O63:P63"/>
    <mergeCell ref="O46:P46"/>
    <mergeCell ref="AC35:AF35"/>
    <mergeCell ref="L70:N70"/>
    <mergeCell ref="AK41:AT42"/>
    <mergeCell ref="AS35:AT35"/>
    <mergeCell ref="C30:I30"/>
    <mergeCell ref="U16:X19"/>
    <mergeCell ref="AG19:AJ19"/>
    <mergeCell ref="C29:I29"/>
    <mergeCell ref="AC29:AF29"/>
    <mergeCell ref="J30:K30"/>
    <mergeCell ref="C20:K23"/>
    <mergeCell ref="C28:I28"/>
    <mergeCell ref="C26:I27"/>
    <mergeCell ref="AC19:AF19"/>
    <mergeCell ref="Y26:AB27"/>
    <mergeCell ref="L20:M20"/>
    <mergeCell ref="L23:M23"/>
    <mergeCell ref="L22:M22"/>
    <mergeCell ref="Q26:T27"/>
    <mergeCell ref="O30:P30"/>
    <mergeCell ref="Q30:T30"/>
    <mergeCell ref="O26:P27"/>
    <mergeCell ref="L30:N30"/>
    <mergeCell ref="J29:K29"/>
    <mergeCell ref="Q29:T29"/>
    <mergeCell ref="Y18:AB18"/>
    <mergeCell ref="AG18:AJ18"/>
    <mergeCell ref="Y19:AB19"/>
    <mergeCell ref="U30:X30"/>
    <mergeCell ref="L26:N27"/>
    <mergeCell ref="L31:N31"/>
    <mergeCell ref="Q36:T36"/>
    <mergeCell ref="Y35:AB35"/>
    <mergeCell ref="Y36:AB36"/>
    <mergeCell ref="O16:P16"/>
    <mergeCell ref="L18:N18"/>
    <mergeCell ref="L19:N19"/>
    <mergeCell ref="L21:M21"/>
    <mergeCell ref="O31:P31"/>
    <mergeCell ref="U29:X29"/>
    <mergeCell ref="L33:N33"/>
    <mergeCell ref="U34:X34"/>
    <mergeCell ref="BM11:BM23"/>
    <mergeCell ref="Y16:AB16"/>
    <mergeCell ref="AC16:AF16"/>
    <mergeCell ref="AG16:AJ16"/>
    <mergeCell ref="L17:N17"/>
    <mergeCell ref="AQ19:AT19"/>
    <mergeCell ref="Y17:AB17"/>
    <mergeCell ref="AC17:AF17"/>
    <mergeCell ref="AG17:AJ17"/>
    <mergeCell ref="BL11:BL23"/>
    <mergeCell ref="N21:T21"/>
    <mergeCell ref="U20:AT20"/>
    <mergeCell ref="N20:T20"/>
    <mergeCell ref="AP18:AR18"/>
    <mergeCell ref="AK18:AO18"/>
    <mergeCell ref="AS18:AT18"/>
    <mergeCell ref="L13:N14"/>
    <mergeCell ref="O19:P19"/>
    <mergeCell ref="U22:AT22"/>
    <mergeCell ref="U23:AT23"/>
    <mergeCell ref="O18:P18"/>
    <mergeCell ref="Q16:T19"/>
    <mergeCell ref="AK17:AO17"/>
    <mergeCell ref="N23:T23"/>
    <mergeCell ref="AG99:AH100"/>
    <mergeCell ref="Q100:X100"/>
    <mergeCell ref="L97:P97"/>
    <mergeCell ref="L99:N99"/>
    <mergeCell ref="Y100:AF100"/>
    <mergeCell ref="AG86:AH86"/>
    <mergeCell ref="O99:P99"/>
    <mergeCell ref="AE86:AF86"/>
    <mergeCell ref="Q87:S87"/>
    <mergeCell ref="AG96:AT97"/>
    <mergeCell ref="AD96:AF96"/>
    <mergeCell ref="AI99:AT100"/>
    <mergeCell ref="L98:N98"/>
    <mergeCell ref="O98:P98"/>
    <mergeCell ref="Q98:X98"/>
    <mergeCell ref="Y98:AF98"/>
    <mergeCell ref="AC97:AE97"/>
    <mergeCell ref="AI86:AJ86"/>
    <mergeCell ref="Q99:X99"/>
    <mergeCell ref="Y99:AF99"/>
    <mergeCell ref="Q94:X94"/>
    <mergeCell ref="U96:X96"/>
    <mergeCell ref="Y97:AA97"/>
    <mergeCell ref="Y96:AC96"/>
    <mergeCell ref="C16:I16"/>
    <mergeCell ref="C19:I19"/>
    <mergeCell ref="C33:I33"/>
    <mergeCell ref="Y29:AB29"/>
    <mergeCell ref="U21:AT21"/>
    <mergeCell ref="U31:X31"/>
    <mergeCell ref="Y31:AB31"/>
    <mergeCell ref="AP29:AR29"/>
    <mergeCell ref="AS29:AT29"/>
    <mergeCell ref="U33:X33"/>
    <mergeCell ref="O33:P33"/>
    <mergeCell ref="AN31:AO31"/>
    <mergeCell ref="AC18:AF18"/>
    <mergeCell ref="AN33:AO33"/>
    <mergeCell ref="AK19:AO19"/>
    <mergeCell ref="AP30:AR30"/>
    <mergeCell ref="AS30:AT30"/>
    <mergeCell ref="J26:K27"/>
    <mergeCell ref="AK30:AM30"/>
    <mergeCell ref="AN30:AO30"/>
    <mergeCell ref="AK31:AM31"/>
    <mergeCell ref="AS33:AT33"/>
    <mergeCell ref="Q31:T31"/>
    <mergeCell ref="U26:X27"/>
    <mergeCell ref="C4:H4"/>
    <mergeCell ref="L4:AB4"/>
    <mergeCell ref="S5:T5"/>
    <mergeCell ref="M5:N5"/>
    <mergeCell ref="P5:Q5"/>
    <mergeCell ref="Q34:T34"/>
    <mergeCell ref="C5:H5"/>
    <mergeCell ref="AB5:AC5"/>
    <mergeCell ref="C8:I8"/>
    <mergeCell ref="J8:K8"/>
    <mergeCell ref="L8:N8"/>
    <mergeCell ref="P8:R8"/>
    <mergeCell ref="T8:V8"/>
    <mergeCell ref="C15:I15"/>
    <mergeCell ref="AC31:AF31"/>
    <mergeCell ref="AC33:AF33"/>
    <mergeCell ref="O29:P29"/>
    <mergeCell ref="L29:N29"/>
    <mergeCell ref="N22:T22"/>
    <mergeCell ref="AF8:AG8"/>
    <mergeCell ref="L16:N16"/>
    <mergeCell ref="O17:P17"/>
    <mergeCell ref="C17:I17"/>
    <mergeCell ref="C18:I18"/>
    <mergeCell ref="AG41:AJ42"/>
    <mergeCell ref="AC41:AF42"/>
    <mergeCell ref="AP33:AR33"/>
    <mergeCell ref="Y33:AB33"/>
    <mergeCell ref="U35:X35"/>
    <mergeCell ref="AK33:AM33"/>
    <mergeCell ref="Q61:X61"/>
    <mergeCell ref="Q63:T63"/>
    <mergeCell ref="U63:X63"/>
    <mergeCell ref="U57:X58"/>
    <mergeCell ref="AP34:AR34"/>
    <mergeCell ref="AN35:AO35"/>
    <mergeCell ref="AP35:AR35"/>
    <mergeCell ref="AO44:AQ44"/>
    <mergeCell ref="AR44:AT44"/>
    <mergeCell ref="U36:X36"/>
    <mergeCell ref="AS34:AT34"/>
    <mergeCell ref="AK34:AM34"/>
    <mergeCell ref="AN34:AO34"/>
    <mergeCell ref="I3:K3"/>
    <mergeCell ref="J13:K14"/>
    <mergeCell ref="C13:I14"/>
    <mergeCell ref="AG13:AJ14"/>
    <mergeCell ref="AC13:AF14"/>
    <mergeCell ref="Y13:AB14"/>
    <mergeCell ref="U13:X14"/>
    <mergeCell ref="Q13:T14"/>
    <mergeCell ref="C3:H3"/>
    <mergeCell ref="I4:K4"/>
    <mergeCell ref="T3:V3"/>
    <mergeCell ref="L3:Q3"/>
    <mergeCell ref="R3:S3"/>
    <mergeCell ref="Z3:AB3"/>
    <mergeCell ref="J5:K5"/>
    <mergeCell ref="M11:AT12"/>
    <mergeCell ref="AK13:AT14"/>
    <mergeCell ref="O13:P14"/>
    <mergeCell ref="AP3:AT3"/>
    <mergeCell ref="AP4:AT4"/>
    <mergeCell ref="AP5:AT5"/>
    <mergeCell ref="V5:W5"/>
    <mergeCell ref="AL8:AN8"/>
    <mergeCell ref="AP8:AR8"/>
    <mergeCell ref="AL3:AO3"/>
    <mergeCell ref="AC4:AF4"/>
    <mergeCell ref="AE5:AF5"/>
    <mergeCell ref="AH5:AI5"/>
    <mergeCell ref="AF3:AH3"/>
    <mergeCell ref="AC3:AE3"/>
    <mergeCell ref="AI3:AK3"/>
    <mergeCell ref="Y5:Z5"/>
    <mergeCell ref="W3:Y3"/>
    <mergeCell ref="AL4:AO4"/>
    <mergeCell ref="AG4:AK4"/>
    <mergeCell ref="AL5:AO5"/>
    <mergeCell ref="AH8:AJ8"/>
    <mergeCell ref="Y8:AE8"/>
    <mergeCell ref="C195:AT196"/>
    <mergeCell ref="C181:M181"/>
    <mergeCell ref="AK132:AT132"/>
    <mergeCell ref="AK133:AT133"/>
    <mergeCell ref="J146:U146"/>
    <mergeCell ref="AK134:AT134"/>
    <mergeCell ref="AA126:AC126"/>
    <mergeCell ref="AA132:AC132"/>
    <mergeCell ref="C88:M88"/>
    <mergeCell ref="N88:Q88"/>
    <mergeCell ref="AA124:AD125"/>
    <mergeCell ref="Q97:T97"/>
    <mergeCell ref="L109:P109"/>
    <mergeCell ref="J137:U137"/>
    <mergeCell ref="AK142:AT142"/>
    <mergeCell ref="AA141:AC141"/>
    <mergeCell ref="AA145:AC145"/>
    <mergeCell ref="L110:P110"/>
    <mergeCell ref="AA109:AC109"/>
    <mergeCell ref="AK143:AT143"/>
    <mergeCell ref="AK148:AO148"/>
    <mergeCell ref="AK146:AT146"/>
    <mergeCell ref="I152:J153"/>
    <mergeCell ref="AA153:AT153"/>
    <mergeCell ref="BL96:BL98"/>
    <mergeCell ref="BM29:BM30"/>
    <mergeCell ref="BL29:BL30"/>
    <mergeCell ref="BM96:BM98"/>
    <mergeCell ref="Y30:AB30"/>
    <mergeCell ref="AC30:AF30"/>
    <mergeCell ref="BM33:BM34"/>
    <mergeCell ref="BL35:BL36"/>
    <mergeCell ref="BM35:BM36"/>
    <mergeCell ref="Y47:AB47"/>
    <mergeCell ref="AC47:AF47"/>
    <mergeCell ref="AG60:AJ60"/>
    <mergeCell ref="AC57:AF58"/>
    <mergeCell ref="AG57:AJ58"/>
    <mergeCell ref="R91:AT92"/>
    <mergeCell ref="R88:AT88"/>
    <mergeCell ref="Q96:T96"/>
    <mergeCell ref="Q47:T49"/>
    <mergeCell ref="U47:X49"/>
    <mergeCell ref="Y34:AB34"/>
    <mergeCell ref="Q65:T65"/>
    <mergeCell ref="AQ85:AR85"/>
    <mergeCell ref="Y86:Z86"/>
    <mergeCell ref="BM94:BM95"/>
    <mergeCell ref="Q52:T52"/>
    <mergeCell ref="U52:X52"/>
    <mergeCell ref="U60:X60"/>
    <mergeCell ref="Y60:AB60"/>
    <mergeCell ref="Y63:AB63"/>
    <mergeCell ref="Y57:AB58"/>
    <mergeCell ref="U78:X78"/>
    <mergeCell ref="U77:X77"/>
    <mergeCell ref="Y95:AB95"/>
    <mergeCell ref="Y72:AB72"/>
    <mergeCell ref="AI72:AM72"/>
    <mergeCell ref="AQ86:AR86"/>
    <mergeCell ref="U86:V86"/>
    <mergeCell ref="W86:X86"/>
    <mergeCell ref="Q57:T58"/>
    <mergeCell ref="U95:X95"/>
    <mergeCell ref="O76:X76"/>
    <mergeCell ref="Y80:AB80"/>
    <mergeCell ref="U80:X80"/>
    <mergeCell ref="O78:P78"/>
    <mergeCell ref="L94:P95"/>
    <mergeCell ref="AK67:AT67"/>
    <mergeCell ref="BM47:BM49"/>
    <mergeCell ref="AM45:AO45"/>
    <mergeCell ref="AP45:AT45"/>
    <mergeCell ref="AA68:AL68"/>
    <mergeCell ref="O68:X68"/>
    <mergeCell ref="AK57:AT58"/>
    <mergeCell ref="Q67:T67"/>
    <mergeCell ref="U67:X67"/>
    <mergeCell ref="AG50:AJ50"/>
    <mergeCell ref="AG48:AJ48"/>
    <mergeCell ref="O65:P65"/>
    <mergeCell ref="O67:P67"/>
    <mergeCell ref="AS63:AT63"/>
    <mergeCell ref="AP63:AR63"/>
    <mergeCell ref="AN65:AT65"/>
    <mergeCell ref="AG47:AJ47"/>
    <mergeCell ref="Y65:AB65"/>
    <mergeCell ref="AG45:AJ45"/>
    <mergeCell ref="AK65:AM65"/>
    <mergeCell ref="O66:X66"/>
    <mergeCell ref="Y64:Z64"/>
    <mergeCell ref="AA64:AL64"/>
    <mergeCell ref="U65:X65"/>
    <mergeCell ref="Q83:S83"/>
    <mergeCell ref="BL94:BL95"/>
    <mergeCell ref="AC44:AF44"/>
    <mergeCell ref="AC65:AF65"/>
    <mergeCell ref="Y50:AB50"/>
    <mergeCell ref="AC50:AF50"/>
    <mergeCell ref="Y45:AB45"/>
    <mergeCell ref="AC45:AF45"/>
    <mergeCell ref="Y52:AB52"/>
    <mergeCell ref="AC52:AF52"/>
    <mergeCell ref="Y48:AB48"/>
    <mergeCell ref="AC60:AF60"/>
    <mergeCell ref="AC48:AF48"/>
    <mergeCell ref="Y49:AB49"/>
    <mergeCell ref="Y83:AT83"/>
    <mergeCell ref="AG78:AJ78"/>
    <mergeCell ref="AG94:AT95"/>
    <mergeCell ref="AK70:AT70"/>
    <mergeCell ref="AA61:AS61"/>
    <mergeCell ref="AS60:AT60"/>
    <mergeCell ref="AG75:AJ75"/>
    <mergeCell ref="AC80:AF80"/>
    <mergeCell ref="BL47:BL49"/>
    <mergeCell ref="AO85:AP85"/>
    <mergeCell ref="C47:E47"/>
    <mergeCell ref="C50:I51"/>
    <mergeCell ref="L50:N50"/>
    <mergeCell ref="O50:P50"/>
    <mergeCell ref="J51:N51"/>
    <mergeCell ref="O51:P51"/>
    <mergeCell ref="J83:N83"/>
    <mergeCell ref="J82:N82"/>
    <mergeCell ref="C80:I80"/>
    <mergeCell ref="L80:N80"/>
    <mergeCell ref="O80:P80"/>
    <mergeCell ref="G47:I47"/>
    <mergeCell ref="C49:E49"/>
    <mergeCell ref="C65:I66"/>
    <mergeCell ref="P62:S62"/>
    <mergeCell ref="J64:N64"/>
    <mergeCell ref="O64:X64"/>
    <mergeCell ref="L57:N58"/>
    <mergeCell ref="Q60:T60"/>
    <mergeCell ref="U50:X50"/>
    <mergeCell ref="C67:I70"/>
    <mergeCell ref="J68:N68"/>
    <mergeCell ref="L69:N69"/>
    <mergeCell ref="J72:N72"/>
    <mergeCell ref="C84:I87"/>
    <mergeCell ref="J61:N61"/>
    <mergeCell ref="Q82:S82"/>
    <mergeCell ref="J84:N84"/>
    <mergeCell ref="J85:N86"/>
    <mergeCell ref="J87:N87"/>
    <mergeCell ref="AK86:AL86"/>
    <mergeCell ref="AM86:AN86"/>
    <mergeCell ref="AO86:AP86"/>
    <mergeCell ref="AG85:AH85"/>
    <mergeCell ref="AE85:AF85"/>
    <mergeCell ref="AC85:AD85"/>
    <mergeCell ref="AG80:AJ80"/>
    <mergeCell ref="Q80:T80"/>
    <mergeCell ref="AA85:AB85"/>
    <mergeCell ref="Y85:Z85"/>
    <mergeCell ref="V84:AC84"/>
    <mergeCell ref="AG70:AJ70"/>
    <mergeCell ref="U69:X69"/>
    <mergeCell ref="W85:X85"/>
    <mergeCell ref="L67:N67"/>
    <mergeCell ref="C82:I83"/>
    <mergeCell ref="C75:I77"/>
    <mergeCell ref="Y82:AT82"/>
    <mergeCell ref="C113:I113"/>
    <mergeCell ref="C107:K107"/>
    <mergeCell ref="O100:P100"/>
    <mergeCell ref="L107:P107"/>
    <mergeCell ref="V108:Z108"/>
    <mergeCell ref="O86:P86"/>
    <mergeCell ref="Q86:R86"/>
    <mergeCell ref="S86:T86"/>
    <mergeCell ref="AA86:AB86"/>
    <mergeCell ref="C89:I89"/>
    <mergeCell ref="V107:Z107"/>
    <mergeCell ref="C106:P106"/>
    <mergeCell ref="Q106:U106"/>
    <mergeCell ref="Q107:U107"/>
    <mergeCell ref="V106:Z106"/>
    <mergeCell ref="C98:G100"/>
    <mergeCell ref="H100:K100"/>
    <mergeCell ref="H98:K98"/>
    <mergeCell ref="C97:I97"/>
    <mergeCell ref="L102:AT104"/>
    <mergeCell ref="H99:K99"/>
    <mergeCell ref="L100:N100"/>
    <mergeCell ref="U97:X97"/>
    <mergeCell ref="Y94:AF94"/>
    <mergeCell ref="AK128:AT128"/>
    <mergeCell ref="AE126:AJ126"/>
    <mergeCell ref="J130:U130"/>
    <mergeCell ref="J131:U131"/>
    <mergeCell ref="J136:U136"/>
    <mergeCell ref="AA134:AC134"/>
    <mergeCell ref="AK137:AT137"/>
    <mergeCell ref="AK138:AT138"/>
    <mergeCell ref="AA135:AC135"/>
    <mergeCell ref="AE133:AJ133"/>
    <mergeCell ref="AK136:AT136"/>
    <mergeCell ref="AA137:AC137"/>
    <mergeCell ref="AK135:AT135"/>
    <mergeCell ref="J126:U126"/>
    <mergeCell ref="J127:U127"/>
    <mergeCell ref="AA136:AC136"/>
    <mergeCell ref="AA127:AC127"/>
    <mergeCell ref="AE127:AJ127"/>
    <mergeCell ref="AE128:AJ128"/>
    <mergeCell ref="AE137:AJ137"/>
    <mergeCell ref="J132:U132"/>
    <mergeCell ref="J138:U138"/>
    <mergeCell ref="AK127:AT127"/>
    <mergeCell ref="AE138:AJ138"/>
    <mergeCell ref="J94:K95"/>
    <mergeCell ref="C91:M92"/>
    <mergeCell ref="J97:K97"/>
    <mergeCell ref="J96:K96"/>
    <mergeCell ref="AG71:AJ71"/>
    <mergeCell ref="V87:X87"/>
    <mergeCell ref="AG69:AJ69"/>
    <mergeCell ref="Y69:AB69"/>
    <mergeCell ref="AC63:AF63"/>
    <mergeCell ref="Q71:T71"/>
    <mergeCell ref="Y76:Z76"/>
    <mergeCell ref="AA76:AL76"/>
    <mergeCell ref="AG63:AJ63"/>
    <mergeCell ref="AG65:AJ65"/>
    <mergeCell ref="Q70:T70"/>
    <mergeCell ref="C96:I96"/>
    <mergeCell ref="C94:I95"/>
    <mergeCell ref="L96:P96"/>
    <mergeCell ref="AK85:AL85"/>
    <mergeCell ref="AI85:AJ85"/>
    <mergeCell ref="V83:X83"/>
    <mergeCell ref="V82:X82"/>
    <mergeCell ref="Q75:T75"/>
    <mergeCell ref="U75:X75"/>
    <mergeCell ref="Q108:U108"/>
    <mergeCell ref="V110:Z110"/>
    <mergeCell ref="AA117:AB117"/>
    <mergeCell ref="AK124:AT125"/>
    <mergeCell ref="AK126:AT126"/>
    <mergeCell ref="V113:Z113"/>
    <mergeCell ref="M122:AT123"/>
    <mergeCell ref="V119:Z119"/>
    <mergeCell ref="V118:Z118"/>
    <mergeCell ref="J116:U116"/>
    <mergeCell ref="J115:U115"/>
    <mergeCell ref="J114:U114"/>
    <mergeCell ref="AE124:AJ125"/>
    <mergeCell ref="AA113:AB113"/>
    <mergeCell ref="AA114:AB114"/>
    <mergeCell ref="AA115:AB115"/>
    <mergeCell ref="J117:U117"/>
    <mergeCell ref="C124:U125"/>
    <mergeCell ref="V124:Z125"/>
    <mergeCell ref="V116:Z116"/>
    <mergeCell ref="V115:Z115"/>
    <mergeCell ref="V114:Z114"/>
    <mergeCell ref="L108:P108"/>
    <mergeCell ref="C112:I112"/>
    <mergeCell ref="AK129:AT129"/>
    <mergeCell ref="AA129:AC129"/>
    <mergeCell ref="AK130:AT130"/>
    <mergeCell ref="AK131:AT131"/>
    <mergeCell ref="AA130:AC130"/>
    <mergeCell ref="AE132:AJ132"/>
    <mergeCell ref="AD109:AG109"/>
    <mergeCell ref="V117:Z117"/>
    <mergeCell ref="U41:X42"/>
    <mergeCell ref="Y70:AB70"/>
    <mergeCell ref="AC70:AF70"/>
    <mergeCell ref="Y51:Z51"/>
    <mergeCell ref="AA51:AJ51"/>
    <mergeCell ref="AG49:AJ49"/>
    <mergeCell ref="AG44:AJ44"/>
    <mergeCell ref="AC67:AF67"/>
    <mergeCell ref="Y71:AB71"/>
    <mergeCell ref="AC71:AF71"/>
    <mergeCell ref="AC49:AF49"/>
    <mergeCell ref="Y66:AB66"/>
    <mergeCell ref="AD66:AF66"/>
    <mergeCell ref="Y67:AB67"/>
    <mergeCell ref="Y61:Z61"/>
    <mergeCell ref="U62:X62"/>
    <mergeCell ref="AE129:AJ129"/>
    <mergeCell ref="J140:U140"/>
    <mergeCell ref="AE130:AJ130"/>
    <mergeCell ref="V137:Y137"/>
    <mergeCell ref="V136:Y136"/>
    <mergeCell ref="V135:Y135"/>
    <mergeCell ref="V134:Y134"/>
    <mergeCell ref="AA131:AC131"/>
    <mergeCell ref="J134:U134"/>
    <mergeCell ref="AE131:AJ131"/>
    <mergeCell ref="V131:Y131"/>
    <mergeCell ref="V130:Y130"/>
    <mergeCell ref="V129:Y129"/>
    <mergeCell ref="J129:U129"/>
    <mergeCell ref="V138:Y138"/>
    <mergeCell ref="V132:Y132"/>
    <mergeCell ref="AA133:AC133"/>
    <mergeCell ref="AA139:AC139"/>
    <mergeCell ref="C152:H153"/>
    <mergeCell ref="K161:N161"/>
    <mergeCell ref="O161:R161"/>
    <mergeCell ref="U161:X161"/>
    <mergeCell ref="Y156:AB156"/>
    <mergeCell ref="J141:U141"/>
    <mergeCell ref="C109:K109"/>
    <mergeCell ref="C110:K110"/>
    <mergeCell ref="C126:I147"/>
    <mergeCell ref="J128:U128"/>
    <mergeCell ref="V109:Z109"/>
    <mergeCell ref="V126:Y126"/>
    <mergeCell ref="V133:Y133"/>
    <mergeCell ref="Q109:U109"/>
    <mergeCell ref="V143:Y143"/>
    <mergeCell ref="V142:Y142"/>
    <mergeCell ref="V141:Y141"/>
    <mergeCell ref="V140:Y140"/>
    <mergeCell ref="V139:Y139"/>
    <mergeCell ref="K112:U112"/>
    <mergeCell ref="Q110:U110"/>
    <mergeCell ref="J119:U119"/>
    <mergeCell ref="J118:U118"/>
    <mergeCell ref="AA118:AB118"/>
    <mergeCell ref="Y163:AB163"/>
    <mergeCell ref="Y167:AB167"/>
    <mergeCell ref="Q166:X166"/>
    <mergeCell ref="Q165:X165"/>
    <mergeCell ref="Q164:X164"/>
    <mergeCell ref="N181:Q181"/>
    <mergeCell ref="K164:P167"/>
    <mergeCell ref="C182:M183"/>
    <mergeCell ref="C163:J167"/>
    <mergeCell ref="C174:J175"/>
    <mergeCell ref="V181:AT181"/>
    <mergeCell ref="R181:U181"/>
    <mergeCell ref="AC165:AF165"/>
    <mergeCell ref="V182:AT189"/>
    <mergeCell ref="AC163:AF163"/>
    <mergeCell ref="AC167:AF167"/>
    <mergeCell ref="AC166:AF166"/>
    <mergeCell ref="Q167:X167"/>
    <mergeCell ref="N182:Q183"/>
    <mergeCell ref="K174:AT174"/>
    <mergeCell ref="K175:AT175"/>
    <mergeCell ref="AK140:AT140"/>
    <mergeCell ref="AK141:AT141"/>
    <mergeCell ref="AE141:AJ141"/>
    <mergeCell ref="BM27:BM28"/>
    <mergeCell ref="BL27:BL28"/>
    <mergeCell ref="AC36:AF36"/>
    <mergeCell ref="AG34:AJ34"/>
    <mergeCell ref="AG33:AJ33"/>
    <mergeCell ref="BM31:BM32"/>
    <mergeCell ref="AG30:AJ30"/>
    <mergeCell ref="BL37:BL38"/>
    <mergeCell ref="BM37:BM38"/>
    <mergeCell ref="AG29:AJ29"/>
    <mergeCell ref="AK26:AT27"/>
    <mergeCell ref="AG26:AJ27"/>
    <mergeCell ref="AC26:AF27"/>
    <mergeCell ref="BL33:BL34"/>
    <mergeCell ref="BL31:BL32"/>
    <mergeCell ref="AG31:AJ31"/>
    <mergeCell ref="AC34:AF34"/>
    <mergeCell ref="AP31:AR31"/>
    <mergeCell ref="AS31:AT31"/>
    <mergeCell ref="AK29:AM29"/>
    <mergeCell ref="AN29:AO29"/>
    <mergeCell ref="C190:M191"/>
    <mergeCell ref="R190:U191"/>
    <mergeCell ref="R188:U189"/>
    <mergeCell ref="Y166:AB166"/>
    <mergeCell ref="C184:M187"/>
    <mergeCell ref="C188:M189"/>
    <mergeCell ref="R184:U187"/>
    <mergeCell ref="R182:U183"/>
    <mergeCell ref="N190:Q191"/>
    <mergeCell ref="N188:Q189"/>
    <mergeCell ref="N184:Q187"/>
    <mergeCell ref="K176:AT176"/>
    <mergeCell ref="V190:AT191"/>
    <mergeCell ref="AK152:AT152"/>
    <mergeCell ref="M149:V151"/>
    <mergeCell ref="W149:X151"/>
    <mergeCell ref="Y149:AH151"/>
    <mergeCell ref="AI149:AJ151"/>
    <mergeCell ref="AK149:AT151"/>
    <mergeCell ref="AG152:AJ152"/>
    <mergeCell ref="Y152:Z153"/>
    <mergeCell ref="K155:P155"/>
    <mergeCell ref="AK161:AN161"/>
    <mergeCell ref="AQ161:AT161"/>
    <mergeCell ref="AK156:AN156"/>
    <mergeCell ref="AE161:AH161"/>
    <mergeCell ref="AK159:AT159"/>
    <mergeCell ref="AA161:AD161"/>
    <mergeCell ref="S160:V160"/>
    <mergeCell ref="AC156:AH156"/>
    <mergeCell ref="AC159:AJ159"/>
    <mergeCell ref="Y157:AB157"/>
    <mergeCell ref="S157:V157"/>
    <mergeCell ref="Y159:AB159"/>
    <mergeCell ref="AQ156:AT156"/>
    <mergeCell ref="S159:V159"/>
    <mergeCell ref="Y160:AB160"/>
    <mergeCell ref="AE145:AJ145"/>
    <mergeCell ref="AE143:AJ143"/>
    <mergeCell ref="AB152:AC152"/>
    <mergeCell ref="AE152:AF152"/>
    <mergeCell ref="V148:AJ148"/>
    <mergeCell ref="K152:X153"/>
    <mergeCell ref="K160:P160"/>
    <mergeCell ref="Y165:AB165"/>
    <mergeCell ref="Y164:AB164"/>
    <mergeCell ref="K156:P156"/>
    <mergeCell ref="K154:P154"/>
    <mergeCell ref="S154:V154"/>
    <mergeCell ref="Y154:AB154"/>
    <mergeCell ref="S156:V156"/>
    <mergeCell ref="AA143:AC143"/>
    <mergeCell ref="AA144:AC144"/>
    <mergeCell ref="S158:U158"/>
    <mergeCell ref="X158:Z158"/>
    <mergeCell ref="AC158:AE158"/>
    <mergeCell ref="Q155:AH155"/>
    <mergeCell ref="K157:P157"/>
    <mergeCell ref="K158:P158"/>
    <mergeCell ref="K159:P159"/>
    <mergeCell ref="AC164:AF164"/>
    <mergeCell ref="V128:Y128"/>
    <mergeCell ref="V127:Y127"/>
    <mergeCell ref="AK15:AN15"/>
    <mergeCell ref="AO15:AT15"/>
    <mergeCell ref="AK147:AT147"/>
    <mergeCell ref="J145:U145"/>
    <mergeCell ref="AA138:AC138"/>
    <mergeCell ref="AE139:AJ139"/>
    <mergeCell ref="AE140:AJ140"/>
    <mergeCell ref="C108:K108"/>
    <mergeCell ref="AC95:AF95"/>
    <mergeCell ref="AK144:AT144"/>
    <mergeCell ref="AE134:AJ134"/>
    <mergeCell ref="AA140:AC140"/>
    <mergeCell ref="AK139:AT139"/>
    <mergeCell ref="J133:U133"/>
    <mergeCell ref="J135:U135"/>
    <mergeCell ref="J139:U139"/>
    <mergeCell ref="AK145:AT145"/>
    <mergeCell ref="V144:Y144"/>
    <mergeCell ref="AE146:AJ146"/>
    <mergeCell ref="J147:U147"/>
    <mergeCell ref="AE142:AJ142"/>
    <mergeCell ref="AA142:AC142"/>
    <mergeCell ref="C154:J158"/>
    <mergeCell ref="G159:J159"/>
    <mergeCell ref="V112:AB112"/>
    <mergeCell ref="AE147:AJ147"/>
    <mergeCell ref="AA146:AC146"/>
    <mergeCell ref="K149:L151"/>
    <mergeCell ref="L89:N89"/>
    <mergeCell ref="O89:AT89"/>
    <mergeCell ref="C114:I120"/>
    <mergeCell ref="J120:U120"/>
    <mergeCell ref="V120:Z120"/>
    <mergeCell ref="AP148:AR148"/>
    <mergeCell ref="AE144:AJ144"/>
    <mergeCell ref="C149:J151"/>
    <mergeCell ref="J142:U142"/>
    <mergeCell ref="V147:Z147"/>
    <mergeCell ref="J143:U143"/>
    <mergeCell ref="J144:U144"/>
    <mergeCell ref="V146:Y146"/>
    <mergeCell ref="V145:Y145"/>
    <mergeCell ref="AE135:AJ135"/>
    <mergeCell ref="AE136:AJ136"/>
    <mergeCell ref="AA128:AC128"/>
    <mergeCell ref="AA116:AB116"/>
  </mergeCells>
  <phoneticPr fontId="3"/>
  <conditionalFormatting sqref="R197:AT197 R194:AT194">
    <cfRule type="expression" dxfId="134" priority="1190" stopIfTrue="1">
      <formula>#REF!&lt;&gt;""</formula>
    </cfRule>
  </conditionalFormatting>
  <conditionalFormatting sqref="L4:AB4">
    <cfRule type="expression" dxfId="133" priority="821">
      <formula>$L$4="未登録"</formula>
    </cfRule>
  </conditionalFormatting>
  <conditionalFormatting sqref="C195:AT196">
    <cfRule type="expression" dxfId="132" priority="813">
      <formula>$C$195="ご記入ありがとうございました。SBPSにて本書を受け取り次第、お手続きを進めさせていただきます。"</formula>
    </cfRule>
  </conditionalFormatting>
  <conditionalFormatting sqref="J5">
    <cfRule type="expression" dxfId="131" priority="476">
      <formula>$J$5="※"</formula>
    </cfRule>
  </conditionalFormatting>
  <conditionalFormatting sqref="M5">
    <cfRule type="expression" dxfId="130" priority="475">
      <formula>$M$5="※"</formula>
    </cfRule>
  </conditionalFormatting>
  <conditionalFormatting sqref="P5">
    <cfRule type="expression" dxfId="129" priority="474">
      <formula>$P$5="※"</formula>
    </cfRule>
  </conditionalFormatting>
  <conditionalFormatting sqref="S5">
    <cfRule type="expression" dxfId="128" priority="473">
      <formula>$S$5="※"</formula>
    </cfRule>
  </conditionalFormatting>
  <conditionalFormatting sqref="V5">
    <cfRule type="expression" dxfId="127" priority="472">
      <formula>$V$5="※"</formula>
    </cfRule>
  </conditionalFormatting>
  <conditionalFormatting sqref="AB5">
    <cfRule type="expression" dxfId="126" priority="471">
      <formula>$AB$5&lt;&gt;"-"</formula>
    </cfRule>
  </conditionalFormatting>
  <conditionalFormatting sqref="AE5">
    <cfRule type="expression" dxfId="125" priority="470">
      <formula>$AE$5&lt;&gt;"-"</formula>
    </cfRule>
  </conditionalFormatting>
  <conditionalFormatting sqref="AP3:AT3">
    <cfRule type="expression" dxfId="124" priority="467">
      <formula>$AP$3=""</formula>
    </cfRule>
  </conditionalFormatting>
  <conditionalFormatting sqref="I4:K4">
    <cfRule type="expression" dxfId="123" priority="466">
      <formula>$I$4=""</formula>
    </cfRule>
  </conditionalFormatting>
  <conditionalFormatting sqref="Y5">
    <cfRule type="expression" dxfId="122" priority="440">
      <formula>$Y$5&lt;&gt;"-"</formula>
    </cfRule>
  </conditionalFormatting>
  <conditionalFormatting sqref="W3">
    <cfRule type="expression" dxfId="121" priority="3057">
      <formula>$W$3=""</formula>
    </cfRule>
  </conditionalFormatting>
  <conditionalFormatting sqref="AI3">
    <cfRule type="expression" dxfId="120" priority="432">
      <formula>$AI$3=""</formula>
    </cfRule>
  </conditionalFormatting>
  <conditionalFormatting sqref="K149:AT151">
    <cfRule type="expression" dxfId="119" priority="285">
      <formula>$AV$150=0</formula>
    </cfRule>
  </conditionalFormatting>
  <conditionalFormatting sqref="AA126:AC144">
    <cfRule type="expression" dxfId="118" priority="284">
      <formula>AA126=""</formula>
    </cfRule>
  </conditionalFormatting>
  <conditionalFormatting sqref="C184">
    <cfRule type="expression" dxfId="117" priority="279">
      <formula>#REF!="ご記入ありがとうございました　本エントリーシートをご提出いただき次第お手続きを進めさせていただきます"</formula>
    </cfRule>
  </conditionalFormatting>
  <conditionalFormatting sqref="N184">
    <cfRule type="expression" dxfId="116" priority="275">
      <formula>#REF!="ご記入ありがとうございました　本エントリーシートをご提出いただき次第お手続きを進めさせていただきます"</formula>
    </cfRule>
  </conditionalFormatting>
  <conditionalFormatting sqref="N182">
    <cfRule type="expression" dxfId="115" priority="276">
      <formula>#REF!="ご記入ありがとうございました　本エントリーシートをご提出いただき次第お手続きを進めさせていただきます"</formula>
    </cfRule>
  </conditionalFormatting>
  <conditionalFormatting sqref="Q99:AF99">
    <cfRule type="expression" dxfId="114" priority="3147">
      <formula>$AV$96=TRUE</formula>
    </cfRule>
  </conditionalFormatting>
  <conditionalFormatting sqref="Q100:AF100">
    <cfRule type="expression" dxfId="113" priority="259">
      <formula>$AV$97=TRUE</formula>
    </cfRule>
  </conditionalFormatting>
  <conditionalFormatting sqref="AG99:AT100">
    <cfRule type="expression" dxfId="112" priority="256">
      <formula>#REF!=TRUE</formula>
    </cfRule>
    <cfRule type="expression" dxfId="111" priority="257">
      <formula>OR($AV$96=TRUE,$AV$97=TRUE)</formula>
    </cfRule>
  </conditionalFormatting>
  <conditionalFormatting sqref="Q99:AF100">
    <cfRule type="notContainsBlanks" dxfId="110" priority="258">
      <formula>LEN(TRIM(Q99))&gt;0</formula>
    </cfRule>
  </conditionalFormatting>
  <conditionalFormatting sqref="Q96:T96">
    <cfRule type="expression" dxfId="109" priority="247">
      <formula>AND($AV$96=TRUE,$Q$96=0)</formula>
    </cfRule>
  </conditionalFormatting>
  <conditionalFormatting sqref="Y96:AC96">
    <cfRule type="expression" dxfId="108" priority="246">
      <formula>AND($AV$96=TRUE,$Y$96=0)</formula>
    </cfRule>
  </conditionalFormatting>
  <conditionalFormatting sqref="Q97:T97">
    <cfRule type="expression" dxfId="107" priority="245">
      <formula>AND($AV$97=TRUE,$Q$97=0)</formula>
    </cfRule>
  </conditionalFormatting>
  <conditionalFormatting sqref="Y97:AA97">
    <cfRule type="expression" dxfId="106" priority="244">
      <formula>AND($AV$97=TRUE,$Y$97=0)</formula>
    </cfRule>
  </conditionalFormatting>
  <conditionalFormatting sqref="AC97:AE97">
    <cfRule type="expression" dxfId="105" priority="243">
      <formula>AND($AV$97=TRUE,$AC$97=0)</formula>
    </cfRule>
  </conditionalFormatting>
  <conditionalFormatting sqref="L8 P8 T8">
    <cfRule type="expression" dxfId="104" priority="242">
      <formula>L8=""</formula>
    </cfRule>
  </conditionalFormatting>
  <conditionalFormatting sqref="AH8 AL8 AP8">
    <cfRule type="expression" dxfId="103" priority="241">
      <formula>AH8=""</formula>
    </cfRule>
  </conditionalFormatting>
  <conditionalFormatting sqref="I3:K3">
    <cfRule type="expression" dxfId="102" priority="240">
      <formula>$I$2&lt;&gt;""</formula>
    </cfRule>
  </conditionalFormatting>
  <conditionalFormatting sqref="V113:Z119">
    <cfRule type="expression" dxfId="101" priority="236">
      <formula>V113=""</formula>
    </cfRule>
  </conditionalFormatting>
  <conditionalFormatting sqref="Y19:AJ19">
    <cfRule type="expression" dxfId="100" priority="224">
      <formula>AND($AV19=TRUE,SUM($Y19:$AJ19)=0)</formula>
    </cfRule>
  </conditionalFormatting>
  <conditionalFormatting sqref="Y35:AJ35">
    <cfRule type="expression" dxfId="99" priority="221">
      <formula>AND($AV$34=TRUE,SUM($Y$35:$AJ$35)=0,$AS$35="包括")</formula>
    </cfRule>
  </conditionalFormatting>
  <conditionalFormatting sqref="Y44:AJ45">
    <cfRule type="expression" dxfId="98" priority="217">
      <formula>AND($AV44=TRUE,SUM($Y44:$AJ44)=0)</formula>
    </cfRule>
  </conditionalFormatting>
  <conditionalFormatting sqref="Y47:AJ49">
    <cfRule type="expression" dxfId="97" priority="216">
      <formula>AND($AV$47=TRUE,SUM($Y47:$AJ47)=0)</formula>
    </cfRule>
  </conditionalFormatting>
  <conditionalFormatting sqref="AH5:AI5">
    <cfRule type="expression" dxfId="96" priority="202">
      <formula>$AH$5&lt;&gt;"-"</formula>
    </cfRule>
  </conditionalFormatting>
  <conditionalFormatting sqref="L107:P107">
    <cfRule type="expression" dxfId="95" priority="197">
      <formula>AND(OR(LEFT($O$18,2)="早期",LEFT($O$29,2)="早期",LEFT($O$30,2)="早期"),$AV$109=FALSE)</formula>
    </cfRule>
  </conditionalFormatting>
  <conditionalFormatting sqref="O61:X61">
    <cfRule type="expression" dxfId="94" priority="193">
      <formula>AND($AV$60=TRUE,OR($AV$61="",$AV$61="0000"))</formula>
    </cfRule>
  </conditionalFormatting>
  <conditionalFormatting sqref="Y61:AA61">
    <cfRule type="expression" dxfId="93" priority="192">
      <formula>AND($AV$60=TRUE,OR($AV$62="",$AV$62="0000",LEFT($AV$61,2)&lt;&gt;LEFT($AV$62,2)))</formula>
    </cfRule>
  </conditionalFormatting>
  <conditionalFormatting sqref="T62:U62 O62:P62">
    <cfRule type="expression" dxfId="92" priority="191">
      <formula>AND($AV$60=TRUE,$AV$63=0)</formula>
    </cfRule>
  </conditionalFormatting>
  <conditionalFormatting sqref="Y60:AJ60">
    <cfRule type="expression" dxfId="91" priority="190">
      <formula>AND($AV$60=TRUE,SUM($Q$60:$AJ$60)=0)</formula>
    </cfRule>
  </conditionalFormatting>
  <conditionalFormatting sqref="Y65:AJ65">
    <cfRule type="expression" dxfId="90" priority="188">
      <formula>AND($AV65=TRUE,SUM($Q65:$AJ65)=0)</formula>
    </cfRule>
  </conditionalFormatting>
  <conditionalFormatting sqref="Y69:AJ70">
    <cfRule type="expression" dxfId="89" priority="189">
      <formula>AND($AV69=TRUE,SUM($Q69:$AJ69)=0)</formula>
    </cfRule>
  </conditionalFormatting>
  <conditionalFormatting sqref="O66:X66">
    <cfRule type="expression" dxfId="88" priority="187">
      <formula>AND($AV$65=TRUE,OR($AV$66="00",$AV$66=""))</formula>
    </cfRule>
  </conditionalFormatting>
  <conditionalFormatting sqref="AC66:AJ66">
    <cfRule type="expression" dxfId="87" priority="184">
      <formula>AND($AV$65=TRUE,$AW$66=0)</formula>
    </cfRule>
  </conditionalFormatting>
  <conditionalFormatting sqref="Y67:AJ67">
    <cfRule type="expression" dxfId="86" priority="183">
      <formula>AND($AV67=TRUE,SUM($Q67:$AJ67)=0)</formula>
    </cfRule>
  </conditionalFormatting>
  <conditionalFormatting sqref="Y71:AJ71">
    <cfRule type="expression" dxfId="85" priority="182">
      <formula>AND($AV71=TRUE,SUM($Q71:$AJ71)=0)</formula>
    </cfRule>
  </conditionalFormatting>
  <conditionalFormatting sqref="O68:X68">
    <cfRule type="expression" dxfId="84" priority="180">
      <formula>AND($AV$67=TRUE,OR($AV$68="",$AV$68="0000"))</formula>
    </cfRule>
  </conditionalFormatting>
  <conditionalFormatting sqref="Y68:AL68">
    <cfRule type="expression" dxfId="83" priority="179">
      <formula>AND($AV$67=TRUE,OR($AV$69="",$AV$69="0000",LEFT($AV$68,2)&lt;&gt;LEFT($AV$69,2)))</formula>
    </cfRule>
  </conditionalFormatting>
  <conditionalFormatting sqref="O72:X72">
    <cfRule type="expression" dxfId="82" priority="176">
      <formula>AND($AV$71=TRUE,OR($AV$72="",$AV$72="00"))</formula>
    </cfRule>
  </conditionalFormatting>
  <conditionalFormatting sqref="Y75:AJ75">
    <cfRule type="expression" dxfId="81" priority="173">
      <formula>AND($AV75=TRUE,SUM($Q75:$AJ75)=0)</formula>
    </cfRule>
  </conditionalFormatting>
  <conditionalFormatting sqref="O76:X76">
    <cfRule type="expression" dxfId="80" priority="172">
      <formula>AND($AV$75=TRUE,OR($AV$76="",$AV$76="0000"))</formula>
    </cfRule>
  </conditionalFormatting>
  <conditionalFormatting sqref="AA76:AL76">
    <cfRule type="expression" dxfId="79" priority="171">
      <formula>AND($AV$75=TRUE,OR($AV$77="",$AV$77="0000",LEFT($AV$76,2)&lt;&gt;LEFT($AV$77,2)))</formula>
    </cfRule>
  </conditionalFormatting>
  <conditionalFormatting sqref="J126:U126">
    <cfRule type="expression" dxfId="78" priority="170">
      <formula>$J$126="選択して下さい"</formula>
    </cfRule>
  </conditionalFormatting>
  <conditionalFormatting sqref="C152:AT153">
    <cfRule type="expression" dxfId="77" priority="166">
      <formula>$AV$150&lt;&gt;3</formula>
    </cfRule>
  </conditionalFormatting>
  <conditionalFormatting sqref="K152:X153 AB152:AC152 AE152:AF152 AK152:AT152 AA153:AT153">
    <cfRule type="expression" dxfId="76" priority="167">
      <formula>AND($AV$150=3,K152="")</formula>
    </cfRule>
  </conditionalFormatting>
  <conditionalFormatting sqref="Y16:AJ16">
    <cfRule type="expression" dxfId="75" priority="6">
      <formula>AND($AV$17=TRUE,SUM($Y$16:$AJ$16)=0)</formula>
    </cfRule>
  </conditionalFormatting>
  <conditionalFormatting sqref="D25:R25">
    <cfRule type="expression" dxfId="74" priority="164">
      <formula>$AV$25="NG"</formula>
    </cfRule>
  </conditionalFormatting>
  <conditionalFormatting sqref="Q51:X51">
    <cfRule type="expression" dxfId="73" priority="162">
      <formula>AND($AV$50=TRUE,OR($AV$51="",$AV$51="0000"))</formula>
    </cfRule>
  </conditionalFormatting>
  <conditionalFormatting sqref="AA51:AJ51">
    <cfRule type="expression" dxfId="72" priority="161">
      <formula>AND(AV50=TRUE,OR(AV51="0000",AW51="0000",LEFT(AV51,2)&lt;&gt;LEFT(AW51,2)))</formula>
    </cfRule>
  </conditionalFormatting>
  <conditionalFormatting sqref="Y50:AJ50">
    <cfRule type="expression" dxfId="71" priority="160">
      <formula>AND($AV50=TRUE,SUM($Y50:$AJ50)=0)</formula>
    </cfRule>
  </conditionalFormatting>
  <conditionalFormatting sqref="AC72:AT72">
    <cfRule type="expression" dxfId="70" priority="159">
      <formula>AND($AV$71=TRUE,$AW$72=0)</formula>
    </cfRule>
  </conditionalFormatting>
  <conditionalFormatting sqref="O77:X77">
    <cfRule type="expression" dxfId="69" priority="158">
      <formula>AND($AV$75=TRUE,$AY$77=0)</formula>
    </cfRule>
  </conditionalFormatting>
  <conditionalFormatting sqref="C50:AT51">
    <cfRule type="expression" dxfId="68" priority="146">
      <formula>$AV$82=2</formula>
    </cfRule>
  </conditionalFormatting>
  <conditionalFormatting sqref="C78:AT79">
    <cfRule type="expression" dxfId="67" priority="18">
      <formula>$AV$82=2</formula>
    </cfRule>
  </conditionalFormatting>
  <conditionalFormatting sqref="C20:K23">
    <cfRule type="expression" dxfId="66" priority="128">
      <formula>VLOOKUP($AV$2,INDIRECT($AV$4),57,FALSE)=0</formula>
    </cfRule>
  </conditionalFormatting>
  <conditionalFormatting sqref="L10:AB10">
    <cfRule type="expression" dxfId="65" priority="108">
      <formula>$L$10&lt;&gt;""</formula>
    </cfRule>
  </conditionalFormatting>
  <conditionalFormatting sqref="O82:X82">
    <cfRule type="expression" dxfId="64" priority="107">
      <formula>AND($AV$42=TRUE,$AV$82=0)</formula>
    </cfRule>
  </conditionalFormatting>
  <conditionalFormatting sqref="O83:X83">
    <cfRule type="expression" dxfId="63" priority="106">
      <formula>AND($AV$42=TRUE,$AV$83=0)</formula>
    </cfRule>
  </conditionalFormatting>
  <conditionalFormatting sqref="K154:AB154 K155:AH155 K156:AT156 K157:AB157">
    <cfRule type="expression" dxfId="62" priority="88">
      <formula>$AV$154=0</formula>
    </cfRule>
  </conditionalFormatting>
  <conditionalFormatting sqref="K155:Q155">
    <cfRule type="expression" dxfId="61" priority="86">
      <formula>AND($AV$154=2,$Q$155="")</formula>
    </cfRule>
  </conditionalFormatting>
  <conditionalFormatting sqref="K155:AT157">
    <cfRule type="expression" dxfId="60" priority="87">
      <formula>$AV$154=1</formula>
    </cfRule>
  </conditionalFormatting>
  <conditionalFormatting sqref="K156:AB156">
    <cfRule type="expression" dxfId="59" priority="85">
      <formula>AND($AV$154=2,$AV$156=0)</formula>
    </cfRule>
  </conditionalFormatting>
  <conditionalFormatting sqref="AC156:AT156">
    <cfRule type="expression" dxfId="58" priority="84">
      <formula>AND($AV$154=2,$AW$156=0)</formula>
    </cfRule>
  </conditionalFormatting>
  <conditionalFormatting sqref="K157:AB157">
    <cfRule type="expression" dxfId="57" priority="83">
      <formula>AND($AV$154=2,$AV$157=0)</formula>
    </cfRule>
  </conditionalFormatting>
  <conditionalFormatting sqref="K158:AE158">
    <cfRule type="expression" dxfId="56" priority="82">
      <formula>$AV$158=0</formula>
    </cfRule>
  </conditionalFormatting>
  <conditionalFormatting sqref="K159:AT159">
    <cfRule type="expression" dxfId="55" priority="74">
      <formula>$AV$159=0</formula>
    </cfRule>
  </conditionalFormatting>
  <conditionalFormatting sqref="K160:AB160">
    <cfRule type="expression" dxfId="54" priority="80">
      <formula>$AV$160=0</formula>
    </cfRule>
  </conditionalFormatting>
  <conditionalFormatting sqref="O161:AD161">
    <cfRule type="expression" dxfId="53" priority="78">
      <formula>$AV$161=0</formula>
    </cfRule>
  </conditionalFormatting>
  <conditionalFormatting sqref="AE161:AT161">
    <cfRule type="expression" dxfId="52" priority="79">
      <formula>$AW$161=0</formula>
    </cfRule>
  </conditionalFormatting>
  <conditionalFormatting sqref="C82:AT83">
    <cfRule type="expression" dxfId="51" priority="76">
      <formula>$AV$42=FALSE</formula>
    </cfRule>
  </conditionalFormatting>
  <conditionalFormatting sqref="K161:N161">
    <cfRule type="expression" dxfId="50" priority="77">
      <formula>OR($AV$161=0,$AW$161=0)</formula>
    </cfRule>
  </conditionalFormatting>
  <conditionalFormatting sqref="AC159:AT159">
    <cfRule type="expression" dxfId="49" priority="81">
      <formula>$AV$159=1</formula>
    </cfRule>
  </conditionalFormatting>
  <conditionalFormatting sqref="AC159:AT159">
    <cfRule type="expression" dxfId="48" priority="73">
      <formula>AND($AV$159=2,$AK$159="")</formula>
    </cfRule>
  </conditionalFormatting>
  <conditionalFormatting sqref="Y63:AJ63">
    <cfRule type="expression" dxfId="47" priority="143">
      <formula>AND($AV$64=TRUE,SUM($Q$63:$AJ$63)=0,$AS$63="包括")</formula>
    </cfRule>
  </conditionalFormatting>
  <conditionalFormatting sqref="O64:X64">
    <cfRule type="expression" dxfId="46" priority="102">
      <formula>AND($AV$64=TRUE,OR($BA$62="",$BA$62="0000"))</formula>
    </cfRule>
  </conditionalFormatting>
  <conditionalFormatting sqref="Y64:AL64">
    <cfRule type="expression" dxfId="45" priority="101">
      <formula>AND($AV$64=TRUE,OR($BA$63="",$BA$63="0000",LEFT($BA$62,2)&lt;&gt;LEFT($BA$63,2)))</formula>
    </cfRule>
  </conditionalFormatting>
  <conditionalFormatting sqref="S25:AE25">
    <cfRule type="expression" dxfId="44" priority="3149">
      <formula>$S$25&lt;&gt;""</formula>
    </cfRule>
  </conditionalFormatting>
  <conditionalFormatting sqref="AF25:AT25">
    <cfRule type="expression" dxfId="43" priority="62">
      <formula>$AF$25&lt;&gt;""</formula>
    </cfRule>
  </conditionalFormatting>
  <conditionalFormatting sqref="O84:AM84">
    <cfRule type="expression" dxfId="42" priority="58">
      <formula>$AV$84=0</formula>
    </cfRule>
  </conditionalFormatting>
  <conditionalFormatting sqref="O87:X87">
    <cfRule type="expression" dxfId="41" priority="56">
      <formula>$AV$87=0</formula>
    </cfRule>
  </conditionalFormatting>
  <conditionalFormatting sqref="J85:AT86">
    <cfRule type="expression" dxfId="40" priority="48">
      <formula>$AV$84&lt;&gt;2</formula>
    </cfRule>
  </conditionalFormatting>
  <conditionalFormatting sqref="Q85:X85">
    <cfRule type="expression" dxfId="39" priority="54">
      <formula>AND($AV$84=2,OR($Q$85="",$S$85="",$U$85="",$W$85=""))</formula>
    </cfRule>
  </conditionalFormatting>
  <conditionalFormatting sqref="AA85:AH85">
    <cfRule type="expression" dxfId="38" priority="53">
      <formula>AND($AA$85&lt;&gt;"",OR($AC$85="",$AE$85="",$AG$85=""))</formula>
    </cfRule>
  </conditionalFormatting>
  <conditionalFormatting sqref="AK85:AR85">
    <cfRule type="expression" dxfId="37" priority="52">
      <formula>AND($AK$85&lt;&gt;"",OR($AM$85="",$AO$85="",$AQ$85=""))</formula>
    </cfRule>
  </conditionalFormatting>
  <conditionalFormatting sqref="Q86:X86">
    <cfRule type="expression" dxfId="36" priority="51">
      <formula>AND($Q$86&lt;&gt;"",OR($S$86="",$U$86="",$W$86=""))</formula>
    </cfRule>
  </conditionalFormatting>
  <conditionalFormatting sqref="AA86:AH86">
    <cfRule type="expression" dxfId="35" priority="50">
      <formula>AND($AA$86&lt;&gt;"",OR($AC$86="",$AE$86="",$AG$86=""))</formula>
    </cfRule>
  </conditionalFormatting>
  <conditionalFormatting sqref="AK86:AR86">
    <cfRule type="expression" dxfId="34" priority="49">
      <formula>AND($AK$86&lt;&gt;"",OR($AM$86="",$AO$86="",$AQ$86=""))</formula>
    </cfRule>
  </conditionalFormatting>
  <conditionalFormatting sqref="J114:AB114">
    <cfRule type="expression" dxfId="33" priority="47">
      <formula>$AV$158=2</formula>
    </cfRule>
  </conditionalFormatting>
  <conditionalFormatting sqref="J115:AB115">
    <cfRule type="expression" dxfId="32" priority="46">
      <formula>OR($AV$158=1,$AV$158=3)</formula>
    </cfRule>
  </conditionalFormatting>
  <conditionalFormatting sqref="J116:AB116">
    <cfRule type="expression" dxfId="31" priority="45">
      <formula>$AV$28=FALSE</formula>
    </cfRule>
  </conditionalFormatting>
  <conditionalFormatting sqref="J117:AB117">
    <cfRule type="expression" dxfId="30" priority="44">
      <formula>OR($AV$84=0,$AV$84=1)</formula>
    </cfRule>
  </conditionalFormatting>
  <conditionalFormatting sqref="J118:AB118">
    <cfRule type="expression" dxfId="29" priority="43">
      <formula>$AV$42=FALSE</formula>
    </cfRule>
  </conditionalFormatting>
  <conditionalFormatting sqref="Y18:AJ18">
    <cfRule type="expression" dxfId="28" priority="42">
      <formula>AND($AV$18=TRUE,SUM($Y18:$AJ18)=0,$AS$18="包括")</formula>
    </cfRule>
  </conditionalFormatting>
  <conditionalFormatting sqref="Y17:AJ17">
    <cfRule type="expression" dxfId="27" priority="41">
      <formula>AND($AV$17=TRUE,SUM($Y$17:$AJ$17)=0)</formula>
    </cfRule>
  </conditionalFormatting>
  <conditionalFormatting sqref="AP18:AT18">
    <cfRule type="expression" dxfId="26" priority="40">
      <formula>OR(IF(AND($AV$18=TRUE,$AV$29=TRUE),$AS$18&lt;&gt;$AS$29),IF(AND($AV$18=TRUE,$AV$30=TRUE),$AS$18&lt;&gt;$AS$30),IF(AND($AV$18=TRUE,$AV$32=TRUE),$AS$18&lt;&gt;$AS$32),IF(AND($AV$18=TRUE,$AV$33=TRUE),$AS$18&lt;&gt;$AS$33),IF(AND($AV$18=TRUE,$AV$34=TRUE),$AS$18&lt;&gt;$AS$34),IF(AND($AV$18=TRUE,$AV$79=TRUE),$AS$18&lt;&gt;$AS$79))</formula>
    </cfRule>
  </conditionalFormatting>
  <conditionalFormatting sqref="K176:AT176">
    <cfRule type="expression" dxfId="25" priority="38">
      <formula>AND($AV$175=TRUE,$AV$174=0)</formula>
    </cfRule>
  </conditionalFormatting>
  <conditionalFormatting sqref="K174:AT175">
    <cfRule type="expression" dxfId="24" priority="37">
      <formula>AND($AV$175=FALSE,$AV$174&gt;0)</formula>
    </cfRule>
  </conditionalFormatting>
  <conditionalFormatting sqref="Y29:AJ29">
    <cfRule type="expression" dxfId="23" priority="26">
      <formula>AND($AV$29=TRUE,SUM($Y29:$AJ29)=0,$AS$29="包括")</formula>
    </cfRule>
  </conditionalFormatting>
  <conditionalFormatting sqref="Y30:AJ30">
    <cfRule type="expression" dxfId="22" priority="25">
      <formula>AND($AV$30=TRUE,SUM($Y30:$AJ30)=0,$AS$30="包括")</formula>
    </cfRule>
  </conditionalFormatting>
  <conditionalFormatting sqref="Y31:AJ31">
    <cfRule type="expression" dxfId="21" priority="24">
      <formula>AND($AV$31=TRUE,SUM($Y31:$AJ31)=0)</formula>
    </cfRule>
  </conditionalFormatting>
  <conditionalFormatting sqref="Y33:AJ33">
    <cfRule type="expression" dxfId="20" priority="22">
      <formula>AND($AV$32=TRUE,SUM($Y33:$AJ33)=0,$AS$33="包括")</formula>
    </cfRule>
  </conditionalFormatting>
  <conditionalFormatting sqref="Y34:AJ34">
    <cfRule type="expression" dxfId="19" priority="21">
      <formula>AND($AV$33=TRUE,SUM($Y34:$AJ34)=0,$AS$34="包括")</formula>
    </cfRule>
  </conditionalFormatting>
  <conditionalFormatting sqref="C80:AT80">
    <cfRule type="expression" dxfId="18" priority="19">
      <formula>$AP$5=6691</formula>
    </cfRule>
    <cfRule type="expression" dxfId="17" priority="20">
      <formula>$AV$82=2</formula>
    </cfRule>
  </conditionalFormatting>
  <conditionalFormatting sqref="AP80:AT80">
    <cfRule type="expression" dxfId="16" priority="14">
      <formula>IF(AND($AV$18=TRUE,$AV$79=TRUE),$AS$18&lt;&gt;$AS$79)</formula>
    </cfRule>
  </conditionalFormatting>
  <conditionalFormatting sqref="Y78:AJ78">
    <cfRule type="expression" dxfId="15" priority="68">
      <formula>AND($AV$78=TRUE,SUM($Q$78:$AJ$78)=0,$AS$78="包括")</formula>
    </cfRule>
  </conditionalFormatting>
  <conditionalFormatting sqref="J79:V79">
    <cfRule type="expression" dxfId="14" priority="17">
      <formula>AND($AV$78=TRUE,OR($AV$79="",$AV$79="0000"))</formula>
    </cfRule>
  </conditionalFormatting>
  <conditionalFormatting sqref="W79:AH79">
    <cfRule type="expression" dxfId="13" priority="16">
      <formula>AND($AV$78=TRUE,OR($AX$79="",$AX$79="0000",LEFT($AV$79,2)&lt;&gt;LEFT($AX$79,2)))</formula>
    </cfRule>
  </conditionalFormatting>
  <conditionalFormatting sqref="AI79:AT79">
    <cfRule type="expression" dxfId="12" priority="15">
      <formula>AND($AV$78=TRUE,$BA$79=0)</formula>
    </cfRule>
  </conditionalFormatting>
  <conditionalFormatting sqref="AP29:AT31 AP33:AT35">
    <cfRule type="expression" dxfId="11" priority="12">
      <formula>$AS29=""</formula>
    </cfRule>
  </conditionalFormatting>
  <conditionalFormatting sqref="AK29:AO31 AK33:AO35">
    <cfRule type="expression" dxfId="10" priority="11">
      <formula>$AN29=""</formula>
    </cfRule>
  </conditionalFormatting>
  <conditionalFormatting sqref="C89:AT89">
    <cfRule type="expression" dxfId="9" priority="10">
      <formula>$AW$88="FALSE"</formula>
    </cfRule>
  </conditionalFormatting>
  <conditionalFormatting sqref="V120:Z120">
    <cfRule type="expression" dxfId="8" priority="9">
      <formula>V120=""</formula>
    </cfRule>
  </conditionalFormatting>
  <conditionalFormatting sqref="Y16:AB16">
    <cfRule type="expression" dxfId="7" priority="165">
      <formula>AND($Y$16&gt;0,$AV$10="NG")</formula>
    </cfRule>
  </conditionalFormatting>
  <conditionalFormatting sqref="O32:T32">
    <cfRule type="expression" dxfId="6" priority="5">
      <formula>$O$32=""</formula>
    </cfRule>
  </conditionalFormatting>
  <conditionalFormatting sqref="C44:I44">
    <cfRule type="expression" dxfId="5" priority="4">
      <formula>AND($C$44=0,$AV$44=TRUE)</formula>
    </cfRule>
  </conditionalFormatting>
  <conditionalFormatting sqref="AR44:AT44">
    <cfRule type="expression" dxfId="4" priority="1">
      <formula>AND($C$44="Alipay+",$AV$44=TRUE,$AR$44=0)</formula>
    </cfRule>
  </conditionalFormatting>
  <conditionalFormatting sqref="AO44:AT44">
    <cfRule type="expression" dxfId="3" priority="2">
      <formula>$C$44="Alipay"</formula>
    </cfRule>
  </conditionalFormatting>
  <dataValidations count="110">
    <dataValidation type="textLength" imeMode="halfAlpha" operator="equal" allowBlank="1" showInputMessage="1" showErrorMessage="1" sqref="AG65514:AK65514 AG131050:AK131050 AG196586:AK196586 AG262122:AK262122 AG327658:AK327658 AG393194:AK393194 AG458730:AK458730 AG524266:AK524266 AG589802:AK589802 AG655338:AK655338 AG720874:AK720874 AG786410:AK786410 AG851946:AK851946 AG917482:AK917482 AG983018:AK983018">
      <formula1>7</formula1>
    </dataValidation>
    <dataValidation type="whole" imeMode="halfAlpha" allowBlank="1" showInputMessage="1" showErrorMessage="1" sqref="AN65566:AO65566 AN131102:AO131102 AN196638:AO196638 AN262174:AO262174 AN327710:AO327710 AN393246:AO393246 AN458782:AO458782 AN524318:AO524318 AN589854:AO589854 AN655390:AO655390 AN720926:AO720926 AN786462:AO786462 AN851998:AO851998 AN917534:AO917534 AN983070:AO983070">
      <formula1>1000</formula1>
      <formula2>2099</formula2>
    </dataValidation>
    <dataValidation type="whole" imeMode="halfAlpha" allowBlank="1" showInputMessage="1" showErrorMessage="1" sqref="W65561:X65561 W131097:X131097 W196633:X196633 W262169:X262169 W327705:X327705 W393241:X393241 W458777:X458777 W524313:X524313 W589849:X589849 W655385:X655385 W720921:X720921 W786457:X786457 W851993:X851993 W917529:X917529 W983065:X983065">
      <formula1>2014</formula1>
      <formula2>2099</formula2>
    </dataValidation>
    <dataValidation type="list" allowBlank="1" showInputMessage="1" showErrorMessage="1" sqref="C65589:I65589 C131125:I131125 C196661:I196661 C262197:I262197 C327733:I327733 C393269:I393269 C458805:I458805 C524341:I524341 C589877:I589877 C655413:I655413 C720949:I720949 C786485:I786485 C852021:I852021 C917557:I917557 C983093:I983093 I65515 I131051 I262123 I196587 I983019 I917483 I851947 I786411 I720875 I655339 I589803 I524267 I458731 I393195 I327659">
      <formula1>#REF!</formula1>
    </dataValidation>
    <dataValidation type="list" allowBlank="1" showInputMessage="1" showErrorMessage="1" sqref="O983080:P983083 O917544:P917547 O852008:P852011 O786472:P786475 O720936:P720939 O655400:P655403 O589864:P589867 O524328:P524331 O458792:P458795 O393256:P393259 O327720:P327723 O262184:P262187 O196648:P196651 O131112:P131115 O65576:P65579">
      <formula1>$CF$32:$CF$33</formula1>
    </dataValidation>
    <dataValidation imeMode="halfAlpha" allowBlank="1" showInputMessage="1" showErrorMessage="1" prompt="特商法ページのURLを記載して下さい。_x000a_その際、http://やhttps://を省略しないようお願いいたします。" sqref="I983212:AI983212 I65708:AI65708 I131244:AI131244 I196780:AI196780 I262316:AI262316 I327852:AI327852 I393388:AI393388 I458924:AI458924 I524460:AI524460 I589996:AI589996 I655532:AI655532 I721068:AI721068 I786604:AI786604 I852140:AI852140 I917676:AI917676"/>
    <dataValidation imeMode="hiragana" allowBlank="1" showInputMessage="1" showErrorMessage="1" promptTitle="運用担当" prompt="申込書の押印のご依頼、決済機関からの問い合わせのご連絡、メンテナンスのご案内などをさせていただきます。_x000a_E-mailアドレスにつきましてはグループアドレスのご指定を推奨しております。" sqref="I65681:Y65682 I131217:Y131218 I196753:Y196754 I262289:Y262290 I327825:Y327826 I393361:Y393362 I458897:Y458898 I524433:Y524434 I589969:Y589970 I655505:Y655506 I721041:Y721042 I786577:Y786578 I852113:Y852114 I917649:Y917650 I983185:Y983186"/>
    <dataValidation imeMode="hiragana" allowBlank="1" showInputMessage="1" showErrorMessage="1" promptTitle="技術担当" prompt="接続情報のご連絡など、システム設定に関するご案内をさせていただきます。_x000a_サイト構築を他社に依頼されている場合は、そのご連絡先でも結構です。_x000a_E-mailアドレスにつきましてはグループアドレスのご指定を推奨しております。" sqref="I65684:Y65685 I131220:Y131221 I196756:Y196757 I262292:Y262293 I327828:Y327829 I393364:Y393365 I458900:Y458901 I524436:Y524437 I589972:Y589973 I655508:Y655509 I721044:Y721045 I786580:Y786581 I852116:Y852117 I917652:Y917653 I983188:Y983189"/>
    <dataValidation imeMode="hiragana" allowBlank="1" showInputMessage="1" showErrorMessage="1" promptTitle="売上報告担当" prompt="収納レポートやご請求書の送付先となります。" sqref="I65687:Y65688 I131223:Y131224 I196759:Y196760 I262295:Y262296 I327831:Y327832 I393367:Y393368 I458903:Y458904 I524439:Y524440 I589975:Y589976 I655511:Y655512 I721047:Y721048 I786583:Y786584 I852119:Y852120 I917655:Y917656 I983191:Y983192"/>
    <dataValidation imeMode="fullKatakana" allowBlank="1" showInputMessage="1" showErrorMessage="1" promptTitle="口座名義カナ" prompt="必ず正式な口座名義名（カナ）をご確認の上入力して下さい。ご登録のものと相違がありますと振込エラーとなり、入金をさせていただくことが出来ません。_x000a_・法人略語は正しくご入力ください。_x000a_前株の場合は「カ）」、後株の場合は「（カ」、途中に入る場合は「（カ）」のようにご入力ください。_x000a_・中黒点（・）はご使用いただけません。_x000a_　ピリオド（．）に置き換えてご入力ください。_x000a_例：ソフトバンク．ペイメント．サービス（カ" sqref="I65703:AT65704 I131239:AT131240 I196775:AT196776 I262311:AT262312 I327847:AT327848 I393383:AT393384 I458919:AT458920 I524455:AT524456 I589991:AT589992 I655527:AT655528 I721063:AT721064 I786599:AT786600 I852135:AT852136 I917671:AT917672 I983207:AT983208"/>
    <dataValidation type="textLength" operator="lessThanOrEqual" allowBlank="1" showInputMessage="1" showErrorMessage="1" errorTitle="文字数制限がございます" error="25文字を超える設定は出来ません。" promptTitle="サービス名称" prompt="決済をご利用いただくサービス名称（サイト名称など）をご記入下さい。_x000a_決済画面等で表示されます。_x000a_全角でご指定下さい。_x000a_「～」「―（全角ダッシュ）」、「－（全角マイナス）」、その他特殊文字は使用できません。_x000a_「‐（全角ハイフン）」、「ー（長音）」に変換お願いします。" sqref="I65554:AT65555 I131090:AT131091 I196626:AT196627 I262162:AT262163 I327698:AT327699 I393234:AT393235 I458770:AT458771 I524306:AT524307 I589842:AT589843 I655378:AT655379 I720914:AT720915 I786450:AT786451 I851986:AT851987 I917522:AT917523 I983058:AT983059">
      <formula1>30</formula1>
    </dataValidation>
    <dataValidation type="textLength" errorStyle="warning" operator="lessThanOrEqual" allowBlank="1" showInputMessage="1" showErrorMessage="1" errorTitle="文字数制限がございます" error="全角12文字程度でご設定下さい。_x000a_長い場合には金融機関により切られて表示される場合がございます。_x000a_また、登録されるのは20文字までとなりそれ以上ご記入いただいても登録されません。" promptTitle="屋号" prompt="金融機関に申請する正式名称で、利用明細などに表示されます。_x000a_金融機関により切られて表示されることがございますので予めご了承いただき12文字以下を目安にご設定下さい。_x000a_最大20文字まで。それ以上ご記入いただいても登録されません。" sqref="I65557:AA65558 I131093:AA131094 I196629:AA196630 I262165:AA262166 I327701:AA327702 I393237:AA393238 I458773:AA458774 I524309:AA524310 I589845:AA589846 I655381:AA655382 I720917:AA720918 I786453:AA786454 I851989:AA851990 I917525:AA917526 I983061:AA983062">
      <formula1>12</formula1>
    </dataValidation>
    <dataValidation type="whole" imeMode="halfAlpha" allowBlank="1" showInputMessage="1" showErrorMessage="1" sqref="Q65545:R65545 Q131081:R131081 Q196617:R196617 Q262153:R262153 Q327689:R327689 Q393225:R393225 Q458761:R458761 Q524297:R524297 Q589833:R589833 Q655369:R655369 Q720905:R720905 Q786441:R786441 Q851977:R851977 Q917513:R917513 Q983049:R983049 AB65561 AB131097 AB196633 AB262169 AB327705 AB393241 AB458777 AB524313 AB589849 AB655385 AB720921 AB786457 AB851993 AB917529 AB983065 AS65566 AS131102 AS196638 AS262174 AS327710 AS393246 AS458782 AS524318 AS589854 AS655390 AS720926 AS786462 AS851998 AS917534 AS983070 U65532:W65533 U131068:W131069 U196604:W196605 U262140:W262141 U327676:W327677 U393212:W393213 U458748:W458749 U524284:W524285 U589820:W589821 U655356:W655357 U720892:W720893 U786428:W786429 U851964:W851965 U917500:W917501 U983036:W983037">
      <formula1>1</formula1>
      <formula2>31</formula2>
    </dataValidation>
    <dataValidation imeMode="hiragana" allowBlank="1" showInputMessage="1" showErrorMessage="1" promptTitle="会社所在地" prompt="都道府県名からご記入下さい" sqref="I65542:AT65543 I131078:AT131079 I196614:AT196615 I262150:AT262151 I327686:AT327687 I393222:AT393223 I458758:AT458759 I524294:AT524295 I589830:AT589831 I655366:AT655367 I720902:AT720903 I786438:AT786439 I851974:AT851975 I917510:AT917511 I983046:AT983047"/>
    <dataValidation type="list" allowBlank="1" showDropDown="1" showInputMessage="1" showErrorMessage="1" errorTitle="ASP手数料" error="ASP手数料は決済手段毎に設定出来ません。_x000a_対象外とする場合はDeleteキーで消して下さい。" promptTitle="ASP手数料" prompt="ASP手数料は全決済手段で一律です。_x000a_対象とするかしないかは決済手段毎に設定することが可能ですが、決済手段毎にASP手数料を変えることは出来ませんのでご注意下さい。_x000a_対象外とする場合はDeleteキーで消して下さい。_x000a_" sqref="AC983112:AF983112 AC65608:AF65608 AC131144:AF131144 AC196680:AF196680 AC262216:AF262216 AC327752:AF327752 AC393288:AF393288 AC458824:AF458824 AC524360:AF524360 AC589896:AF589896 AC655432:AF655432 AC720968:AF720968 AC786504:AF786504 AC852040:AF852040 AC917576:AF917576">
      <formula1>#REF!</formula1>
    </dataValidation>
    <dataValidation type="list" allowBlank="1" showDropDown="1" showInputMessage="1" showErrorMessage="1" errorTitle="トランザクション費" error="トランザクション費は決済手段毎に設定できません。_x000a_対象外とする場合はDeleteキーで消して下さい。" promptTitle="トランザクション費" prompt="トランザクション費は全決済手段で一律です。_x000a_対象とするかしないかは決済手段毎に設定することが可能ですが、決済手段毎にトランザクション費を変えることは出来ませんのでご注意下さい。_x000a_対象外とする場合はDeleteキーで消して下さい。" sqref="AG983112:AJ983112 AG65608:AJ65608 AG131144:AJ131144 AG196680:AJ196680 AG262216:AJ262216 AG327752:AJ327752 AG393288:AJ393288 AG458824:AJ458824 AG524360:AJ524360 AG589896:AJ589896 AG655432:AJ655432 AG720968:AJ720968 AG786504:AJ786504 AG852040:AJ852040 AG917576:AJ917576">
      <formula1>#REF!</formula1>
    </dataValidation>
    <dataValidation type="list" allowBlank="1" showInputMessage="1" showErrorMessage="1" sqref="C983090:I983090 C917554:I917554 C852018:I852018 C786482:I786482 C720946:I720946 C655410:I655410 C589874:I589874 C524338:I524338 C458802:I458802 C393266:I393266 C327730:I327730 C262194:I262194 C196658:I196658 C131122:I131122 C65586:I65586">
      <formula1>$CF$18:$CF$22</formula1>
    </dataValidation>
    <dataValidation type="textLength" imeMode="halfAlpha" operator="greaterThanOrEqual" allowBlank="1" showInputMessage="1" showErrorMessage="1" sqref="AB65566:AH65566 AB131102:AH131102 AB196638:AH196638 AB262174:AH262174 AB327710:AH327710 AB393246:AH393246 AB458782:AH458782 AB524318:AH524318 AB589854:AH589854 AB655390:AH655390 AB720926:AH720926 AB786462:AH786462 AB851998:AH851998 AB917534:AH917534 AB983070:AH983070">
      <formula1>1</formula1>
    </dataValidation>
    <dataValidation type="list" allowBlank="1" showInputMessage="1" showErrorMessage="1" sqref="C983080:I983080 C917544:I917544 C852008:I852008 C786472:I786472 C720936:I720936 C655400:I655400 C589864:I589864 C524328:I524328 C458792:I458792 C393256:I393256 C327720:I327720 C262184:I262184 C196648:I196648 C131112:I131112 C65576:I65576">
      <formula1>$CF$11:$CF$12</formula1>
    </dataValidation>
    <dataValidation type="list" allowBlank="1" showInputMessage="1" showErrorMessage="1" sqref="C983089:I983089 C917553:I917553 C852017:I852017 C786481:I786481 C720945:I720945 C655409:I655409 C589873:I589873 C524337:I524337 C458801:I458801 C393265:I393265 C327729:I327729 C262193:I262193 C196657:I196657 C131121:I131121 C65585:I65585">
      <formula1>$CF$15:$CF$16</formula1>
    </dataValidation>
    <dataValidation imeMode="halfAlpha" allowBlank="1" showInputMessage="1" showErrorMessage="1" promptTitle="サイトURL" prompt="http://やhttps://を省略せずご記入下さい。_x000a_企業HPや店舗HPではなく、決済サービスをご利用いただくサイトのトップページのURLをご記入いただく必要がございます。" sqref="I65559:AH65560 I131095:AH131096 I196631:AH196632 I262167:AH262168 I327703:AH327704 I393239:AH393240 I458775:AH458776 I524311:AH524312 I589847:AH589848 I655383:AH655384 I720919:AH720920 I786455:AH786456 I851991:AH851992 I917527:AH917528 I983063:AH983064"/>
    <dataValidation imeMode="fullKatakana" allowBlank="1" showInputMessage="1" showErrorMessage="1" sqref="I65537:AT65537 I131073:AT131073 I196609:AT196609 I262145:AT262145 I327681:AT327681 I393217:AT393217 I458753:AT458753 I524289:AT524289 I589825:AT589825 I655361:AT655361 I720897:AT720897 I786433:AT786433 I851969:AT851969 I917505:AT917505 I983041:AT983041 I65540:AT65540 I131076:AT131076 I196612:AT196612 I262148:AT262148 I327684:AT327684 I393220:AT393220 I458756:AT458756 I524292:AT524292 I589828:AT589828 I655364:AT655364 I720900:AT720900 I786436:AT786436 I851972:AT851972 I917508:AT917508 I983044:AT983044 I65548:Q65548 I131084:Q131084 I196620:Q196620 I262156:Q262156 I327692:Q327692 I393228:Q393228 I458764:Q458764 I524300:Q524300 I589836:Q589836 I655372:Q655372 I720908:Q720908 I786444:Q786444 I851980:Q851980 I917516:Q917516 I983052:Q983052 I65556:AA65556 I131092:AA131092 I196628:AA196628 I262164:AA262164 I327700:AA327700 I393236:AA393236 I458772:AA458772 I524308:AA524308 I589844:AA589844 I655380:AA655380 I720916:AA720916 I786452:AA786452 I851988:AA851988 I917524:AA917524 I983060:AA983060 I65680:Y65680 I131216:Y131216 I196752:Y196752 I262288:Y262288 I327824:Y327824 I393360:Y393360 I458896:Y458896 I524432:Y524432 I589968:Y589968 I655504:Y655504 I721040:Y721040 I786576:Y786576 I852112:Y852112 I917648:Y917648 I983184:Y983184 I65683:Y65683 I131219:Y131219 I196755:Y196755 I262291:Y262291 I327827:Y327827 I393363:Y393363 I458899:Y458899 I524435:Y524435 I589971:Y589971 I655507:Y655507 I721043:Y721043 I786579:Y786579 I852115:Y852115 I917651:Y917651 I983187:Y983187 I65686:Y65686 I131222:Y131222 I196758:Y196758 I262294:Y262294 I327830:Y327830 I393366:Y393366 I458902:Y458902 I524438:Y524438 I589974:Y589974 I655510:Y655510 I721046:Y721046 I786582:Y786582 I852118:Y852118 I917654:Y917654 I983190:Y983190"/>
    <dataValidation imeMode="hiragana" allowBlank="1" showInputMessage="1" showErrorMessage="1" promptTitle="ご確認下さい！" prompt="該当サイトが公開前の場合、必ず別途サービス概要資料や商材価格表をご提出下さい。" sqref="I65562:AK65563 I131098:AK131099 I196634:AK196635 I262170:AK262171 I327706:AK327707 I393242:AK393243 I458778:AK458779 I524314:AK524315 I589850:AK589851 I655386:AK655387 I720922:AK720923 I786458:AK786459 I851994:AK851995 I917530:AK917531 I983066:AK983067"/>
    <dataValidation type="whole" imeMode="halfAlpha" allowBlank="1" showInputMessage="1" showErrorMessage="1" sqref="AM65549:AN65550 AM131085:AN131086 AM196621:AN196622 AM262157:AN262158 AM327693:AN327694 AM393229:AN393230 AM458765:AN458766 AM524301:AN524302 AM589837:AN589838 AM655373:AN655374 AM720909:AN720910 AM786445:AN786446 AM851981:AN851982 AM917517:AN917518 AM983053:AN983054 N65545:O65545 N131081:O131081 N196617:O196617 N262153:O262153 N327689:O327689 N393225:O393225 N458761:O458761 N524297:O524297 N589833:O589833 N655369:O655369 N720905:O720905 N786441:O786441 N851977:O851977 N917513:O917513 N983049:O983049 Z65561 Z131097 Z196633 Z262169 Z327705 Z393241 Z458777 Z524313 Z589849 Z655385 Z720921 Z786457 Z851993 Z917529 Z983065 AQ65566 AQ131102 AQ196638 AQ262174 AQ327710 AQ393246 AQ458782 AQ524318 AQ589854 AQ655390 AQ720926 AQ786462 AQ851998 AQ917534 AQ983070 P65532:R65533 P131068:R131069 P196604:R196605 P262140:R262141 P327676:R327677 P393212:R393213 P458748:R458749 P524284:R524285 P589820:R589821 P655356:R655357 P720892:R720893 P786428:R786429 P851964:R851965 P917500:R917501 P983036:R983037">
      <formula1>1</formula1>
      <formula2>12</formula2>
    </dataValidation>
    <dataValidation type="whole" imeMode="halfAlpha" allowBlank="1" showInputMessage="1" showErrorMessage="1" sqref="K983036:M983037 K65532:M65533 K131068:M131069 K196604:M196605 K262140:M262141 K327676:M327677 K393212:M393213 K458748:M458749 K524284:M524285 K589820:M589821 K655356:M655357 K720892:M720893 K786428:M786429 K851964:M851965 K917500:M917501">
      <formula1>2014</formula1>
      <formula2>2020</formula2>
    </dataValidation>
    <dataValidation type="textLength" imeMode="halfAlpha" operator="equal" allowBlank="1" showInputMessage="1" showErrorMessage="1" sqref="M65541:P65541 M131077:P131077 M196613:P196613 M262149:P262149 M327685:P327685 M393221:P393221 M458757:P458757 M524293:P524293 M589829:P589829 M655365:P655365 M720901:P720901 M786437:P786437 M851973:P851973 M917509:P917509 M983045:P983045 M65689:N65689 M131225:N131225 M196761:N196761 M262297:N262297 M327833:N327833 M393369:N393369 M458905:N458905 M524441:N524441 M589977:N589977 M655513:N655513 M721049:N721049 M786585:N786585 M852121:N852121 M917657:N917657 M983193:N983193">
      <formula1>4</formula1>
    </dataValidation>
    <dataValidation type="textLength" imeMode="halfAlpha" operator="equal" allowBlank="1" showInputMessage="1" showErrorMessage="1" sqref="J65541:K65541 J131077:K131077 J196613:K196613 J262149:K262149 J327685:K327685 J393221:K393221 J458757:K458757 J524293:K524293 J589829:K589829 J655365:K655365 J720901:K720901 J786437:K786437 J851973:K851973 J917509:K917509 J983045:K983045 J65689:K65689 J131225:K131225 J196761:K196761 J262297:K262297 J327833:K327833 J393369:K393369 J458905:K458905 J524441:K524441 J589977:K589977 J655513:K655513 J721049:K721049 J786585:K786585 J852121:K852121 J917657:K917657 J983193:K983193 O99:P100">
      <formula1>3</formula1>
    </dataValidation>
    <dataValidation type="whole" imeMode="halfAlpha" allowBlank="1" showInputMessage="1" showErrorMessage="1" sqref="K65545:L65545 K131081:L131081 K196617:L196617 K262153:L262153 K327689:L327689 K393225:L393225 K458761:L458761 K524297:L524297 K589833:L589833 K655369:L655369 K720905:L720905 K786441:L786441 K851977:L851977 K917513:L917513 K983049:L983049">
      <formula1>1000</formula1>
      <formula2>2020</formula2>
    </dataValidation>
    <dataValidation type="textLength" imeMode="halfAlpha" operator="lessThanOrEqual" allowBlank="1" showInputMessage="1" showErrorMessage="1" errorTitle="文字数制限がございます" error="25文字を超える設定は出来ません。" sqref="AB65557:AT65558 AB131093:AT131094 AB196629:AT196630 AB262165:AT262166 AB327701:AT327702 AB393237:AT393238 AB458773:AT458774 AB524309:AT524310 AB589845:AT589846 AB655381:AT655382 AB720917:AT720918 AB786453:AT786454 AB851989:AT851990 AB917525:AT917526 AB983061:AT983062">
      <formula1>25</formula1>
    </dataValidation>
    <dataValidation type="whole" imeMode="halfAlpha" allowBlank="1" showInputMessage="1" showErrorMessage="1" sqref="AI65549:AJ65550 AI131085:AJ131086 AI196621:AJ196622 AI262157:AJ262158 AI327693:AJ327694 AI393229:AJ393230 AI458765:AJ458766 AI524301:AJ524302 AI589837:AJ589838 AI655373:AJ655374 AI720909:AJ720910 AI786445:AJ786446 AI851981:AJ851982 AI917517:AJ917518 AI983053:AJ983054">
      <formula1>1900</formula1>
      <formula2>2020</formula2>
    </dataValidation>
    <dataValidation type="textLength" imeMode="halfAlpha" allowBlank="1" showInputMessage="1" showErrorMessage="1" sqref="I983018 I65514 I131050 I196586 I262122 I327658 I393194 I458730 I524266 I589802 I655338 I720874 I786410 I851946 I917482">
      <formula1>5</formula1>
      <formula2>5</formula2>
    </dataValidation>
    <dataValidation type="textLength" imeMode="halfAlpha" allowBlank="1" showInputMessage="1" showErrorMessage="1" sqref="R983018 R65514 R131050 R196586 R262122 R327658 R393194 R458730 R524266 R589802 R655338 R720874 R786410 R851946 R917482">
      <formula1>3</formula1>
      <formula2>3</formula2>
    </dataValidation>
    <dataValidation type="whole" imeMode="halfAlpha" allowBlank="1" showInputMessage="1" showErrorMessage="1" sqref="AA65545:AE65545 AA131081:AE131081 AA196617:AE196617 AA262153:AE262153 AA327689:AE327689 AA393225:AE393225 AA458761:AE458761 AA524297:AE524297 AA589833:AE589833 AA655369:AE655369 AA720905:AE720905 AA786441:AE786441 AA851977:AE851977 AA917513:AE917513 AA983049:AE983049">
      <formula1>0</formula1>
      <formula2>99999999999</formula2>
    </dataValidation>
    <dataValidation type="whole" imeMode="halfAlpha" allowBlank="1" showInputMessage="1" showErrorMessage="1" promptTitle="年商" prompt="設立初年度などは『0』とご入力下さい。" sqref="AN65545:AR65545 AN131081:AR131081 AN196617:AR196617 AN262153:AR262153 AN327689:AR327689 AN393225:AR393225 AN458761:AR458761 AN524297:AR524297 AN589833:AR589833 AN655369:AR655369 AN720905:AR720905 AN786441:AR786441 AN851977:AR851977 AN917513:AR917513 AN983049:AR983049">
      <formula1>0</formula1>
      <formula2>9999999999999</formula2>
    </dataValidation>
    <dataValidation type="whole" imeMode="halfAlpha" allowBlank="1" showInputMessage="1" showErrorMessage="1" promptTitle="利用開始希望日" prompt="決済ASPサービスの利用開始『希望日』です。_x000a_申込書類提出の1ヶ月以降を目安にご記入下さい。_x000a_【ご注意下さい】_x000a_お申込の決済手段や審査状況によりご希望に添えない場合もございますので予めご了承下さい。" sqref="AH65532:AJ65533 AH131068:AJ131069 AH196604:AJ196605 AH262140:AJ262141 AH327676:AJ327677 AH393212:AJ393213 AH458748:AJ458749 AH524284:AJ524285 AH589820:AJ589821 AH655356:AJ655357 AH720892:AJ720893 AH786428:AJ786429 AH851964:AJ851965 AH917500:AJ917501 AH983036:AJ983037">
      <formula1>2012</formula1>
      <formula2>2020</formula2>
    </dataValidation>
    <dataValidation type="whole" imeMode="halfAlpha" allowBlank="1" showInputMessage="1" showErrorMessage="1" promptTitle="利用開始希望日" prompt="決済ASPサービスの利用開始『希望日』です。_x000a_申込書類提出の1ヶ月以降を目安にご記入下さい。_x000a_【ご注意下さい】_x000a_お申込の決済手段や審査状況によりご希望に添えない場合もございますので予めご了承下さい。" sqref="AM65532:AN65533 AM131068:AN131069 AM196604:AN196605 AM262140:AN262141 AM327676:AN327677 AM393212:AN393213 AM458748:AN458749 AM524284:AN524285 AM589820:AN589821 AM655356:AN655357 AM720892:AN720893 AM786428:AN786429 AM851964:AN851965 AM917500:AN917501 AM983036:AN983037">
      <formula1>1</formula1>
      <formula2>12</formula2>
    </dataValidation>
    <dataValidation type="whole" imeMode="halfAlpha" allowBlank="1" showInputMessage="1" showErrorMessage="1" promptTitle="利用開始希望日" prompt="決済ASPサービスの利用開始『希望日』です。_x000a_申込書類提出の1ヶ月以降を目安にご記入下さい。_x000a_【ご注意下さい】_x000a_お申込の決済手段や審査状況によりご希望に添えない場合もございますので予めご了承下さい。" sqref="AQ65532:AR65533 AQ131068:AR131069 AQ196604:AR196605 AQ262140:AR262141 AQ327676:AR327677 AQ393212:AR393213 AQ458748:AR458749 AQ524284:AR524285 AQ589820:AR589821 AQ655356:AR655357 AQ720892:AR720893 AQ786428:AR786429 AQ851964:AR851965 AQ917500:AR917501 AQ983036:AR983037">
      <formula1>1</formula1>
      <formula2>31</formula2>
    </dataValidation>
    <dataValidation imeMode="halfAlpha" allowBlank="1" showInputMessage="1" showErrorMessage="1" promptTitle="FAX番号" prompt="FAXが無い場合は『00-0000-0000』とご入力下さい。" sqref="AE65544:AT65544 AE131080:AT131080 AE196616:AT196616 AE262152:AT262152 AE327688:AT327688 AE393224:AT393224 AE458760:AT458760 AE524296:AT524296 AE589832:AT589832 AE655368:AT655368 AE720904:AT720904 AE786440:AT786440 AE851976:AT851976 AE917512:AT917512 AE983048:AT983048 AE65689:AT65689 AE131225:AT131225 AE196761:AT196761 AE262297:AT262297 AE327833:AT327833 AE393369:AT393369 AE458905:AT458905 AE524441:AT524441 AE589977:AT589977 AE655513:AT655513 AE721049:AT721049 AE786585:AT786585 AE852121:AT852121 AE917657:AT917657 AE983193:AT983193"/>
    <dataValidation imeMode="halfAlpha" allowBlank="1" showInputMessage="1" showErrorMessage="1" promptTitle="メールアドレス" prompt="グループアドレスのご指定を推奨しております。" sqref="AE65682:AT65682 AE131218:AT131218 AE196754:AT196754 AE262290:AT262290 AE327826:AT327826 AE393362:AT393362 AE458898:AT458898 AE524434:AT524434 AE589970:AT589970 AE655506:AT655506 AE721042:AT721042 AE786578:AT786578 AE852114:AT852114 AE917650:AT917650 AE983186:AT983186"/>
    <dataValidation allowBlank="1" showInputMessage="1" showErrorMessage="1" promptTitle="E-mailアドレス" prompt="設定できるE-mailアドレスは1つです。_x000a_メーリングリストのご指定を推奨しております。" sqref="Z65682:AD65682 Z131218:AD131218 Z196754:AD196754 Z262290:AD262290 Z327826:AD327826 Z393362:AD393362 Z458898:AD458898 Z524434:AD524434 Z589970:AD589970 Z655506:AD655506 Z721042:AD721042 Z786578:AD786578 Z852114:AD852114 Z917650:AD917650 Z983186:AD983186"/>
    <dataValidation type="list" allowBlank="1" showInputMessage="1" showErrorMessage="1" sqref="L983164:N983172 L852092:N852100 L786556:N786564 L721020:N721028 L655484:N655492 L589948:N589956 L524412:N524420 L458876:N458884 L393340:N393348 L327804:N327812 L262268:N262276 L196732:N196740 L131196:N131204 L65660:N65668 L983138:N983161 L917602:N917625 L852066:N852089 L786530:N786553 L720994:N721017 L655458:N655481 L589922:N589945 L524386:N524409 L458850:N458873 L393314:N393337 L327778:N327801 L262242:N262265 L196706:N196729 L131170:N131193 L65634:N65657 L917628:N917636 L983133:N983135 L917597:N917599 L852061:N852063 L786525:N786527 L720989:N720991 L655453:N655455 L589917:N589919 L524381:N524383 L458845:N458847 L393309:N393311 L327773:N327775 L262237:N262239 L196701:N196703 L131165:N131167 L65629:N65631 L983128:N983130 L917592:N917594 L852056:N852058 L786520:N786522 L720984:N720986 L655448:N655450 L589912:N589914 L524376:N524378 L458840:N458842 L393304:N393306 L327768:N327770 L262232:N262234 L196696:N196698 L131160:N131162 L65624:N65626 L983121:N983125 L917585:N917589 L852049:N852053 L786513:N786517 L720977:N720981 L655441:N655445 L589905:N589909 L524369:N524373 L458833:N458837 L393297:N393301 L327761:N327765 L262225:N262229 L196689:N196693 L131153:N131157 L65617:N65621 L983115:N983118 L917579:N917582 L852043:N852046 L786507:N786510 L720971:N720974 L655435:N655438 L589899:N589902 L524363:N524366 L458827:N458830 L393291:N393294 L327755:N327758 L262219:N262222 L196683:N196686 L131147:N131150 L65611:N65614 L983106:N983112 L917570:N917576 L852034:N852040 L786498:N786504 L720962:N720968 L655426:N655432 L589890:N589896 L524354:N524360 L458818:N458824 L393282:N393288 L327746:N327752 L262210:N262216 L196674:N196680 L131138:N131144 L65602:N65608 L983097:N983103 L917561:N917567 L852025:N852031 L786489:N786495 L720953:N720959 L655417:N655423 L589881:N589887 L524345:N524351 L458809:N458815 L393273:N393279 L327737:N327743 L262201:N262207 L196665:N196671 L131129:N131135 L65593:N65599 L983092:N983094 L917556:N917558 L852020:N852022 L786484:N786486 L720948:N720950 L655412:N655414 L589876:N589878 L524340:N524342 L458804:N458806 L393268:N393270 L327732:N327734 L262196:N262198 L196660:N196662 L131124:N131126 L65588:N65590 L983089:N983090 L917553:N917554 L852017:N852018 L786481:N786482 L720945:N720946 L655409:N655410 L589873:N589874 L524337:N524338 L458801:N458802 L393265:N393266 L327729:N327730 L262193:N262194 L196657:N196658 L131121:N131122 L65585:N65586 L983080:N983083 L917544:N917547 L852008:N852011 L786472:N786475 L720936:N720939 L655400:N655403 L589864:N589867 L524328:N524331 L458792:N458795 L393256:N393259 L327720:N327723 L262184:N262187 L196648:N196651 L131112:N131115 L65576:N65579">
      <formula1>$CF$29:$CF$30</formula1>
    </dataValidation>
    <dataValidation imeMode="hiragana" allowBlank="1" showInputMessage="1" showErrorMessage="1" sqref="I65546:AT65546 I131082:AT131082 I196618:AT196618 I262154:AT262154 I327690:AT327690 I393226:AT393226 I458762:AT458762 I524298:AT524298 I589834:AT589834 I655370:AT655370 I720906:AT720906 I786442:AT786442 I851978:AT851978 I917514:AT917514 I983050:AT983050 I65538:AT65539 I131074:AT131075 I196610:AT196611 I262146:AT262147 I327682:AT327683 I393218:AT393219 I458754:AT458755 I524290:AT524291 I589826:AT589827 I655362:AT655363 I720898:AT720899 I786434:AT786435 I851970:AT851971 I917506:AT917507 I983042:AT983043 W65548:AA65550 W131084:AA131086 W196620:AA196622 W262156:AA262158 W327692:AA327694 W393228:AA393230 W458764:AA458766 W524300:AA524302 W589836:AA589838 W655372:AA655374 W720908:AA720910 W786444:AA786446 W851980:AA851982 W917516:AA917518 W983052:AA983054 I65549:Q65550 I131085:Q131086 I196621:Q196622 I262157:Q262158 I327693:Q327694 I393229:Q393230 I458765:Q458766 I524301:Q524302 I589837:Q589838 I655373:Q655374 I720909:Q720910 I786445:Q786446 I851981:Q851982 I917517:Q917518 I983053:Q983054 I65690:AT65691 I131226:AT131227 I196762:AT196763 I262298:AT262299 I327834:AT327835 I393370:AT393371 I458906:AT458907 I524442:AT524443 I589978:AT589979 I655514:AT655515 I721050:AT721051 I786586:AT786587 I852122:AT852123 I917658:AT917659 I983194:AT983195 AE65680:AT65680 AE131216:AT131216 AE196752:AT196752 AE262288:AT262288 AE327824:AT327824 AE393360:AT393360 AE458896:AT458896 AE524432:AT524432 AE589968:AT589968 AE655504:AT655504 AE721040:AT721040 AE786576:AT786576 AE852112:AT852112 AE917648:AT917648 AE983184:AT983184 AE65683:AT65683 AE131219:AT131219 AE196755:AT196755 AE262291:AT262291 AE327827:AT327827 AE393363:AT393363 AE458899:AT458899 AE524435:AT524435 AE589971:AT589971 AE655507:AT655507 AE721043:AT721043 AE786579:AT786579 AE852115:AT852115 AE917651:AT917651 AE983187:AT983187 AE65686:AT65686 AE131222:AT131222 AE196758:AT196758 AE262294:AT262294 AE327830:AT327830 AE393366:AT393366 AE458902:AT458902 AE524438:AT524438 AE589974:AT589974 AE655510:AT655510 AE721046:AT721046 AE786582:AT786582 AE852118:AT852118 AE917654:AT917654 AE983190:AT983190 I65695:R65696 I131231:R131232 I196767:R196768 I262303:R262304 I327839:R327840 I393375:R393376 I458911:R458912 I524447:R524448 I589983:R589984 I655519:R655520 I721055:R721056 I786591:R786592 I852127:R852128 I917663:R917664 I983199:R983200 AG65695:AN65696 AG131231:AN131232 AG196767:AN196768 AG262303:AN262304 AG327839:AN327840 AG393375:AN393376 AG458911:AN458912 AG524447:AN524448 AG589983:AN589984 AG655519:AN655520 AG721055:AN721056 AG786591:AN786592 AG852127:AN852128 AG917663:AN917664 AG983199:AN983200 I65701:AT65702 I131237:AT131238 I196773:AT196774 I262309:AT262310 I327845:AT327846 I393381:AT393382 I458917:AT458918 I524453:AT524454 I589989:AT589990 I655525:AT655526 I721061:AT721062 I786597:AT786598 I852133:AT852134 I917669:AT917670 I983205:AT983206 AB131262 S65716:AT65716 S131252:AT131252 S196788:AT196788 S262324:AT262324 S327860:AT327860 S393396:AT393396 S458932:AT458932 S524468:AT524468 S590004:AT590004 S655540:AT655540 S721076:AT721076 S786612:AT786612 S852148:AT852148 S917684:AT917684 S983220:AT983220 AB196798 U65717:AS65717 U131253:AS131253 U196789:AS196789 U262325:AS262325 U327861:AS327861 U393397:AS393397 U458933:AS458933 U524469:AS524469 U590005:AS590005 U655541:AS655541 U721077:AS721077 U786613:AS786613 U852149:AS852149 U917685:AS917685 U983221:AS983221 AB262334 N65718:AA65718 N131254:AA131254 N196790:AA196790 N262326:AA262326 N327862:AA327862 N393398:AA393398 N458934:AA458934 N524470:AA524470 N590006:AA590006 N655542:AA655542 N721078:AA721078 N786614:AA786614 N852150:AA852150 N917686:AA917686 N983222:AA983222 AB327870 AG65718:AT65718 AG131254:AT131254 AG196790:AT196790 AG262326:AT262326 AG327862:AT327862 AG393398:AT393398 AG458934:AT458934 AG524470:AT524470 AG590006:AT590006 AG655542:AT655542 AG721078:AT721078 AG786614:AT786614 AG852150:AT852150 AG917686:AT917686 AG983222:AT983222 X65719:AS65719 X131255:AS131255 X196791:AS196791 X262327:AS262327 X327863:AS327863 X393399:AS393399 X458935:AS458935 X524471:AS524471 X590007:AS590007 X655543:AS655543 X721079:AS721079 X786615:AS786615 X852151:AS852151 X917687:AS917687 X983223:AS983223 AB393406 N65720:AA65721 N131256:AA131257 N196792:AA196793 N262328:AA262329 N327864:AA327865 N393400:AA393401 N458936:AA458937 N524472:AA524473 N590008:AA590009 N655544:AA655545 N721080:AA721081 N786616:AA786617 N852152:AA852153 N917688:AA917689 N983224:AA983225 AB458942 AG65720:AT65721 AG131256:AT131257 AG196792:AT196793 AG262328:AT262329 AG327864:AT327865 AG393400:AT393401 AG458936:AT458937 AG524472:AT524473 AG590008:AT590009 AG655544:AT655545 AG721080:AT721081 AG786616:AT786617 AG852152:AT852153 AG917688:AT917689 AG983224:AT983225 AB524478 U65713:AS65714 U131249:AS131250 U196785:AS196786 U262321:AS262322 U327857:AS327858 U393393:AS393394 U458929:AS458930 U524465:AS524466 U590001:AS590002 U655537:AS655538 U721073:AS721074 U786609:AS786610 U852145:AS852146 U917681:AS917682 U983217:AS983218 AB590014 I65712:Y65712 I131248:Y131248 I196784:Y196784 I262320:Y262320 I327856:Y327856 I393392:Y393392 I458928:Y458928 I524464:Y524464 I590000:Y590000 I655536:Y655536 I721072:Y721072 I786608:Y786608 I852144:Y852144 I917680:Y917680 I983216:Y983216 AB655550 AE65712:AT65712 AE131248:AT131248 AE196784:AT196784 AE262320:AT262320 AE327856:AT327856 AE393392:AT393392 AE458928:AT458928 AE524464:AT524464 AE590000:AT590000 AE655536:AT655536 AE721072:AT721072 AE786608:AT786608 AE852144:AT852144 AE917680:AT917680 AE983216:AT983216 AB721086 X65711:AT65711 X131247:AT131247 X196783:AT196783 X262319:AT262319 X327855:AT327855 X393391:AT393391 X458927:AT458927 X524463:AT524463 X589999:AT589999 X655535:AT655535 X721071:AT721071 X786607:AT786607 X852143:AT852143 X917679:AT917679 X983215:AT983215 AB786622 Z65710:AT65710 Z131246:AT131246 Z196782:AT196782 Z262318:AT262318 Z327854:AT327854 Z393390:AT393390 Z458926:AT458926 Z524462:AT524462 Z589998:AT589998 Z655534:AT655534 Z721070:AT721070 Z786606:AT786606 Z852142:AT852142 Z917678:AT917678 Z983214:AT983214 AB852158 W65715 W131251 W196787 W262323 W327859 W393395 W458931 W524467 W590003 W655539 W721075 W786611 W852147 W917683 W983219 AB917694 W65722:W65725 W131258:W131261 W196794:W196797 W262330:W262333 W327866:W327869 W393402:W393405 W458938:W458941 W524474:W524477 W590010:W590013 W655546:W655549 W721082:W721085 W786618:W786621 W852154:W852157 W917690:W917693 W983226:W983229 AB983230 AB65726 K152:X153 AA153:AT153 Q155"/>
    <dataValidation imeMode="halfAlpha" allowBlank="1" showInputMessage="1" showErrorMessage="1" sqref="AF65709:AT65709 AF131245:AT131245 AF196781:AT196781 AF262317:AT262317 AF327853:AT327853 AF393389:AT393389 AF458925:AT458925 AF524461:AT524461 AF589997:AT589997 AF655533:AT655533 AF721069:AT721069 AF786605:AT786605 AF852141:AT852141 AF917677:AT917677 AF983213:AT983213 I65544:X65544 I131080:X131080 I196616:X196616 I262152:X262152 I327688:X327688 I393224:X393224 I458760:X458760 I524296:X524296 I589832:X589832 I655368:X655368 I720904:X720904 I786440:X786440 I851976:X851976 I917512:X917512 I983048:X983048 AQ65549:AR65550 AQ131085:AR131086 AQ196621:AR196622 AQ262157:AR262158 AQ327693:AR327694 AQ393229:AR393230 AQ458765:AR458766 AQ524301:AR524302 AQ589837:AR589838 AQ655373:AR655374 AQ720909:AR720910 AQ786445:AR786446 AQ851981:AR851982 AQ917517:AR917518 AQ983053:AR983054 I65547:AT65547 I131083:AT131083 I196619:AT196619 I262155:AT262155 I327691:AT327691 I393227:AT393227 I458763:AT458763 I524299:AT524299 I589835:AT589835 I655371:AT655371 I720907:AT720907 I786443:AT786443 I851979:AT851979 I917515:AT917515 I983051:AT983051 AC65564:AE65564 AC131100:AE131100 AC196636:AE196636 AC262172:AE262172 AC327708:AE327708 AC393244:AE393244 AC458780:AE458780 AC524316:AE524316 AC589852:AE589852 AC655388:AE655388 AC720924:AE720924 AC786460:AE786460 AC851996:AE851996 AC917532:AE917532 AC983068:AE983068 AH65564:AJ65564 AH131100:AJ131100 AH196636:AJ196636 AH262172:AJ262172 AH327708:AJ327708 AH393244:AJ393244 AH458780:AJ458780 AH524316:AJ524316 AH589852:AJ589852 AH655388:AJ655388 AH720924:AJ720924 AH786460:AJ786460 AH851996:AJ851996 AH917532:AJ917532 AH983068:AJ983068 AQ65564:AS65564 AQ131100:AS131100 AQ196636:AS196636 AQ262172:AS262172 AQ327708:AS327708 AQ393244:AS393244 AQ458780:AS458780 AQ524316:AS524316 AQ589852:AS589852 AQ655388:AS655388 AQ720924:AS720924 AQ786460:AS786460 AQ851996:AS851996 AQ917532:AS917532 AQ983068:AS983068 AE65681:AT65681 AE131217:AT131217 AE196753:AT196753 AE262289:AT262289 AE327825:AT327825 AE393361:AT393361 AE458897:AT458897 AE524433:AT524433 AE589969:AT589969 AE655505:AT655505 AE721041:AT721041 AE786577:AT786577 AE852113:AT852113 AE917649:AT917649 AE983185:AT983185 AE65684:AT65685 AE131220:AT131221 AE196756:AT196757 AE262292:AT262293 AE327828:AT327829 AE393364:AT393365 AE458900:AT458901 AE524436:AT524437 AE589972:AT589973 AE655508:AT655509 AE721044:AT721045 AE786580:AT786581 AE852116:AT852117 AE917652:AT917653 AE983188:AT983189 AE65687:AT65688 AE131223:AT131224 AE196759:AT196760 AE262295:AT262296 AE327831:AT327832 AE393367:AT393368 AE458903:AT458904 AE524439:AT524440 AE589975:AT589976 AE655511:AT655512 AE721047:AT721048 AE786583:AT786584 AE852119:AT852120 AE917655:AT917656 AE983191:AT983192 I65697:P65698 I131233:P131234 I196769:P196770 I262305:P262306 I327841:P327842 I393377:P393378 I458913:P458914 I524449:P524450 I589985:P589986 I655521:P655522 I721057:P721058 I786593:P786594 I852129:P852130 I917665:P917666 I983201:P983202 V65697:AA65698 V131233:AA131234 V196769:AA196770 V262305:AA262306 V327841:AA327842 V393377:AA393378 V458913:AA458914 V524449:AA524450 V589985:AA589986 V655521:AA655522 V721057:AA721058 V786593:AA786594 V852129:AA852130 V917665:AA917666 V983201:AA983202 V65699:AI65700 V131235:AI131236 V196771:AI196772 V262307:AI262308 V327843:AI327844 V393379:AI393380 V458915:AI458916 V524451:AI524452 V589987:AI589988 V655523:AI655524 V721059:AI721060 V786595:AI786596 V852131:AI852132 V917667:AI917668 V983203:AI983204 AP6:AP7 AQ7:AT7 AP3:AT3"/>
    <dataValidation type="list" allowBlank="1" showInputMessage="1" showErrorMessage="1" sqref="AI3:AK3">
      <formula1>"吉村 礼子,二河 めぐみ,吉澤 眞季,田仲 由佳,我妻 奈緒美,鈴木 琳花,浜口 真歩"</formula1>
    </dataValidation>
    <dataValidation type="whole" imeMode="halfAlpha" operator="greaterThanOrEqual" allowBlank="1" showInputMessage="1" showErrorMessage="1" errorTitle="半角数字のみ" error="半角数字8文字のみ入力可能です。_x000a_（ハイフン等入れずに入力ください）" sqref="U96:U97 L96:L97">
      <formula1>0</formula1>
    </dataValidation>
    <dataValidation imeMode="disabled" operator="equal" allowBlank="1" showInputMessage="1" showErrorMessage="1" errorTitle="半角数字のみ" error="半角数字8文字のみ入力可能です。_x000a_（ハイフン等入れずに入力ください）" sqref="AC97"/>
    <dataValidation imeMode="halfAlpha" operator="equal" allowBlank="1" showInputMessage="1" showErrorMessage="1" errorTitle="半角数字のみ" error="半角数字8文字のみ入力可能です。_x000a_（ハイフン等入れずに入力ください）" sqref="Q96:Q97"/>
    <dataValidation type="textLength" imeMode="halfAlpha" operator="equal" allowBlank="1" showInputMessage="1" showErrorMessage="1" sqref="L99:N100">
      <formula1>5</formula1>
    </dataValidation>
    <dataValidation type="list" allowBlank="1" showInputMessage="1" showErrorMessage="1" sqref="O69:P70">
      <formula1>"2回入金,早期2回,早期3回,早期4回,早期6回"</formula1>
    </dataValidation>
    <dataValidation type="custom" imeMode="disabled" allowBlank="1" showInputMessage="1" showErrorMessage="1" errorTitle="サービス開始希望日" error="サービス開始希望日は申込年月日より未来の日付をご入力ください。" sqref="T8:V8">
      <formula1>AND(T8&lt;&gt;0,T8&lt;32,ISERROR(FIND("NG",AZ8)))</formula1>
    </dataValidation>
    <dataValidation type="custom" imeMode="disabled" allowBlank="1" showInputMessage="1" showErrorMessage="1" errorTitle="サービス開始希望日" error="サービス開始希望日は申込年月日より未来の日付をご入力ください。" sqref="P8:R8">
      <formula1>AND(P8&lt;&gt;0,P8&lt;13,ISERROR(FIND("NG",AZ8)))</formula1>
    </dataValidation>
    <dataValidation type="custom" imeMode="disabled" allowBlank="1" showErrorMessage="1" errorTitle="サービス開始希望日" error="サービス開始希望日は申込年月日より未来の日付をご入力ください。" promptTitle="利用開始希望日" prompt="決済ASPサービスの利用開始『希望日』です。_x000a_申込書類提出の1ヶ月以降を目安にご記入下さい。_x000a_【ご注意下さい】_x000a_お申込の決済手段や審査状況によりご希望に添えない場合もございますので予めご了承下さい。" sqref="L8:N8">
      <formula1>AND(LEN(L8)=4,L8&gt;=2018,ISERROR(FIND("NG",AZ8)))</formula1>
    </dataValidation>
    <dataValidation type="custom" imeMode="disabled" allowBlank="1" showInputMessage="1" showErrorMessage="1" errorTitle="サービス開始希望日" error="サービス開始希望日は申込年月日より未来の日付をご入力ください。" promptTitle="利用開始希望日" prompt="端末決済サービスの利用開始『希望日』です。_x000a_申込書類提出の2ヶ月後以降を目安にご記入下さい。_x000a_【ご注意下さい】_x000a_審査状況や端末費用の入金時期により、ご希望に添えない場合もございますので予めご了承下さい。" sqref="AP8:AR8">
      <formula1>AND(AP8&lt;&gt;0,AP8&lt;32,ISERROR(FIND("NG",AZ8)))</formula1>
    </dataValidation>
    <dataValidation type="custom" imeMode="disabled" allowBlank="1" showInputMessage="1" showErrorMessage="1" errorTitle="サービス開始希望日" error="サービス開始希望日は申込年月日より未来の日付をご入力ください。" promptTitle="利用開始希望日" prompt="端末決済サービスの利用開始『希望日』です。_x000a_申込書類提出の2ヶ月後以降を目安にご記入下さい。_x000a_【ご注意下さい】_x000a_審査状況や端末費用の入金時期により、ご希望に添えない場合もございますので予めご了承下さい。" sqref="AL8:AN8">
      <formula1>AND(AL8&lt;&gt;0,AL8&lt;13,ISERROR(FIND("NG",AZ8)))</formula1>
    </dataValidation>
    <dataValidation type="custom" imeMode="disabled" allowBlank="1" showInputMessage="1" showErrorMessage="1" errorTitle="サービス開始希望日" error="サービス開始希望日は申込年月日より未来の日付をご入力ください。" promptTitle="利用開始希望日" prompt="端末決済サービスの利用開始『希望日』です。_x000a_申込書類提出の2ヶ月以降を目安にご記入下さい。_x000a_【ご注意下さい】_x000a_審査状況や端末費用の入金時期により、ご希望に添えない場合もございますので予めご了承下さい。" sqref="AH8:AJ8">
      <formula1>AND(LEN(AH8)=4,AH8&gt;=2018,ISERROR(FIND("NG",AZ8)))</formula1>
    </dataValidation>
    <dataValidation type="custom" imeMode="disabled" operator="equal" allowBlank="1" showInputMessage="1" showErrorMessage="1" sqref="W3:Y3">
      <formula1>AND(LENB(W3)=LEN(W3),LEN(W3)=7)</formula1>
    </dataValidation>
    <dataValidation type="custom" imeMode="disabled" allowBlank="1" showInputMessage="1" showErrorMessage="1" sqref="I3:K3">
      <formula1>AND(LENB(I3)=LEN(I3),LEN(I3)=5)</formula1>
    </dataValidation>
    <dataValidation type="custom" imeMode="disabled" allowBlank="1" showInputMessage="1" showErrorMessage="1" sqref="R3:S3">
      <formula1>AND(LENB(R3)=LEN(R3),LEN(R3)=3)</formula1>
    </dataValidation>
    <dataValidation type="custom" imeMode="disabled" allowBlank="1" showInputMessage="1" showErrorMessage="1" error="小数第二位までとなります。" sqref="Y65 Y44:AF45 Y80:AF80 Y69:Y70 Y60:AF60 AC69:AC70 Y71:AF71 AC67 Y67 Y52:AF52 AC75 Y75 Y47:AF50 Y17:AB19 AC63 AC65 Y63 Y78:AF78 AC16:AF19 Y29:AF31 Y33:AF36">
      <formula1>ROUND(Y16,4)=Y16</formula1>
    </dataValidation>
    <dataValidation imeMode="disabled" allowBlank="1" showInputMessage="1" showErrorMessage="1" sqref="U75 AG33:AJ36 AG80:AJ80 AG44:AJ45 Q65 Q52:X52 Q44:X45 AG16:AJ19 AG60:AJ60 Q63 U69:U70 Q60:X60 O161 AG47:AJ50 U65 Q80:X80 U63 Q69:Q70 AG69:AG70 AN65:AT65 AG71:AJ71 Q71:X71 AG67 Q67 U67 AG52:AJ52 AG75 Q75 Q16 AI157:AK158 Q47:X50 Q154:S154 W154:Y154 AC154:AK154 S156:S158 AK156 Q157:R158 AO156:AQ156 AK161 Y156:Y157 AD157:AH157 W156:X158 Y161:AA161 S161:U161 AO161:AQ161 W160:Y160 K160 AC157:AC158 Q160:S160 U16 AG63 AG65 AG78:AJ78 Q78:X78 AG29:AJ31 Q29:X31 Q33:X36"/>
    <dataValidation type="whole" imeMode="disabled" allowBlank="1" showInputMessage="1" showErrorMessage="1" sqref="AA126:AC146">
      <formula1>0</formula1>
      <formula2>9999999999</formula2>
    </dataValidation>
    <dataValidation type="whole" imeMode="disabled" operator="greaterThanOrEqual" allowBlank="1" showInputMessage="1" showErrorMessage="1" sqref="Q107:Z110 AK159:AT159 V119:Z120 V113:Z113">
      <formula1>0</formula1>
    </dataValidation>
    <dataValidation type="list" allowBlank="1" showInputMessage="1" showErrorMessage="1" sqref="L107:P110">
      <formula1>"選択してください,申し込む"</formula1>
    </dataValidation>
    <dataValidation type="list" allowBlank="1" showInputMessage="1" showErrorMessage="1" sqref="AD109:AG109">
      <formula1>"選択してください,docomo,SoftBank"</formula1>
    </dataValidation>
    <dataValidation type="list" allowBlank="1" showInputMessage="1" showErrorMessage="1" sqref="AQ19">
      <formula1>"-,初回申込時不要"</formula1>
    </dataValidation>
    <dataValidation type="list" allowBlank="1" showInputMessage="1" showErrorMessage="1" sqref="O46:P46">
      <formula1>$BE$71:$BE$72</formula1>
    </dataValidation>
    <dataValidation type="list" allowBlank="1" showInputMessage="1" showErrorMessage="1" sqref="L60:N60 L47:N50 L44:N45 L67:N67 L69:N71 L75:N75 L80:N80 L16:N19 L65:N65 L63:N63 L78:N78 L29:N31 L33:N35">
      <formula1>$BC$2:$BC$3</formula1>
    </dataValidation>
    <dataValidation type="list" allowBlank="1" showInputMessage="1" showErrorMessage="1" sqref="Q61:X61">
      <formula1>PayPay商品1</formula1>
    </dataValidation>
    <dataValidation type="textLength" operator="lessThan" allowBlank="1" showInputMessage="1" showErrorMessage="1" error="19文字以内で入力ください。" sqref="Q164:Q167 AG164:AK167 Y164:Y167 AC164:AC167">
      <formula1>20</formula1>
    </dataValidation>
    <dataValidation type="textLength" imeMode="disabled" operator="equal" allowBlank="1" showInputMessage="1" showErrorMessage="1" error="7桁で入力ください。_x000a_（7桁未満の場合は先頭に０をご入力ください。）" sqref="AI161:AJ161">
      <formula1>7</formula1>
    </dataValidation>
    <dataValidation type="list" allowBlank="1" showInputMessage="1" showErrorMessage="1" sqref="AA61">
      <formula1>INDIRECT("PayPay"&amp;$AW$61)</formula1>
    </dataValidation>
    <dataValidation type="list" allowBlank="1" showInputMessage="1" showErrorMessage="1" sqref="O66:X66">
      <formula1>d払い業態</formula1>
    </dataValidation>
    <dataValidation allowBlank="1" showInputMessage="1" showErrorMessage="1" error="小数第二位までとなります。" sqref="Y66:AB66"/>
    <dataValidation type="list" allowBlank="1" showInputMessage="1" showErrorMessage="1" sqref="AA68:AL68">
      <formula1>INDIRECT("LinePay"&amp;$AW$68)</formula1>
    </dataValidation>
    <dataValidation type="list" allowBlank="1" showInputMessage="1" showErrorMessage="1" sqref="O68:X68">
      <formula1>LinePay業種</formula1>
    </dataValidation>
    <dataValidation type="list" allowBlank="1" showInputMessage="1" showErrorMessage="1" sqref="O72:X72">
      <formula1>auPAY業種</formula1>
    </dataValidation>
    <dataValidation type="list" allowBlank="1" showInputMessage="1" showErrorMessage="1" sqref="AP45:AT45">
      <formula1>WeChatPayビジネスカテゴリ</formula1>
    </dataValidation>
    <dataValidation type="list" showInputMessage="1" showErrorMessage="1" sqref="AS60:AT60">
      <formula1>"0:無,1:有"</formula1>
    </dataValidation>
    <dataValidation type="list" allowBlank="1" showInputMessage="1" showErrorMessage="1" sqref="O76:X76">
      <formula1>メルペイ業種</formula1>
    </dataValidation>
    <dataValidation type="list" allowBlank="1" showInputMessage="1" showErrorMessage="1" sqref="AS75:AT75">
      <formula1>"0:無,1:有"</formula1>
    </dataValidation>
    <dataValidation type="list" allowBlank="1" showInputMessage="1" showErrorMessage="1" sqref="AA76:AL76">
      <formula1>INDIRECT("メルペイ"&amp;$AW$76)</formula1>
    </dataValidation>
    <dataValidation type="whole" imeMode="disabled" allowBlank="1" showInputMessage="1" showErrorMessage="1" sqref="AP4:AT4">
      <formula1>1000</formula1>
      <formula2>9999</formula2>
    </dataValidation>
    <dataValidation type="textLength" imeMode="disabled" operator="equal" allowBlank="1" showInputMessage="1" showErrorMessage="1" sqref="AB152:AC152">
      <formula1>3</formula1>
    </dataValidation>
    <dataValidation type="textLength" imeMode="disabled" operator="equal" allowBlank="1" showInputMessage="1" showErrorMessage="1" sqref="AE152:AF152">
      <formula1>4</formula1>
    </dataValidation>
    <dataValidation type="custom" imeMode="disabled" allowBlank="1" showInputMessage="1" showErrorMessage="1" errorTitle="電話番号" error="半角でご入力下さい。_x000a_ハイフンもご入力下さい。" sqref="AK152:AT152">
      <formula1>IF(AND(COUNTIF(AK152,"*-*-*")&gt;0,ISNUMBER(VALUE(SUBSTITUTE(AK152,"-",""))),LENB(AK152)&lt;14,LENB(AK152)&gt;9),TRUE,FALSE)</formula1>
    </dataValidation>
    <dataValidation type="list" allowBlank="1" showInputMessage="1" showErrorMessage="1" sqref="AL65563:AT65563 AL131099:AT131099 AL196635:AT196635 AL262171:AT262171 AL327707:AT327707 AL393243:AT393243 AL458779:AT458779 AL524315:AT524315 AL589851:AT589851 AL655387:AT655387 AL720923:AT720923 AL786459:AT786459 AL851995:AT851995 AL917531:AT917531 AL983067:AT983067">
      <formula1>$AZ$2:$AZ$10</formula1>
    </dataValidation>
    <dataValidation type="list" allowBlank="1" showInputMessage="1" showErrorMessage="1" sqref="AS18:AT18 AS78:AT78 AS63:AT63 AS80:AT80 AS29:AT31 AS33:AT35">
      <formula1>"包括,直接"</formula1>
    </dataValidation>
    <dataValidation type="list" allowBlank="1" showInputMessage="1" showErrorMessage="1" error="小数第二位までとなります。" sqref="AA51:AJ51">
      <formula1>INDIRECT("JKOPAY"&amp;$AV$51)</formula1>
    </dataValidation>
    <dataValidation type="list" allowBlank="1" showInputMessage="1" showErrorMessage="1" sqref="Q51:X51">
      <formula1>JKOPAY商品1</formula1>
    </dataValidation>
    <dataValidation type="list" allowBlank="1" showInputMessage="1" showErrorMessage="1" sqref="O16:P19">
      <formula1>"2回入金,1回入金,早期2回,早期3回,早期4回,早期6回"</formula1>
    </dataValidation>
    <dataValidation type="list" allowBlank="1" showInputMessage="1" showErrorMessage="1" sqref="O80:P80 O44:P45 O47:P50 O60:P60 O63:P63 O65:P65 O67:P67 O71:P71 O75:P75 O78:P78 O29:P31 O33:P35">
      <formula1>"2回入金,1回入金"</formula1>
    </dataValidation>
    <dataValidation operator="greaterThanOrEqual" allowBlank="1" showInputMessage="1" showErrorMessage="1" sqref="Q159:AB159"/>
    <dataValidation type="list" allowBlank="1" showInputMessage="1" showErrorMessage="1" sqref="AA64:AL64">
      <formula1>INDIRECT("楽天ペイ"&amp;$BA$62)</formula1>
    </dataValidation>
    <dataValidation type="list" allowBlank="1" showInputMessage="1" showErrorMessage="1" sqref="O64:X64">
      <formula1>楽天ペイ大項目</formula1>
    </dataValidation>
    <dataValidation type="custom" allowBlank="1" showInputMessage="1" showErrorMessage="1" sqref="Q86:R86 AA85:AB86 AK85:AL86">
      <formula1>OR(AND(1&lt;=Q85,Q85&lt;=9),AND(11&lt;=Q85,Q85&lt;=126),AND(128&lt;=Q85,Q85&lt;=223))</formula1>
    </dataValidation>
    <dataValidation type="custom" allowBlank="1" showInputMessage="1" showErrorMessage="1" sqref="S85:T86 AC85:AD86 AM85:AN86">
      <formula1>IF(Q85="","",IF(Q85=172,OR(AND(0&lt;=S85,S85&lt;=15),AND(32&lt;=S85,S85&lt;=255)),IF(Q85=192,OR(AND(0&lt;=S85,S85&lt;=167),AND(169&lt;=S85,S85&lt;=255)),AND(0&lt;=S85,S85&lt;=255))))</formula1>
    </dataValidation>
    <dataValidation type="custom" allowBlank="1" showInputMessage="1" showErrorMessage="1" sqref="U85:X86 AE85:AH86 AO85:AR86">
      <formula1>AND(0&lt;=U85,U85&lt;=255)</formula1>
    </dataValidation>
    <dataValidation type="custom" allowBlank="1" showInputMessage="1" showErrorMessage="1" sqref="Q85:R85">
      <formula1>OR(AND(1&lt;=XFA84,XFA84&lt;=9),AND(11&lt;=XFA84,XFA84&lt;=126),AND(128&lt;=XFA84,XFA84&lt;=223))</formula1>
    </dataValidation>
    <dataValidation imeMode="disabled" allowBlank="1" showInputMessage="1" sqref="AP5:AT5"/>
    <dataValidation type="list" allowBlank="1" showInputMessage="1" showErrorMessage="1" sqref="O79:V79">
      <formula1>JCoin業種</formula1>
    </dataValidation>
    <dataValidation type="list" allowBlank="1" showInputMessage="1" showErrorMessage="1" sqref="AA79:AH79">
      <formula1>INDIRECT("JCoin"&amp;$AV$79)</formula1>
    </dataValidation>
    <dataValidation type="list" allowBlank="1" showInputMessage="1" showErrorMessage="1" sqref="AN33:AO33">
      <formula1>"JCB,イオン"</formula1>
    </dataValidation>
    <dataValidation type="list" allowBlank="1" showInputMessage="1" showErrorMessage="1" sqref="AN30:AO30">
      <formula1>"JCB,楽天"</formula1>
    </dataValidation>
    <dataValidation type="list" allowBlank="1" showInputMessage="1" showErrorMessage="1" sqref="AN29:AO29">
      <formula1>"JCB,西武鉄道,東急電鉄,東京都交通局,東武鉄道,京成電鉄,JR西日本,JR東日本,JR東海"</formula1>
    </dataValidation>
    <dataValidation type="custom" errorStyle="warning" imeMode="disabled" allowBlank="1" showInputMessage="1" showErrorMessage="1" error="事前調整番号の入力がありません。_x000a_手数料条件を確認してください。" sqref="Y16:AB16">
      <formula1>AV10="OK"</formula1>
    </dataValidation>
    <dataValidation type="custom" imeMode="halfAlpha" allowBlank="1" showErrorMessage="1" error="半角英数字で入力してください。" promptTitle="パートナーコード" prompt="パートナー案件で無い場合は『-』と記入して下さい" sqref="I4:K4">
      <formula1>AND(COUNT(INDEX(FIND(MID(UPPER(I4)&amp;REPT("*",25),ROW($1:$25),1),"ABCDEFGHIJKLMNOPQRSTUVWXYZ1234567890-,  "),))=LEN(I4),LEN(I4)&lt;26)</formula1>
    </dataValidation>
    <dataValidation type="list" allowBlank="1" showInputMessage="1" showErrorMessage="1" sqref="AN31:AO31">
      <formula1>"UC,イオン"</formula1>
    </dataValidation>
    <dataValidation type="list" allowBlank="1" showInputMessage="1" showErrorMessage="1" sqref="O32">
      <formula1>"一般,タクシー"</formula1>
    </dataValidation>
    <dataValidation type="list" allowBlank="1" showInputMessage="1" showErrorMessage="1" sqref="C44:I44">
      <formula1>"Alipay+,Alipay"</formula1>
    </dataValidation>
    <dataValidation type="list" allowBlank="1" showInputMessage="1" showErrorMessage="1" sqref="AR44:AT44">
      <formula1>"直接接続,電文変換"</formula1>
    </dataValidation>
  </dataValidations>
  <printOptions horizontalCentered="1" verticalCentered="1"/>
  <pageMargins left="0" right="0" top="0" bottom="0" header="0" footer="0"/>
  <pageSetup paperSize="9" scale="28" orientation="landscape" r:id="rId1"/>
  <headerFooter alignWithMargins="0"/>
  <ignoredErrors>
    <ignoredError sqref="DN116 DN107"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7662" r:id="rId4" name="Check Box 494">
              <controlPr defaultSize="0" autoFill="0" autoLine="0" autoPict="0">
                <anchor moveWithCells="1">
                  <from>
                    <xdr:col>11</xdr:col>
                    <xdr:colOff>184150</xdr:colOff>
                    <xdr:row>20</xdr:row>
                    <xdr:rowOff>12700</xdr:rowOff>
                  </from>
                  <to>
                    <xdr:col>13</xdr:col>
                    <xdr:colOff>19050</xdr:colOff>
                    <xdr:row>20</xdr:row>
                    <xdr:rowOff>228600</xdr:rowOff>
                  </to>
                </anchor>
              </controlPr>
            </control>
          </mc:Choice>
        </mc:AlternateContent>
        <mc:AlternateContent xmlns:mc="http://schemas.openxmlformats.org/markup-compatibility/2006">
          <mc:Choice Requires="x14">
            <control shapeId="7663" r:id="rId5" name="Check Box 495">
              <controlPr defaultSize="0" autoFill="0" autoLine="0" autoPict="0">
                <anchor moveWithCells="1">
                  <from>
                    <xdr:col>11</xdr:col>
                    <xdr:colOff>184150</xdr:colOff>
                    <xdr:row>21</xdr:row>
                    <xdr:rowOff>12700</xdr:rowOff>
                  </from>
                  <to>
                    <xdr:col>13</xdr:col>
                    <xdr:colOff>19050</xdr:colOff>
                    <xdr:row>21</xdr:row>
                    <xdr:rowOff>228600</xdr:rowOff>
                  </to>
                </anchor>
              </controlPr>
            </control>
          </mc:Choice>
        </mc:AlternateContent>
        <mc:AlternateContent xmlns:mc="http://schemas.openxmlformats.org/markup-compatibility/2006">
          <mc:Choice Requires="x14">
            <control shapeId="7664" r:id="rId6" name="Check Box 496">
              <controlPr defaultSize="0" autoFill="0" autoLine="0" autoPict="0">
                <anchor moveWithCells="1">
                  <from>
                    <xdr:col>11</xdr:col>
                    <xdr:colOff>184150</xdr:colOff>
                    <xdr:row>22</xdr:row>
                    <xdr:rowOff>12700</xdr:rowOff>
                  </from>
                  <to>
                    <xdr:col>13</xdr:col>
                    <xdr:colOff>19050</xdr:colOff>
                    <xdr:row>22</xdr:row>
                    <xdr:rowOff>228600</xdr:rowOff>
                  </to>
                </anchor>
              </controlPr>
            </control>
          </mc:Choice>
        </mc:AlternateContent>
        <mc:AlternateContent xmlns:mc="http://schemas.openxmlformats.org/markup-compatibility/2006">
          <mc:Choice Requires="x14">
            <control shapeId="7666" r:id="rId7" name="Check Box 498">
              <controlPr defaultSize="0" autoFill="0" autoLine="0" autoPict="0">
                <anchor moveWithCells="1">
                  <from>
                    <xdr:col>11</xdr:col>
                    <xdr:colOff>184150</xdr:colOff>
                    <xdr:row>19</xdr:row>
                    <xdr:rowOff>31750</xdr:rowOff>
                  </from>
                  <to>
                    <xdr:col>13</xdr:col>
                    <xdr:colOff>19050</xdr:colOff>
                    <xdr:row>19</xdr:row>
                    <xdr:rowOff>241300</xdr:rowOff>
                  </to>
                </anchor>
              </controlPr>
            </control>
          </mc:Choice>
        </mc:AlternateContent>
        <mc:AlternateContent xmlns:mc="http://schemas.openxmlformats.org/markup-compatibility/2006">
          <mc:Choice Requires="x14">
            <control shapeId="7667" r:id="rId8" name="Check Box 499">
              <controlPr defaultSize="0" autoFill="0" autoLine="0" autoPict="0">
                <anchor moveWithCells="1">
                  <from>
                    <xdr:col>9</xdr:col>
                    <xdr:colOff>146050</xdr:colOff>
                    <xdr:row>17</xdr:row>
                    <xdr:rowOff>12700</xdr:rowOff>
                  </from>
                  <to>
                    <xdr:col>11</xdr:col>
                    <xdr:colOff>6350</xdr:colOff>
                    <xdr:row>17</xdr:row>
                    <xdr:rowOff>228600</xdr:rowOff>
                  </to>
                </anchor>
              </controlPr>
            </control>
          </mc:Choice>
        </mc:AlternateContent>
        <mc:AlternateContent xmlns:mc="http://schemas.openxmlformats.org/markup-compatibility/2006">
          <mc:Choice Requires="x14">
            <control shapeId="7690" r:id="rId9" name="Check Box 522">
              <controlPr defaultSize="0" autoFill="0" autoLine="0" autoPict="0">
                <anchor moveWithCells="1">
                  <from>
                    <xdr:col>9</xdr:col>
                    <xdr:colOff>171450</xdr:colOff>
                    <xdr:row>28</xdr:row>
                    <xdr:rowOff>12700</xdr:rowOff>
                  </from>
                  <to>
                    <xdr:col>11</xdr:col>
                    <xdr:colOff>19050</xdr:colOff>
                    <xdr:row>28</xdr:row>
                    <xdr:rowOff>228600</xdr:rowOff>
                  </to>
                </anchor>
              </controlPr>
            </control>
          </mc:Choice>
        </mc:AlternateContent>
        <mc:AlternateContent xmlns:mc="http://schemas.openxmlformats.org/markup-compatibility/2006">
          <mc:Choice Requires="x14">
            <control shapeId="7691" r:id="rId10" name="Check Box 523">
              <controlPr defaultSize="0" autoFill="0" autoLine="0" autoPict="0">
                <anchor moveWithCells="1">
                  <from>
                    <xdr:col>9</xdr:col>
                    <xdr:colOff>171450</xdr:colOff>
                    <xdr:row>29</xdr:row>
                    <xdr:rowOff>19050</xdr:rowOff>
                  </from>
                  <to>
                    <xdr:col>11</xdr:col>
                    <xdr:colOff>19050</xdr:colOff>
                    <xdr:row>29</xdr:row>
                    <xdr:rowOff>228600</xdr:rowOff>
                  </to>
                </anchor>
              </controlPr>
            </control>
          </mc:Choice>
        </mc:AlternateContent>
        <mc:AlternateContent xmlns:mc="http://schemas.openxmlformats.org/markup-compatibility/2006">
          <mc:Choice Requires="x14">
            <control shapeId="7767" r:id="rId11" name="Check Box 599">
              <controlPr defaultSize="0" autoFill="0" autoLine="0" autoPict="0">
                <anchor moveWithCells="1">
                  <from>
                    <xdr:col>9</xdr:col>
                    <xdr:colOff>171450</xdr:colOff>
                    <xdr:row>30</xdr:row>
                    <xdr:rowOff>19050</xdr:rowOff>
                  </from>
                  <to>
                    <xdr:col>11</xdr:col>
                    <xdr:colOff>19050</xdr:colOff>
                    <xdr:row>30</xdr:row>
                    <xdr:rowOff>228600</xdr:rowOff>
                  </to>
                </anchor>
              </controlPr>
            </control>
          </mc:Choice>
        </mc:AlternateContent>
        <mc:AlternateContent xmlns:mc="http://schemas.openxmlformats.org/markup-compatibility/2006">
          <mc:Choice Requires="x14">
            <control shapeId="7768" r:id="rId12" name="Check Box 600">
              <controlPr defaultSize="0" autoFill="0" autoLine="0" autoPict="0">
                <anchor moveWithCells="1">
                  <from>
                    <xdr:col>9</xdr:col>
                    <xdr:colOff>171450</xdr:colOff>
                    <xdr:row>32</xdr:row>
                    <xdr:rowOff>19050</xdr:rowOff>
                  </from>
                  <to>
                    <xdr:col>11</xdr:col>
                    <xdr:colOff>19050</xdr:colOff>
                    <xdr:row>32</xdr:row>
                    <xdr:rowOff>228600</xdr:rowOff>
                  </to>
                </anchor>
              </controlPr>
            </control>
          </mc:Choice>
        </mc:AlternateContent>
        <mc:AlternateContent xmlns:mc="http://schemas.openxmlformats.org/markup-compatibility/2006">
          <mc:Choice Requires="x14">
            <control shapeId="7769" r:id="rId13" name="Check Box 601">
              <controlPr defaultSize="0" autoFill="0" autoLine="0" autoPict="0">
                <anchor moveWithCells="1">
                  <from>
                    <xdr:col>9</xdr:col>
                    <xdr:colOff>171450</xdr:colOff>
                    <xdr:row>33</xdr:row>
                    <xdr:rowOff>19050</xdr:rowOff>
                  </from>
                  <to>
                    <xdr:col>11</xdr:col>
                    <xdr:colOff>19050</xdr:colOff>
                    <xdr:row>33</xdr:row>
                    <xdr:rowOff>228600</xdr:rowOff>
                  </to>
                </anchor>
              </controlPr>
            </control>
          </mc:Choice>
        </mc:AlternateContent>
        <mc:AlternateContent xmlns:mc="http://schemas.openxmlformats.org/markup-compatibility/2006">
          <mc:Choice Requires="x14">
            <control shapeId="8147" r:id="rId14" name="Check Box 979">
              <controlPr defaultSize="0" autoFill="0" autoLine="0" autoPict="0">
                <anchor moveWithCells="1">
                  <from>
                    <xdr:col>9</xdr:col>
                    <xdr:colOff>146050</xdr:colOff>
                    <xdr:row>15</xdr:row>
                    <xdr:rowOff>133350</xdr:rowOff>
                  </from>
                  <to>
                    <xdr:col>11</xdr:col>
                    <xdr:colOff>6350</xdr:colOff>
                    <xdr:row>16</xdr:row>
                    <xdr:rowOff>107950</xdr:rowOff>
                  </to>
                </anchor>
              </controlPr>
            </control>
          </mc:Choice>
        </mc:AlternateContent>
        <mc:AlternateContent xmlns:mc="http://schemas.openxmlformats.org/markup-compatibility/2006">
          <mc:Choice Requires="x14">
            <control shapeId="8182" r:id="rId15" name="Check Box 1014">
              <controlPr defaultSize="0" autoFill="0" autoLine="0" autoPict="0">
                <anchor moveWithCells="1">
                  <from>
                    <xdr:col>9</xdr:col>
                    <xdr:colOff>171450</xdr:colOff>
                    <xdr:row>43</xdr:row>
                    <xdr:rowOff>19050</xdr:rowOff>
                  </from>
                  <to>
                    <xdr:col>11</xdr:col>
                    <xdr:colOff>19050</xdr:colOff>
                    <xdr:row>43</xdr:row>
                    <xdr:rowOff>228600</xdr:rowOff>
                  </to>
                </anchor>
              </controlPr>
            </control>
          </mc:Choice>
        </mc:AlternateContent>
        <mc:AlternateContent xmlns:mc="http://schemas.openxmlformats.org/markup-compatibility/2006">
          <mc:Choice Requires="x14">
            <control shapeId="8183" r:id="rId16" name="Check Box 1015">
              <controlPr defaultSize="0" autoFill="0" autoLine="0" autoPict="0">
                <anchor moveWithCells="1">
                  <from>
                    <xdr:col>9</xdr:col>
                    <xdr:colOff>171450</xdr:colOff>
                    <xdr:row>44</xdr:row>
                    <xdr:rowOff>19050</xdr:rowOff>
                  </from>
                  <to>
                    <xdr:col>11</xdr:col>
                    <xdr:colOff>19050</xdr:colOff>
                    <xdr:row>44</xdr:row>
                    <xdr:rowOff>228600</xdr:rowOff>
                  </to>
                </anchor>
              </controlPr>
            </control>
          </mc:Choice>
        </mc:AlternateContent>
        <mc:AlternateContent xmlns:mc="http://schemas.openxmlformats.org/markup-compatibility/2006">
          <mc:Choice Requires="x14">
            <control shapeId="8184" r:id="rId17" name="Check Box 1016">
              <controlPr defaultSize="0" autoFill="0" autoLine="0" autoPict="0">
                <anchor moveWithCells="1">
                  <from>
                    <xdr:col>9</xdr:col>
                    <xdr:colOff>171450</xdr:colOff>
                    <xdr:row>46</xdr:row>
                    <xdr:rowOff>19050</xdr:rowOff>
                  </from>
                  <to>
                    <xdr:col>11</xdr:col>
                    <xdr:colOff>19050</xdr:colOff>
                    <xdr:row>46</xdr:row>
                    <xdr:rowOff>228600</xdr:rowOff>
                  </to>
                </anchor>
              </controlPr>
            </control>
          </mc:Choice>
        </mc:AlternateContent>
        <mc:AlternateContent xmlns:mc="http://schemas.openxmlformats.org/markup-compatibility/2006">
          <mc:Choice Requires="x14">
            <control shapeId="8185" r:id="rId18" name="Check Box 1017">
              <controlPr defaultSize="0" autoFill="0" autoLine="0" autoPict="0">
                <anchor moveWithCells="1">
                  <from>
                    <xdr:col>9</xdr:col>
                    <xdr:colOff>171450</xdr:colOff>
                    <xdr:row>49</xdr:row>
                    <xdr:rowOff>19050</xdr:rowOff>
                  </from>
                  <to>
                    <xdr:col>11</xdr:col>
                    <xdr:colOff>19050</xdr:colOff>
                    <xdr:row>49</xdr:row>
                    <xdr:rowOff>228600</xdr:rowOff>
                  </to>
                </anchor>
              </controlPr>
            </control>
          </mc:Choice>
        </mc:AlternateContent>
        <mc:AlternateContent xmlns:mc="http://schemas.openxmlformats.org/markup-compatibility/2006">
          <mc:Choice Requires="x14">
            <control shapeId="8187" r:id="rId19" name="Group Box 1019">
              <controlPr defaultSize="0" autoFill="0" autoPict="0">
                <anchor moveWithCells="1">
                  <from>
                    <xdr:col>27</xdr:col>
                    <xdr:colOff>203200</xdr:colOff>
                    <xdr:row>70</xdr:row>
                    <xdr:rowOff>203200</xdr:rowOff>
                  </from>
                  <to>
                    <xdr:col>45</xdr:col>
                    <xdr:colOff>203200</xdr:colOff>
                    <xdr:row>74</xdr:row>
                    <xdr:rowOff>69850</xdr:rowOff>
                  </to>
                </anchor>
              </controlPr>
            </control>
          </mc:Choice>
        </mc:AlternateContent>
        <mc:AlternateContent xmlns:mc="http://schemas.openxmlformats.org/markup-compatibility/2006">
          <mc:Choice Requires="x14">
            <control shapeId="8188" r:id="rId20" name="Option Button 1020">
              <controlPr defaultSize="0" autoFill="0" autoLine="0" autoPict="0">
                <anchor moveWithCells="1">
                  <from>
                    <xdr:col>28</xdr:col>
                    <xdr:colOff>133350</xdr:colOff>
                    <xdr:row>71</xdr:row>
                    <xdr:rowOff>19050</xdr:rowOff>
                  </from>
                  <to>
                    <xdr:col>31</xdr:col>
                    <xdr:colOff>190500</xdr:colOff>
                    <xdr:row>71</xdr:row>
                    <xdr:rowOff>228600</xdr:rowOff>
                  </to>
                </anchor>
              </controlPr>
            </control>
          </mc:Choice>
        </mc:AlternateContent>
        <mc:AlternateContent xmlns:mc="http://schemas.openxmlformats.org/markup-compatibility/2006">
          <mc:Choice Requires="x14">
            <control shapeId="8189" r:id="rId21" name="Option Button 1021">
              <controlPr defaultSize="0" autoFill="0" autoLine="0" autoPict="0">
                <anchor moveWithCells="1">
                  <from>
                    <xdr:col>33</xdr:col>
                    <xdr:colOff>38100</xdr:colOff>
                    <xdr:row>71</xdr:row>
                    <xdr:rowOff>19050</xdr:rowOff>
                  </from>
                  <to>
                    <xdr:col>36</xdr:col>
                    <xdr:colOff>107950</xdr:colOff>
                    <xdr:row>71</xdr:row>
                    <xdr:rowOff>228600</xdr:rowOff>
                  </to>
                </anchor>
              </controlPr>
            </control>
          </mc:Choice>
        </mc:AlternateContent>
        <mc:AlternateContent xmlns:mc="http://schemas.openxmlformats.org/markup-compatibility/2006">
          <mc:Choice Requires="x14">
            <control shapeId="8190" r:id="rId22" name="Option Button 1022">
              <controlPr defaultSize="0" autoFill="0" autoLine="0" autoPict="0">
                <anchor moveWithCells="1">
                  <from>
                    <xdr:col>40</xdr:col>
                    <xdr:colOff>19050</xdr:colOff>
                    <xdr:row>71</xdr:row>
                    <xdr:rowOff>19050</xdr:rowOff>
                  </from>
                  <to>
                    <xdr:col>43</xdr:col>
                    <xdr:colOff>76200</xdr:colOff>
                    <xdr:row>71</xdr:row>
                    <xdr:rowOff>228600</xdr:rowOff>
                  </to>
                </anchor>
              </controlPr>
            </control>
          </mc:Choice>
        </mc:AlternateContent>
        <mc:AlternateContent xmlns:mc="http://schemas.openxmlformats.org/markup-compatibility/2006">
          <mc:Choice Requires="x14">
            <control shapeId="8191" r:id="rId23" name="Check Box 1023">
              <controlPr defaultSize="0" autoFill="0" autoLine="0" autoPict="0">
                <anchor moveWithCells="1">
                  <from>
                    <xdr:col>9</xdr:col>
                    <xdr:colOff>171450</xdr:colOff>
                    <xdr:row>59</xdr:row>
                    <xdr:rowOff>19050</xdr:rowOff>
                  </from>
                  <to>
                    <xdr:col>11</xdr:col>
                    <xdr:colOff>19050</xdr:colOff>
                    <xdr:row>59</xdr:row>
                    <xdr:rowOff>228600</xdr:rowOff>
                  </to>
                </anchor>
              </controlPr>
            </control>
          </mc:Choice>
        </mc:AlternateContent>
        <mc:AlternateContent xmlns:mc="http://schemas.openxmlformats.org/markup-compatibility/2006">
          <mc:Choice Requires="x14">
            <control shapeId="102400" r:id="rId24" name="Check Box 1024">
              <controlPr defaultSize="0" autoFill="0" autoLine="0" autoPict="0">
                <anchor moveWithCells="1">
                  <from>
                    <xdr:col>9</xdr:col>
                    <xdr:colOff>171450</xdr:colOff>
                    <xdr:row>62</xdr:row>
                    <xdr:rowOff>19050</xdr:rowOff>
                  </from>
                  <to>
                    <xdr:col>11</xdr:col>
                    <xdr:colOff>19050</xdr:colOff>
                    <xdr:row>62</xdr:row>
                    <xdr:rowOff>228600</xdr:rowOff>
                  </to>
                </anchor>
              </controlPr>
            </control>
          </mc:Choice>
        </mc:AlternateContent>
        <mc:AlternateContent xmlns:mc="http://schemas.openxmlformats.org/markup-compatibility/2006">
          <mc:Choice Requires="x14">
            <control shapeId="102401" r:id="rId25" name="Check Box 1025">
              <controlPr defaultSize="0" autoFill="0" autoLine="0" autoPict="0">
                <anchor moveWithCells="1">
                  <from>
                    <xdr:col>9</xdr:col>
                    <xdr:colOff>171450</xdr:colOff>
                    <xdr:row>64</xdr:row>
                    <xdr:rowOff>19050</xdr:rowOff>
                  </from>
                  <to>
                    <xdr:col>11</xdr:col>
                    <xdr:colOff>19050</xdr:colOff>
                    <xdr:row>64</xdr:row>
                    <xdr:rowOff>228600</xdr:rowOff>
                  </to>
                </anchor>
              </controlPr>
            </control>
          </mc:Choice>
        </mc:AlternateContent>
        <mc:AlternateContent xmlns:mc="http://schemas.openxmlformats.org/markup-compatibility/2006">
          <mc:Choice Requires="x14">
            <control shapeId="102403" r:id="rId26" name="Check Box 1027">
              <controlPr defaultSize="0" autoFill="0" autoLine="0" autoPict="0">
                <anchor moveWithCells="1">
                  <from>
                    <xdr:col>9</xdr:col>
                    <xdr:colOff>171450</xdr:colOff>
                    <xdr:row>70</xdr:row>
                    <xdr:rowOff>19050</xdr:rowOff>
                  </from>
                  <to>
                    <xdr:col>11</xdr:col>
                    <xdr:colOff>19050</xdr:colOff>
                    <xdr:row>70</xdr:row>
                    <xdr:rowOff>228600</xdr:rowOff>
                  </to>
                </anchor>
              </controlPr>
            </control>
          </mc:Choice>
        </mc:AlternateContent>
        <mc:AlternateContent xmlns:mc="http://schemas.openxmlformats.org/markup-compatibility/2006">
          <mc:Choice Requires="x14">
            <control shapeId="102404" r:id="rId27" name="Check Box 1028">
              <controlPr defaultSize="0" autoFill="0" autoLine="0" autoPict="0">
                <anchor moveWithCells="1">
                  <from>
                    <xdr:col>9</xdr:col>
                    <xdr:colOff>171450</xdr:colOff>
                    <xdr:row>74</xdr:row>
                    <xdr:rowOff>19050</xdr:rowOff>
                  </from>
                  <to>
                    <xdr:col>11</xdr:col>
                    <xdr:colOff>19050</xdr:colOff>
                    <xdr:row>74</xdr:row>
                    <xdr:rowOff>228600</xdr:rowOff>
                  </to>
                </anchor>
              </controlPr>
            </control>
          </mc:Choice>
        </mc:AlternateContent>
        <mc:AlternateContent xmlns:mc="http://schemas.openxmlformats.org/markup-compatibility/2006">
          <mc:Choice Requires="x14">
            <control shapeId="102405" r:id="rId28" name="Check Box 1029">
              <controlPr defaultSize="0" autoFill="0" autoLine="0" autoPict="0">
                <anchor moveWithCells="1">
                  <from>
                    <xdr:col>9</xdr:col>
                    <xdr:colOff>171450</xdr:colOff>
                    <xdr:row>77</xdr:row>
                    <xdr:rowOff>19050</xdr:rowOff>
                  </from>
                  <to>
                    <xdr:col>11</xdr:col>
                    <xdr:colOff>19050</xdr:colOff>
                    <xdr:row>77</xdr:row>
                    <xdr:rowOff>228600</xdr:rowOff>
                  </to>
                </anchor>
              </controlPr>
            </control>
          </mc:Choice>
        </mc:AlternateContent>
        <mc:AlternateContent xmlns:mc="http://schemas.openxmlformats.org/markup-compatibility/2006">
          <mc:Choice Requires="x14">
            <control shapeId="102408" r:id="rId29" name="Group Box 1032">
              <controlPr defaultSize="0" autoFill="0" autoPict="0">
                <anchor moveWithCells="1">
                  <from>
                    <xdr:col>14</xdr:col>
                    <xdr:colOff>50800</xdr:colOff>
                    <xdr:row>60</xdr:row>
                    <xdr:rowOff>241300</xdr:rowOff>
                  </from>
                  <to>
                    <xdr:col>23</xdr:col>
                    <xdr:colOff>209550</xdr:colOff>
                    <xdr:row>62</xdr:row>
                    <xdr:rowOff>209550</xdr:rowOff>
                  </to>
                </anchor>
              </controlPr>
            </control>
          </mc:Choice>
        </mc:AlternateContent>
        <mc:AlternateContent xmlns:mc="http://schemas.openxmlformats.org/markup-compatibility/2006">
          <mc:Choice Requires="x14">
            <control shapeId="102409" r:id="rId30" name="Option Button 1033">
              <controlPr defaultSize="0" autoFill="0" autoLine="0" autoPict="0">
                <anchor moveWithCells="1">
                  <from>
                    <xdr:col>14</xdr:col>
                    <xdr:colOff>127000</xdr:colOff>
                    <xdr:row>61</xdr:row>
                    <xdr:rowOff>12700</xdr:rowOff>
                  </from>
                  <to>
                    <xdr:col>18</xdr:col>
                    <xdr:colOff>6350</xdr:colOff>
                    <xdr:row>61</xdr:row>
                    <xdr:rowOff>209550</xdr:rowOff>
                  </to>
                </anchor>
              </controlPr>
            </control>
          </mc:Choice>
        </mc:AlternateContent>
        <mc:AlternateContent xmlns:mc="http://schemas.openxmlformats.org/markup-compatibility/2006">
          <mc:Choice Requires="x14">
            <control shapeId="102410" r:id="rId31" name="Option Button 1034">
              <controlPr defaultSize="0" autoFill="0" autoLine="0" autoPict="0">
                <anchor moveWithCells="1">
                  <from>
                    <xdr:col>19</xdr:col>
                    <xdr:colOff>38100</xdr:colOff>
                    <xdr:row>61</xdr:row>
                    <xdr:rowOff>12700</xdr:rowOff>
                  </from>
                  <to>
                    <xdr:col>22</xdr:col>
                    <xdr:colOff>152400</xdr:colOff>
                    <xdr:row>61</xdr:row>
                    <xdr:rowOff>209550</xdr:rowOff>
                  </to>
                </anchor>
              </controlPr>
            </control>
          </mc:Choice>
        </mc:AlternateContent>
        <mc:AlternateContent xmlns:mc="http://schemas.openxmlformats.org/markup-compatibility/2006">
          <mc:Choice Requires="x14">
            <control shapeId="102413" r:id="rId32" name="Group Box 1037">
              <controlPr defaultSize="0" autoFill="0" autoPict="0">
                <anchor moveWithCells="1">
                  <from>
                    <xdr:col>28</xdr:col>
                    <xdr:colOff>12700</xdr:colOff>
                    <xdr:row>64</xdr:row>
                    <xdr:rowOff>228600</xdr:rowOff>
                  </from>
                  <to>
                    <xdr:col>36</xdr:col>
                    <xdr:colOff>0</xdr:colOff>
                    <xdr:row>70</xdr:row>
                    <xdr:rowOff>12700</xdr:rowOff>
                  </to>
                </anchor>
              </controlPr>
            </control>
          </mc:Choice>
        </mc:AlternateContent>
        <mc:AlternateContent xmlns:mc="http://schemas.openxmlformats.org/markup-compatibility/2006">
          <mc:Choice Requires="x14">
            <control shapeId="102414" r:id="rId33" name="Option Button 1038">
              <controlPr defaultSize="0" autoFill="0" autoLine="0" autoPict="0">
                <anchor moveWithCells="1">
                  <from>
                    <xdr:col>28</xdr:col>
                    <xdr:colOff>127000</xdr:colOff>
                    <xdr:row>65</xdr:row>
                    <xdr:rowOff>19050</xdr:rowOff>
                  </from>
                  <to>
                    <xdr:col>32</xdr:col>
                    <xdr:colOff>6350</xdr:colOff>
                    <xdr:row>65</xdr:row>
                    <xdr:rowOff>228600</xdr:rowOff>
                  </to>
                </anchor>
              </controlPr>
            </control>
          </mc:Choice>
        </mc:AlternateContent>
        <mc:AlternateContent xmlns:mc="http://schemas.openxmlformats.org/markup-compatibility/2006">
          <mc:Choice Requires="x14">
            <control shapeId="102415" r:id="rId34" name="Option Button 1039">
              <controlPr defaultSize="0" autoFill="0" autoLine="0" autoPict="0">
                <anchor moveWithCells="1">
                  <from>
                    <xdr:col>32</xdr:col>
                    <xdr:colOff>107950</xdr:colOff>
                    <xdr:row>65</xdr:row>
                    <xdr:rowOff>19050</xdr:rowOff>
                  </from>
                  <to>
                    <xdr:col>35</xdr:col>
                    <xdr:colOff>228600</xdr:colOff>
                    <xdr:row>65</xdr:row>
                    <xdr:rowOff>228600</xdr:rowOff>
                  </to>
                </anchor>
              </controlPr>
            </control>
          </mc:Choice>
        </mc:AlternateContent>
        <mc:AlternateContent xmlns:mc="http://schemas.openxmlformats.org/markup-compatibility/2006">
          <mc:Choice Requires="x14">
            <control shapeId="102416" r:id="rId35" name="Group Box 1040">
              <controlPr defaultSize="0" autoFill="0" autoPict="0">
                <anchor moveWithCells="1">
                  <from>
                    <xdr:col>14</xdr:col>
                    <xdr:colOff>38100</xdr:colOff>
                    <xdr:row>76</xdr:row>
                    <xdr:rowOff>0</xdr:rowOff>
                  </from>
                  <to>
                    <xdr:col>24</xdr:col>
                    <xdr:colOff>6350</xdr:colOff>
                    <xdr:row>77</xdr:row>
                    <xdr:rowOff>19050</xdr:rowOff>
                  </to>
                </anchor>
              </controlPr>
            </control>
          </mc:Choice>
        </mc:AlternateContent>
        <mc:AlternateContent xmlns:mc="http://schemas.openxmlformats.org/markup-compatibility/2006">
          <mc:Choice Requires="x14">
            <control shapeId="102417" r:id="rId36" name="Option Button 1041">
              <controlPr defaultSize="0" autoFill="0" autoLine="0" autoPict="0">
                <anchor moveWithCells="1">
                  <from>
                    <xdr:col>14</xdr:col>
                    <xdr:colOff>114300</xdr:colOff>
                    <xdr:row>76</xdr:row>
                    <xdr:rowOff>19050</xdr:rowOff>
                  </from>
                  <to>
                    <xdr:col>17</xdr:col>
                    <xdr:colOff>171450</xdr:colOff>
                    <xdr:row>76</xdr:row>
                    <xdr:rowOff>228600</xdr:rowOff>
                  </to>
                </anchor>
              </controlPr>
            </control>
          </mc:Choice>
        </mc:AlternateContent>
        <mc:AlternateContent xmlns:mc="http://schemas.openxmlformats.org/markup-compatibility/2006">
          <mc:Choice Requires="x14">
            <control shapeId="102418" r:id="rId37" name="Option Button 1042">
              <controlPr defaultSize="0" autoFill="0" autoLine="0" autoPict="0">
                <anchor moveWithCells="1">
                  <from>
                    <xdr:col>19</xdr:col>
                    <xdr:colOff>6350</xdr:colOff>
                    <xdr:row>76</xdr:row>
                    <xdr:rowOff>19050</xdr:rowOff>
                  </from>
                  <to>
                    <xdr:col>22</xdr:col>
                    <xdr:colOff>57150</xdr:colOff>
                    <xdr:row>76</xdr:row>
                    <xdr:rowOff>228600</xdr:rowOff>
                  </to>
                </anchor>
              </controlPr>
            </control>
          </mc:Choice>
        </mc:AlternateContent>
        <mc:AlternateContent xmlns:mc="http://schemas.openxmlformats.org/markup-compatibility/2006">
          <mc:Choice Requires="x14">
            <control shapeId="102560" r:id="rId38" name="Group Box 1184">
              <controlPr defaultSize="0" autoFill="0" autoPict="0">
                <anchor moveWithCells="1">
                  <from>
                    <xdr:col>14</xdr:col>
                    <xdr:colOff>31750</xdr:colOff>
                    <xdr:row>81</xdr:row>
                    <xdr:rowOff>0</xdr:rowOff>
                  </from>
                  <to>
                    <xdr:col>23</xdr:col>
                    <xdr:colOff>228600</xdr:colOff>
                    <xdr:row>82</xdr:row>
                    <xdr:rowOff>0</xdr:rowOff>
                  </to>
                </anchor>
              </controlPr>
            </control>
          </mc:Choice>
        </mc:AlternateContent>
        <mc:AlternateContent xmlns:mc="http://schemas.openxmlformats.org/markup-compatibility/2006">
          <mc:Choice Requires="x14">
            <control shapeId="102561" r:id="rId39" name="Option Button 1185">
              <controlPr defaultSize="0" autoFill="0" autoLine="0" autoPict="0">
                <anchor moveWithCells="1">
                  <from>
                    <xdr:col>14</xdr:col>
                    <xdr:colOff>203200</xdr:colOff>
                    <xdr:row>81</xdr:row>
                    <xdr:rowOff>0</xdr:rowOff>
                  </from>
                  <to>
                    <xdr:col>18</xdr:col>
                    <xdr:colOff>107950</xdr:colOff>
                    <xdr:row>81</xdr:row>
                    <xdr:rowOff>241300</xdr:rowOff>
                  </to>
                </anchor>
              </controlPr>
            </control>
          </mc:Choice>
        </mc:AlternateContent>
        <mc:AlternateContent xmlns:mc="http://schemas.openxmlformats.org/markup-compatibility/2006">
          <mc:Choice Requires="x14">
            <control shapeId="102562" r:id="rId40" name="Option Button 1186">
              <controlPr defaultSize="0" autoFill="0" autoLine="0" autoPict="0">
                <anchor moveWithCells="1">
                  <from>
                    <xdr:col>19</xdr:col>
                    <xdr:colOff>209550</xdr:colOff>
                    <xdr:row>81</xdr:row>
                    <xdr:rowOff>0</xdr:rowOff>
                  </from>
                  <to>
                    <xdr:col>23</xdr:col>
                    <xdr:colOff>114300</xdr:colOff>
                    <xdr:row>81</xdr:row>
                    <xdr:rowOff>241300</xdr:rowOff>
                  </to>
                </anchor>
              </controlPr>
            </control>
          </mc:Choice>
        </mc:AlternateContent>
        <mc:AlternateContent xmlns:mc="http://schemas.openxmlformats.org/markup-compatibility/2006">
          <mc:Choice Requires="x14">
            <control shapeId="102569" r:id="rId41" name="Group Box 1193">
              <controlPr defaultSize="0" autoFill="0" autoPict="0">
                <anchor moveWithCells="1">
                  <from>
                    <xdr:col>10</xdr:col>
                    <xdr:colOff>31750</xdr:colOff>
                    <xdr:row>148</xdr:row>
                    <xdr:rowOff>31750</xdr:rowOff>
                  </from>
                  <to>
                    <xdr:col>45</xdr:col>
                    <xdr:colOff>190500</xdr:colOff>
                    <xdr:row>150</xdr:row>
                    <xdr:rowOff>190500</xdr:rowOff>
                  </to>
                </anchor>
              </controlPr>
            </control>
          </mc:Choice>
        </mc:AlternateContent>
        <mc:AlternateContent xmlns:mc="http://schemas.openxmlformats.org/markup-compatibility/2006">
          <mc:Choice Requires="x14">
            <control shapeId="102570" r:id="rId42" name="Option Button 1194">
              <controlPr defaultSize="0" autoFill="0" autoLine="0" autoPict="0">
                <anchor moveWithCells="1">
                  <from>
                    <xdr:col>10</xdr:col>
                    <xdr:colOff>133350</xdr:colOff>
                    <xdr:row>148</xdr:row>
                    <xdr:rowOff>69850</xdr:rowOff>
                  </from>
                  <to>
                    <xdr:col>12</xdr:col>
                    <xdr:colOff>6350</xdr:colOff>
                    <xdr:row>150</xdr:row>
                    <xdr:rowOff>114300</xdr:rowOff>
                  </to>
                </anchor>
              </controlPr>
            </control>
          </mc:Choice>
        </mc:AlternateContent>
        <mc:AlternateContent xmlns:mc="http://schemas.openxmlformats.org/markup-compatibility/2006">
          <mc:Choice Requires="x14">
            <control shapeId="102571" r:id="rId43" name="Option Button 1195">
              <controlPr defaultSize="0" autoFill="0" autoLine="0" autoPict="0">
                <anchor moveWithCells="1">
                  <from>
                    <xdr:col>22</xdr:col>
                    <xdr:colOff>133350</xdr:colOff>
                    <xdr:row>148</xdr:row>
                    <xdr:rowOff>69850</xdr:rowOff>
                  </from>
                  <to>
                    <xdr:col>24</xdr:col>
                    <xdr:colOff>6350</xdr:colOff>
                    <xdr:row>150</xdr:row>
                    <xdr:rowOff>114300</xdr:rowOff>
                  </to>
                </anchor>
              </controlPr>
            </control>
          </mc:Choice>
        </mc:AlternateContent>
        <mc:AlternateContent xmlns:mc="http://schemas.openxmlformats.org/markup-compatibility/2006">
          <mc:Choice Requires="x14">
            <control shapeId="102572" r:id="rId44" name="Option Button 1196">
              <controlPr defaultSize="0" autoFill="0" autoLine="0" autoPict="0">
                <anchor moveWithCells="1">
                  <from>
                    <xdr:col>34</xdr:col>
                    <xdr:colOff>165100</xdr:colOff>
                    <xdr:row>148</xdr:row>
                    <xdr:rowOff>69850</xdr:rowOff>
                  </from>
                  <to>
                    <xdr:col>36</xdr:col>
                    <xdr:colOff>12700</xdr:colOff>
                    <xdr:row>150</xdr:row>
                    <xdr:rowOff>114300</xdr:rowOff>
                  </to>
                </anchor>
              </controlPr>
            </control>
          </mc:Choice>
        </mc:AlternateContent>
        <mc:AlternateContent xmlns:mc="http://schemas.openxmlformats.org/markup-compatibility/2006">
          <mc:Choice Requires="x14">
            <control shapeId="102582" r:id="rId45" name="Group Box 1206">
              <controlPr defaultSize="0" autoFill="0" autoPict="0">
                <anchor moveWithCells="1">
                  <from>
                    <xdr:col>16</xdr:col>
                    <xdr:colOff>31750</xdr:colOff>
                    <xdr:row>153</xdr:row>
                    <xdr:rowOff>0</xdr:rowOff>
                  </from>
                  <to>
                    <xdr:col>28</xdr:col>
                    <xdr:colOff>6350</xdr:colOff>
                    <xdr:row>153</xdr:row>
                    <xdr:rowOff>241300</xdr:rowOff>
                  </to>
                </anchor>
              </controlPr>
            </control>
          </mc:Choice>
        </mc:AlternateContent>
        <mc:AlternateContent xmlns:mc="http://schemas.openxmlformats.org/markup-compatibility/2006">
          <mc:Choice Requires="x14">
            <control shapeId="102583" r:id="rId46" name="Option Button 1207">
              <controlPr defaultSize="0" autoFill="0" autoLine="0" autoPict="0">
                <anchor moveWithCells="1">
                  <from>
                    <xdr:col>16</xdr:col>
                    <xdr:colOff>222250</xdr:colOff>
                    <xdr:row>153</xdr:row>
                    <xdr:rowOff>0</xdr:rowOff>
                  </from>
                  <to>
                    <xdr:col>20</xdr:col>
                    <xdr:colOff>152400</xdr:colOff>
                    <xdr:row>153</xdr:row>
                    <xdr:rowOff>241300</xdr:rowOff>
                  </to>
                </anchor>
              </controlPr>
            </control>
          </mc:Choice>
        </mc:AlternateContent>
        <mc:AlternateContent xmlns:mc="http://schemas.openxmlformats.org/markup-compatibility/2006">
          <mc:Choice Requires="x14">
            <control shapeId="102584" r:id="rId47" name="Option Button 1208">
              <controlPr defaultSize="0" autoFill="0" autoLine="0" autoPict="0">
                <anchor moveWithCells="1">
                  <from>
                    <xdr:col>22</xdr:col>
                    <xdr:colOff>203200</xdr:colOff>
                    <xdr:row>153</xdr:row>
                    <xdr:rowOff>0</xdr:rowOff>
                  </from>
                  <to>
                    <xdr:col>26</xdr:col>
                    <xdr:colOff>146050</xdr:colOff>
                    <xdr:row>153</xdr:row>
                    <xdr:rowOff>241300</xdr:rowOff>
                  </to>
                </anchor>
              </controlPr>
            </control>
          </mc:Choice>
        </mc:AlternateContent>
        <mc:AlternateContent xmlns:mc="http://schemas.openxmlformats.org/markup-compatibility/2006">
          <mc:Choice Requires="x14">
            <control shapeId="102585" r:id="rId48" name="Group Box 1209">
              <controlPr defaultSize="0" autoFill="0" autoPict="0">
                <anchor moveWithCells="1">
                  <from>
                    <xdr:col>16</xdr:col>
                    <xdr:colOff>31750</xdr:colOff>
                    <xdr:row>155</xdr:row>
                    <xdr:rowOff>12700</xdr:rowOff>
                  </from>
                  <to>
                    <xdr:col>28</xdr:col>
                    <xdr:colOff>6350</xdr:colOff>
                    <xdr:row>156</xdr:row>
                    <xdr:rowOff>0</xdr:rowOff>
                  </to>
                </anchor>
              </controlPr>
            </control>
          </mc:Choice>
        </mc:AlternateContent>
        <mc:AlternateContent xmlns:mc="http://schemas.openxmlformats.org/markup-compatibility/2006">
          <mc:Choice Requires="x14">
            <control shapeId="102586" r:id="rId49" name="Option Button 1210">
              <controlPr defaultSize="0" autoFill="0" autoLine="0" autoPict="0">
                <anchor moveWithCells="1">
                  <from>
                    <xdr:col>16</xdr:col>
                    <xdr:colOff>222250</xdr:colOff>
                    <xdr:row>155</xdr:row>
                    <xdr:rowOff>12700</xdr:rowOff>
                  </from>
                  <to>
                    <xdr:col>20</xdr:col>
                    <xdr:colOff>152400</xdr:colOff>
                    <xdr:row>156</xdr:row>
                    <xdr:rowOff>0</xdr:rowOff>
                  </to>
                </anchor>
              </controlPr>
            </control>
          </mc:Choice>
        </mc:AlternateContent>
        <mc:AlternateContent xmlns:mc="http://schemas.openxmlformats.org/markup-compatibility/2006">
          <mc:Choice Requires="x14">
            <control shapeId="102587" r:id="rId50" name="Option Button 1211">
              <controlPr defaultSize="0" autoFill="0" autoLine="0" autoPict="0">
                <anchor moveWithCells="1">
                  <from>
                    <xdr:col>22</xdr:col>
                    <xdr:colOff>203200</xdr:colOff>
                    <xdr:row>155</xdr:row>
                    <xdr:rowOff>12700</xdr:rowOff>
                  </from>
                  <to>
                    <xdr:col>26</xdr:col>
                    <xdr:colOff>146050</xdr:colOff>
                    <xdr:row>156</xdr:row>
                    <xdr:rowOff>0</xdr:rowOff>
                  </to>
                </anchor>
              </controlPr>
            </control>
          </mc:Choice>
        </mc:AlternateContent>
        <mc:AlternateContent xmlns:mc="http://schemas.openxmlformats.org/markup-compatibility/2006">
          <mc:Choice Requires="x14">
            <control shapeId="102588" r:id="rId51" name="Group Box 1212">
              <controlPr defaultSize="0" autoFill="0" autoPict="0">
                <anchor moveWithCells="1">
                  <from>
                    <xdr:col>34</xdr:col>
                    <xdr:colOff>31750</xdr:colOff>
                    <xdr:row>155</xdr:row>
                    <xdr:rowOff>12700</xdr:rowOff>
                  </from>
                  <to>
                    <xdr:col>46</xdr:col>
                    <xdr:colOff>6350</xdr:colOff>
                    <xdr:row>156</xdr:row>
                    <xdr:rowOff>0</xdr:rowOff>
                  </to>
                </anchor>
              </controlPr>
            </control>
          </mc:Choice>
        </mc:AlternateContent>
        <mc:AlternateContent xmlns:mc="http://schemas.openxmlformats.org/markup-compatibility/2006">
          <mc:Choice Requires="x14">
            <control shapeId="102589" r:id="rId52" name="Option Button 1213">
              <controlPr defaultSize="0" autoFill="0" autoLine="0" autoPict="0">
                <anchor moveWithCells="1">
                  <from>
                    <xdr:col>34</xdr:col>
                    <xdr:colOff>222250</xdr:colOff>
                    <xdr:row>155</xdr:row>
                    <xdr:rowOff>12700</xdr:rowOff>
                  </from>
                  <to>
                    <xdr:col>38</xdr:col>
                    <xdr:colOff>152400</xdr:colOff>
                    <xdr:row>156</xdr:row>
                    <xdr:rowOff>0</xdr:rowOff>
                  </to>
                </anchor>
              </controlPr>
            </control>
          </mc:Choice>
        </mc:AlternateContent>
        <mc:AlternateContent xmlns:mc="http://schemas.openxmlformats.org/markup-compatibility/2006">
          <mc:Choice Requires="x14">
            <control shapeId="102590" r:id="rId53" name="Option Button 1214">
              <controlPr defaultSize="0" autoFill="0" autoLine="0" autoPict="0">
                <anchor moveWithCells="1">
                  <from>
                    <xdr:col>40</xdr:col>
                    <xdr:colOff>203200</xdr:colOff>
                    <xdr:row>155</xdr:row>
                    <xdr:rowOff>12700</xdr:rowOff>
                  </from>
                  <to>
                    <xdr:col>44</xdr:col>
                    <xdr:colOff>146050</xdr:colOff>
                    <xdr:row>156</xdr:row>
                    <xdr:rowOff>0</xdr:rowOff>
                  </to>
                </anchor>
              </controlPr>
            </control>
          </mc:Choice>
        </mc:AlternateContent>
        <mc:AlternateContent xmlns:mc="http://schemas.openxmlformats.org/markup-compatibility/2006">
          <mc:Choice Requires="x14">
            <control shapeId="102591" r:id="rId54" name="Group Box 1215">
              <controlPr defaultSize="0" autoFill="0" autoPict="0">
                <anchor moveWithCells="1">
                  <from>
                    <xdr:col>16</xdr:col>
                    <xdr:colOff>38100</xdr:colOff>
                    <xdr:row>156</xdr:row>
                    <xdr:rowOff>12700</xdr:rowOff>
                  </from>
                  <to>
                    <xdr:col>28</xdr:col>
                    <xdr:colOff>6350</xdr:colOff>
                    <xdr:row>157</xdr:row>
                    <xdr:rowOff>0</xdr:rowOff>
                  </to>
                </anchor>
              </controlPr>
            </control>
          </mc:Choice>
        </mc:AlternateContent>
        <mc:AlternateContent xmlns:mc="http://schemas.openxmlformats.org/markup-compatibility/2006">
          <mc:Choice Requires="x14">
            <control shapeId="102592" r:id="rId55" name="Option Button 1216">
              <controlPr defaultSize="0" autoFill="0" autoLine="0" autoPict="0">
                <anchor moveWithCells="1">
                  <from>
                    <xdr:col>16</xdr:col>
                    <xdr:colOff>222250</xdr:colOff>
                    <xdr:row>156</xdr:row>
                    <xdr:rowOff>12700</xdr:rowOff>
                  </from>
                  <to>
                    <xdr:col>20</xdr:col>
                    <xdr:colOff>152400</xdr:colOff>
                    <xdr:row>157</xdr:row>
                    <xdr:rowOff>0</xdr:rowOff>
                  </to>
                </anchor>
              </controlPr>
            </control>
          </mc:Choice>
        </mc:AlternateContent>
        <mc:AlternateContent xmlns:mc="http://schemas.openxmlformats.org/markup-compatibility/2006">
          <mc:Choice Requires="x14">
            <control shapeId="102593" r:id="rId56" name="Option Button 1217">
              <controlPr defaultSize="0" autoFill="0" autoLine="0" autoPict="0">
                <anchor moveWithCells="1">
                  <from>
                    <xdr:col>22</xdr:col>
                    <xdr:colOff>203200</xdr:colOff>
                    <xdr:row>156</xdr:row>
                    <xdr:rowOff>12700</xdr:rowOff>
                  </from>
                  <to>
                    <xdr:col>26</xdr:col>
                    <xdr:colOff>146050</xdr:colOff>
                    <xdr:row>157</xdr:row>
                    <xdr:rowOff>0</xdr:rowOff>
                  </to>
                </anchor>
              </controlPr>
            </control>
          </mc:Choice>
        </mc:AlternateContent>
        <mc:AlternateContent xmlns:mc="http://schemas.openxmlformats.org/markup-compatibility/2006">
          <mc:Choice Requires="x14">
            <control shapeId="102594" r:id="rId57" name="Group Box 1218">
              <controlPr defaultSize="0" autoFill="0" autoPict="0">
                <anchor moveWithCells="1">
                  <from>
                    <xdr:col>16</xdr:col>
                    <xdr:colOff>38100</xdr:colOff>
                    <xdr:row>158</xdr:row>
                    <xdr:rowOff>0</xdr:rowOff>
                  </from>
                  <to>
                    <xdr:col>28</xdr:col>
                    <xdr:colOff>6350</xdr:colOff>
                    <xdr:row>158</xdr:row>
                    <xdr:rowOff>241300</xdr:rowOff>
                  </to>
                </anchor>
              </controlPr>
            </control>
          </mc:Choice>
        </mc:AlternateContent>
        <mc:AlternateContent xmlns:mc="http://schemas.openxmlformats.org/markup-compatibility/2006">
          <mc:Choice Requires="x14">
            <control shapeId="102614" r:id="rId58" name="Group Box 1238">
              <controlPr defaultSize="0" autoFill="0" autoPict="0">
                <anchor moveWithCells="1">
                  <from>
                    <xdr:col>16</xdr:col>
                    <xdr:colOff>50800</xdr:colOff>
                    <xdr:row>156</xdr:row>
                    <xdr:rowOff>241300</xdr:rowOff>
                  </from>
                  <to>
                    <xdr:col>31</xdr:col>
                    <xdr:colOff>50800</xdr:colOff>
                    <xdr:row>158</xdr:row>
                    <xdr:rowOff>0</xdr:rowOff>
                  </to>
                </anchor>
              </controlPr>
            </control>
          </mc:Choice>
        </mc:AlternateContent>
        <mc:AlternateContent xmlns:mc="http://schemas.openxmlformats.org/markup-compatibility/2006">
          <mc:Choice Requires="x14">
            <control shapeId="102615" r:id="rId59" name="Option Button 1239">
              <controlPr defaultSize="0" autoFill="0" autoLine="0" autoPict="0">
                <anchor moveWithCells="1">
                  <from>
                    <xdr:col>16</xdr:col>
                    <xdr:colOff>209550</xdr:colOff>
                    <xdr:row>157</xdr:row>
                    <xdr:rowOff>0</xdr:rowOff>
                  </from>
                  <to>
                    <xdr:col>20</xdr:col>
                    <xdr:colOff>146050</xdr:colOff>
                    <xdr:row>157</xdr:row>
                    <xdr:rowOff>241300</xdr:rowOff>
                  </to>
                </anchor>
              </controlPr>
            </control>
          </mc:Choice>
        </mc:AlternateContent>
        <mc:AlternateContent xmlns:mc="http://schemas.openxmlformats.org/markup-compatibility/2006">
          <mc:Choice Requires="x14">
            <control shapeId="102616" r:id="rId60" name="Option Button 1240">
              <controlPr defaultSize="0" autoFill="0" autoLine="0" autoPict="0">
                <anchor moveWithCells="1">
                  <from>
                    <xdr:col>21</xdr:col>
                    <xdr:colOff>222250</xdr:colOff>
                    <xdr:row>157</xdr:row>
                    <xdr:rowOff>0</xdr:rowOff>
                  </from>
                  <to>
                    <xdr:col>25</xdr:col>
                    <xdr:colOff>152400</xdr:colOff>
                    <xdr:row>157</xdr:row>
                    <xdr:rowOff>241300</xdr:rowOff>
                  </to>
                </anchor>
              </controlPr>
            </control>
          </mc:Choice>
        </mc:AlternateContent>
        <mc:AlternateContent xmlns:mc="http://schemas.openxmlformats.org/markup-compatibility/2006">
          <mc:Choice Requires="x14">
            <control shapeId="102617" r:id="rId61" name="Option Button 1241">
              <controlPr defaultSize="0" autoFill="0" autoLine="0" autoPict="0">
                <anchor moveWithCells="1">
                  <from>
                    <xdr:col>26</xdr:col>
                    <xdr:colOff>222250</xdr:colOff>
                    <xdr:row>157</xdr:row>
                    <xdr:rowOff>0</xdr:rowOff>
                  </from>
                  <to>
                    <xdr:col>30</xdr:col>
                    <xdr:colOff>152400</xdr:colOff>
                    <xdr:row>157</xdr:row>
                    <xdr:rowOff>241300</xdr:rowOff>
                  </to>
                </anchor>
              </controlPr>
            </control>
          </mc:Choice>
        </mc:AlternateContent>
        <mc:AlternateContent xmlns:mc="http://schemas.openxmlformats.org/markup-compatibility/2006">
          <mc:Choice Requires="x14">
            <control shapeId="102637" r:id="rId62" name="Group Box 1261">
              <controlPr defaultSize="0" autoFill="0" autoPict="0">
                <anchor moveWithCells="1">
                  <from>
                    <xdr:col>14</xdr:col>
                    <xdr:colOff>57150</xdr:colOff>
                    <xdr:row>82</xdr:row>
                    <xdr:rowOff>0</xdr:rowOff>
                  </from>
                  <to>
                    <xdr:col>39</xdr:col>
                    <xdr:colOff>6350</xdr:colOff>
                    <xdr:row>84</xdr:row>
                    <xdr:rowOff>38100</xdr:rowOff>
                  </to>
                </anchor>
              </controlPr>
            </control>
          </mc:Choice>
        </mc:AlternateContent>
        <mc:AlternateContent xmlns:mc="http://schemas.openxmlformats.org/markup-compatibility/2006">
          <mc:Choice Requires="x14">
            <control shapeId="102638" r:id="rId63" name="Option Button 1262">
              <controlPr defaultSize="0" autoFill="0" autoLine="0" autoPict="0">
                <anchor moveWithCells="1">
                  <from>
                    <xdr:col>14</xdr:col>
                    <xdr:colOff>203200</xdr:colOff>
                    <xdr:row>82</xdr:row>
                    <xdr:rowOff>0</xdr:rowOff>
                  </from>
                  <to>
                    <xdr:col>18</xdr:col>
                    <xdr:colOff>107950</xdr:colOff>
                    <xdr:row>83</xdr:row>
                    <xdr:rowOff>241300</xdr:rowOff>
                  </to>
                </anchor>
              </controlPr>
            </control>
          </mc:Choice>
        </mc:AlternateContent>
        <mc:AlternateContent xmlns:mc="http://schemas.openxmlformats.org/markup-compatibility/2006">
          <mc:Choice Requires="x14">
            <control shapeId="102639" r:id="rId64" name="Option Button 1263">
              <controlPr defaultSize="0" autoFill="0" autoLine="0" autoPict="0">
                <anchor moveWithCells="1">
                  <from>
                    <xdr:col>19</xdr:col>
                    <xdr:colOff>209550</xdr:colOff>
                    <xdr:row>82</xdr:row>
                    <xdr:rowOff>0</xdr:rowOff>
                  </from>
                  <to>
                    <xdr:col>23</xdr:col>
                    <xdr:colOff>114300</xdr:colOff>
                    <xdr:row>83</xdr:row>
                    <xdr:rowOff>241300</xdr:rowOff>
                  </to>
                </anchor>
              </controlPr>
            </control>
          </mc:Choice>
        </mc:AlternateContent>
        <mc:AlternateContent xmlns:mc="http://schemas.openxmlformats.org/markup-compatibility/2006">
          <mc:Choice Requires="x14">
            <control shapeId="102640" r:id="rId65" name="Option Button 1264">
              <controlPr defaultSize="0" autoFill="0" autoLine="0" autoPict="0">
                <anchor moveWithCells="1">
                  <from>
                    <xdr:col>29</xdr:col>
                    <xdr:colOff>209550</xdr:colOff>
                    <xdr:row>82</xdr:row>
                    <xdr:rowOff>0</xdr:rowOff>
                  </from>
                  <to>
                    <xdr:col>33</xdr:col>
                    <xdr:colOff>114300</xdr:colOff>
                    <xdr:row>83</xdr:row>
                    <xdr:rowOff>241300</xdr:rowOff>
                  </to>
                </anchor>
              </controlPr>
            </control>
          </mc:Choice>
        </mc:AlternateContent>
        <mc:AlternateContent xmlns:mc="http://schemas.openxmlformats.org/markup-compatibility/2006">
          <mc:Choice Requires="x14">
            <control shapeId="102644" r:id="rId66" name="Group Box 1268">
              <controlPr defaultSize="0" autoFill="0" autoPict="0">
                <anchor moveWithCells="1">
                  <from>
                    <xdr:col>14</xdr:col>
                    <xdr:colOff>107950</xdr:colOff>
                    <xdr:row>85</xdr:row>
                    <xdr:rowOff>228600</xdr:rowOff>
                  </from>
                  <to>
                    <xdr:col>23</xdr:col>
                    <xdr:colOff>152400</xdr:colOff>
                    <xdr:row>88</xdr:row>
                    <xdr:rowOff>19050</xdr:rowOff>
                  </to>
                </anchor>
              </controlPr>
            </control>
          </mc:Choice>
        </mc:AlternateContent>
        <mc:AlternateContent xmlns:mc="http://schemas.openxmlformats.org/markup-compatibility/2006">
          <mc:Choice Requires="x14">
            <control shapeId="102645" r:id="rId67" name="Option Button 1269">
              <controlPr defaultSize="0" autoFill="0" autoLine="0" autoPict="0">
                <anchor moveWithCells="1">
                  <from>
                    <xdr:col>14</xdr:col>
                    <xdr:colOff>203200</xdr:colOff>
                    <xdr:row>86</xdr:row>
                    <xdr:rowOff>0</xdr:rowOff>
                  </from>
                  <to>
                    <xdr:col>18</xdr:col>
                    <xdr:colOff>107950</xdr:colOff>
                    <xdr:row>86</xdr:row>
                    <xdr:rowOff>241300</xdr:rowOff>
                  </to>
                </anchor>
              </controlPr>
            </control>
          </mc:Choice>
        </mc:AlternateContent>
        <mc:AlternateContent xmlns:mc="http://schemas.openxmlformats.org/markup-compatibility/2006">
          <mc:Choice Requires="x14">
            <control shapeId="102646" r:id="rId68" name="Option Button 1270">
              <controlPr defaultSize="0" autoFill="0" autoLine="0" autoPict="0">
                <anchor moveWithCells="1">
                  <from>
                    <xdr:col>19</xdr:col>
                    <xdr:colOff>209550</xdr:colOff>
                    <xdr:row>86</xdr:row>
                    <xdr:rowOff>0</xdr:rowOff>
                  </from>
                  <to>
                    <xdr:col>23</xdr:col>
                    <xdr:colOff>114300</xdr:colOff>
                    <xdr:row>86</xdr:row>
                    <xdr:rowOff>241300</xdr:rowOff>
                  </to>
                </anchor>
              </controlPr>
            </control>
          </mc:Choice>
        </mc:AlternateContent>
        <mc:AlternateContent xmlns:mc="http://schemas.openxmlformats.org/markup-compatibility/2006">
          <mc:Choice Requires="x14">
            <control shapeId="102647" r:id="rId69" name="Check Box 1271">
              <controlPr defaultSize="0" autoFill="0" autoLine="0" autoPict="0">
                <anchor moveWithCells="1">
                  <from>
                    <xdr:col>10</xdr:col>
                    <xdr:colOff>146050</xdr:colOff>
                    <xdr:row>174</xdr:row>
                    <xdr:rowOff>0</xdr:rowOff>
                  </from>
                  <to>
                    <xdr:col>16</xdr:col>
                    <xdr:colOff>6350</xdr:colOff>
                    <xdr:row>175</xdr:row>
                    <xdr:rowOff>0</xdr:rowOff>
                  </to>
                </anchor>
              </controlPr>
            </control>
          </mc:Choice>
        </mc:AlternateContent>
        <mc:AlternateContent xmlns:mc="http://schemas.openxmlformats.org/markup-compatibility/2006">
          <mc:Choice Requires="x14">
            <control shapeId="102662" r:id="rId70" name="Check Box 1286">
              <controlPr defaultSize="0" autoFill="0" autoLine="0" autoPict="0">
                <anchor moveWithCells="1">
                  <from>
                    <xdr:col>9</xdr:col>
                    <xdr:colOff>171450</xdr:colOff>
                    <xdr:row>79</xdr:row>
                    <xdr:rowOff>19050</xdr:rowOff>
                  </from>
                  <to>
                    <xdr:col>11</xdr:col>
                    <xdr:colOff>19050</xdr:colOff>
                    <xdr:row>79</xdr:row>
                    <xdr:rowOff>228600</xdr:rowOff>
                  </to>
                </anchor>
              </controlPr>
            </control>
          </mc:Choice>
        </mc:AlternateContent>
        <mc:AlternateContent xmlns:mc="http://schemas.openxmlformats.org/markup-compatibility/2006">
          <mc:Choice Requires="x14">
            <control shapeId="102672" r:id="rId71" name="Group Box 1296">
              <controlPr defaultSize="0" autoFill="0" autoPict="0">
                <anchor moveWithCells="1">
                  <from>
                    <xdr:col>37</xdr:col>
                    <xdr:colOff>203200</xdr:colOff>
                    <xdr:row>77</xdr:row>
                    <xdr:rowOff>209550</xdr:rowOff>
                  </from>
                  <to>
                    <xdr:col>46</xdr:col>
                    <xdr:colOff>50800</xdr:colOff>
                    <xdr:row>79</xdr:row>
                    <xdr:rowOff>38100</xdr:rowOff>
                  </to>
                </anchor>
              </controlPr>
            </control>
          </mc:Choice>
        </mc:AlternateContent>
        <mc:AlternateContent xmlns:mc="http://schemas.openxmlformats.org/markup-compatibility/2006">
          <mc:Choice Requires="x14">
            <control shapeId="102673" r:id="rId72" name="Option Button 1297">
              <controlPr defaultSize="0" autoFill="0" autoLine="0" autoPict="0">
                <anchor moveWithCells="1">
                  <from>
                    <xdr:col>38</xdr:col>
                    <xdr:colOff>95250</xdr:colOff>
                    <xdr:row>78</xdr:row>
                    <xdr:rowOff>0</xdr:rowOff>
                  </from>
                  <to>
                    <xdr:col>42</xdr:col>
                    <xdr:colOff>0</xdr:colOff>
                    <xdr:row>78</xdr:row>
                    <xdr:rowOff>241300</xdr:rowOff>
                  </to>
                </anchor>
              </controlPr>
            </control>
          </mc:Choice>
        </mc:AlternateContent>
        <mc:AlternateContent xmlns:mc="http://schemas.openxmlformats.org/markup-compatibility/2006">
          <mc:Choice Requires="x14">
            <control shapeId="102674" r:id="rId73" name="Option Button 1298">
              <controlPr defaultSize="0" autoFill="0" autoLine="0" autoPict="0">
                <anchor moveWithCells="1">
                  <from>
                    <xdr:col>42</xdr:col>
                    <xdr:colOff>76200</xdr:colOff>
                    <xdr:row>78</xdr:row>
                    <xdr:rowOff>0</xdr:rowOff>
                  </from>
                  <to>
                    <xdr:col>46</xdr:col>
                    <xdr:colOff>6350</xdr:colOff>
                    <xdr:row>78</xdr:row>
                    <xdr:rowOff>241300</xdr:rowOff>
                  </to>
                </anchor>
              </controlPr>
            </control>
          </mc:Choice>
        </mc:AlternateContent>
        <mc:AlternateContent xmlns:mc="http://schemas.openxmlformats.org/markup-compatibility/2006">
          <mc:Choice Requires="x14">
            <control shapeId="102683" r:id="rId74" name="Check Box 1307">
              <controlPr defaultSize="0" autoFill="0" autoLine="0" autoPict="0">
                <anchor moveWithCells="1">
                  <from>
                    <xdr:col>9</xdr:col>
                    <xdr:colOff>171450</xdr:colOff>
                    <xdr:row>88</xdr:row>
                    <xdr:rowOff>19050</xdr:rowOff>
                  </from>
                  <to>
                    <xdr:col>11</xdr:col>
                    <xdr:colOff>19050</xdr:colOff>
                    <xdr:row>88</xdr:row>
                    <xdr:rowOff>228600</xdr:rowOff>
                  </to>
                </anchor>
              </controlPr>
            </control>
          </mc:Choice>
        </mc:AlternateContent>
        <mc:AlternateContent xmlns:mc="http://schemas.openxmlformats.org/markup-compatibility/2006">
          <mc:Choice Requires="x14">
            <control shapeId="102686" r:id="rId75" name="Group Box 1310">
              <controlPr defaultSize="0" autoFill="0" autoPict="0">
                <anchor moveWithCells="1">
                  <from>
                    <xdr:col>15</xdr:col>
                    <xdr:colOff>203200</xdr:colOff>
                    <xdr:row>158</xdr:row>
                    <xdr:rowOff>12700</xdr:rowOff>
                  </from>
                  <to>
                    <xdr:col>28</xdr:col>
                    <xdr:colOff>38100</xdr:colOff>
                    <xdr:row>161</xdr:row>
                    <xdr:rowOff>114300</xdr:rowOff>
                  </to>
                </anchor>
              </controlPr>
            </control>
          </mc:Choice>
        </mc:AlternateContent>
        <mc:AlternateContent xmlns:mc="http://schemas.openxmlformats.org/markup-compatibility/2006">
          <mc:Choice Requires="x14">
            <control shapeId="102687" r:id="rId76" name="Option Button 1311">
              <controlPr defaultSize="0" autoFill="0" autoLine="0" autoPict="0">
                <anchor moveWithCells="1">
                  <from>
                    <xdr:col>16</xdr:col>
                    <xdr:colOff>222250</xdr:colOff>
                    <xdr:row>158</xdr:row>
                    <xdr:rowOff>19050</xdr:rowOff>
                  </from>
                  <to>
                    <xdr:col>20</xdr:col>
                    <xdr:colOff>114300</xdr:colOff>
                    <xdr:row>161</xdr:row>
                    <xdr:rowOff>12700</xdr:rowOff>
                  </to>
                </anchor>
              </controlPr>
            </control>
          </mc:Choice>
        </mc:AlternateContent>
        <mc:AlternateContent xmlns:mc="http://schemas.openxmlformats.org/markup-compatibility/2006">
          <mc:Choice Requires="x14">
            <control shapeId="102688" r:id="rId77" name="Option Button 1312">
              <controlPr defaultSize="0" autoFill="0" autoLine="0" autoPict="0">
                <anchor moveWithCells="1">
                  <from>
                    <xdr:col>22</xdr:col>
                    <xdr:colOff>203200</xdr:colOff>
                    <xdr:row>158</xdr:row>
                    <xdr:rowOff>19050</xdr:rowOff>
                  </from>
                  <to>
                    <xdr:col>26</xdr:col>
                    <xdr:colOff>95250</xdr:colOff>
                    <xdr:row>161</xdr:row>
                    <xdr:rowOff>12700</xdr:rowOff>
                  </to>
                </anchor>
              </controlPr>
            </control>
          </mc:Choice>
        </mc:AlternateContent>
        <mc:AlternateContent xmlns:mc="http://schemas.openxmlformats.org/markup-compatibility/2006">
          <mc:Choice Requires="x14">
            <control shapeId="8178" r:id="rId78" name="Check Box 1010">
              <controlPr defaultSize="0" autoFill="0" autoLine="0" autoPict="0">
                <anchor moveWithCells="1">
                  <from>
                    <xdr:col>9</xdr:col>
                    <xdr:colOff>171450</xdr:colOff>
                    <xdr:row>34</xdr:row>
                    <xdr:rowOff>19050</xdr:rowOff>
                  </from>
                  <to>
                    <xdr:col>11</xdr:col>
                    <xdr:colOff>19050</xdr:colOff>
                    <xdr:row>34</xdr:row>
                    <xdr:rowOff>228600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176</vt:i4>
      </vt:variant>
    </vt:vector>
  </HeadingPairs>
  <TitlesOfParts>
    <vt:vector size="190" baseType="lpstr">
      <vt:lpstr>【見本】記入シート1</vt:lpstr>
      <vt:lpstr>【見本】記入シート2</vt:lpstr>
      <vt:lpstr>【見本】【JCB用記入シート】業態シート</vt:lpstr>
      <vt:lpstr>【見本】【楽天Edy用記入シート】業種シート</vt:lpstr>
      <vt:lpstr>【見本】【楽天Edy用記入シート】チェックシート</vt:lpstr>
      <vt:lpstr>【見本】【iD・WAON用記入シート】業種シート</vt:lpstr>
      <vt:lpstr>サービス申込みに必要な添付書類</vt:lpstr>
      <vt:lpstr>記入シート1</vt:lpstr>
      <vt:lpstr>記入シート2</vt:lpstr>
      <vt:lpstr>【JCB用記入シート】業態シート</vt:lpstr>
      <vt:lpstr>【楽天Edy用記入シート】業種シート</vt:lpstr>
      <vt:lpstr>【楽天Edy用記入シート】チェックシート</vt:lpstr>
      <vt:lpstr>【iD・WAON用記入シート】業種シート</vt:lpstr>
      <vt:lpstr>【追加アプリ用記入シート】チェックシート</vt:lpstr>
      <vt:lpstr>【見本】記入シート1!■時間</vt:lpstr>
      <vt:lpstr>■時間</vt:lpstr>
      <vt:lpstr>■都道府県</vt:lpstr>
      <vt:lpstr>【見本】記入シート1!■販売形態</vt:lpstr>
      <vt:lpstr>■販売形態</vt:lpstr>
      <vt:lpstr>【見本】記入シート1!■分</vt:lpstr>
      <vt:lpstr>■分</vt:lpstr>
      <vt:lpstr>【見本】記入シート2!auPAY業種</vt:lpstr>
      <vt:lpstr>記入シート2!auPAY業種</vt:lpstr>
      <vt:lpstr>【見本】記入シート2!d払い業態</vt:lpstr>
      <vt:lpstr>d払い業態</vt:lpstr>
      <vt:lpstr>記入シート2!JCoin0000</vt:lpstr>
      <vt:lpstr>記入シート2!JCoin1000</vt:lpstr>
      <vt:lpstr>記入シート2!JCoin1100</vt:lpstr>
      <vt:lpstr>記入シート2!JCoin1200</vt:lpstr>
      <vt:lpstr>記入シート2!JCoin1300</vt:lpstr>
      <vt:lpstr>記入シート2!JCoin1400</vt:lpstr>
      <vt:lpstr>記入シート2!JCoin1500</vt:lpstr>
      <vt:lpstr>記入シート2!JCoin1600</vt:lpstr>
      <vt:lpstr>記入シート2!JCoin1700</vt:lpstr>
      <vt:lpstr>記入シート2!JCoin1800</vt:lpstr>
      <vt:lpstr>記入シート2!JCoin1900</vt:lpstr>
      <vt:lpstr>記入シート2!JCoin2000</vt:lpstr>
      <vt:lpstr>記入シート2!JCoin2100</vt:lpstr>
      <vt:lpstr>記入シート2!JCoin2200</vt:lpstr>
      <vt:lpstr>記入シート2!JCoin2300</vt:lpstr>
      <vt:lpstr>記入シート2!JCoin2400</vt:lpstr>
      <vt:lpstr>【見本】記入シート2!JCoin業種</vt:lpstr>
      <vt:lpstr>記入シート2!JCoin業種</vt:lpstr>
      <vt:lpstr>記入シート2!JKOPAY0000</vt:lpstr>
      <vt:lpstr>記入シート2!JKOPAY1000</vt:lpstr>
      <vt:lpstr>記入シート2!JKOPAY2000</vt:lpstr>
      <vt:lpstr>記入シート2!JKOPAY3000</vt:lpstr>
      <vt:lpstr>記入シート2!JKOPAY4000</vt:lpstr>
      <vt:lpstr>記入シート2!JKOPAY5000</vt:lpstr>
      <vt:lpstr>記入シート2!JKOPAY6000</vt:lpstr>
      <vt:lpstr>【見本】記入シート2!JKOPAY商品1</vt:lpstr>
      <vt:lpstr>記入シート2!JKOPAY商品1</vt:lpstr>
      <vt:lpstr>記入シート2!LinePayショッピング・小売</vt:lpstr>
      <vt:lpstr>記入シート2!LinePayスポーツ</vt:lpstr>
      <vt:lpstr>記入シート2!LinePayスポーツチーム・団体</vt:lpstr>
      <vt:lpstr>記入シート2!LinePayファッション</vt:lpstr>
      <vt:lpstr>記入シート2!LinePayペット</vt:lpstr>
      <vt:lpstr>記入シート2!LinePay医療機関・診療所</vt:lpstr>
      <vt:lpstr>記入シート2!LinePay飲食</vt:lpstr>
      <vt:lpstr>記入シート2!LinePay冠婚葬祭</vt:lpstr>
      <vt:lpstr>記入シート2!LinePay教育・習い事</vt:lpstr>
      <vt:lpstr>記入シート2!LinePay業種</vt:lpstr>
      <vt:lpstr>記入シート2!LinePay銀行・保険・金融</vt:lpstr>
      <vt:lpstr>記入シート2!LinePay建設・土木</vt:lpstr>
      <vt:lpstr>記入シート2!LinePay交通機関・サービス</vt:lpstr>
      <vt:lpstr>記入シート2!LinePay公共機関・施設</vt:lpstr>
      <vt:lpstr>記入シート2!LinePay寺院・神社・教会</vt:lpstr>
      <vt:lpstr>記入シート2!LinePay自動車・バイク</vt:lpstr>
      <vt:lpstr>記入シート2!LinePay宿泊施設</vt:lpstr>
      <vt:lpstr>記入シート2!LinePay生活関連サービス</vt:lpstr>
      <vt:lpstr>記入シート2!LinePay専門サービス</vt:lpstr>
      <vt:lpstr>記入シート2!LinePay選択してください</vt:lpstr>
      <vt:lpstr>記入シート2!LinePay団体</vt:lpstr>
      <vt:lpstr>記入シート2!LinePay通信・情報・メディア</vt:lpstr>
      <vt:lpstr>記入シート2!LinePay電気・ガス・エネルギー</vt:lpstr>
      <vt:lpstr>記入シート2!LinePay美容・サロン</vt:lpstr>
      <vt:lpstr>記入シート2!LinePay福祉・介護</vt:lpstr>
      <vt:lpstr>記入シート2!LinePay保育・学校</vt:lpstr>
      <vt:lpstr>記入シート2!LinePay旅行・エンタメ・レジャー</vt:lpstr>
      <vt:lpstr>【見本】記入シート2!Origamiカテゴリー</vt:lpstr>
      <vt:lpstr>記入シート2!Origamiカテゴリー</vt:lpstr>
      <vt:lpstr>【見本】記入シート2!Origamiコンビニ・スーパー・食料飲料品店</vt:lpstr>
      <vt:lpstr>記入シート2!Origamiコンビニ・スーパー・食料飲料品店</vt:lpstr>
      <vt:lpstr>【見本】記入シート2!Origamiファッション</vt:lpstr>
      <vt:lpstr>記入シート2!Origamiファッション</vt:lpstr>
      <vt:lpstr>【見本】記入シート2!Origamiレジャー・エンターテイメント・フィットネス</vt:lpstr>
      <vt:lpstr>記入シート2!Origamiレジャー・エンターテイメント・フィットネス</vt:lpstr>
      <vt:lpstr>【見本】記入シート2!Origami医療</vt:lpstr>
      <vt:lpstr>記入シート2!Origami医療</vt:lpstr>
      <vt:lpstr>【見本】記入シート2!Origami飲食</vt:lpstr>
      <vt:lpstr>記入シート2!Origami飲食</vt:lpstr>
      <vt:lpstr>【見本】記入シート2!Origami観光・宿泊</vt:lpstr>
      <vt:lpstr>記入シート2!Origami観光・宿泊</vt:lpstr>
      <vt:lpstr>【見本】記入シート2!Origami教育・習い事</vt:lpstr>
      <vt:lpstr>記入シート2!Origami教育・習い事</vt:lpstr>
      <vt:lpstr>【見本】記入シート2!Origami交通・運送・運輸関連サービス</vt:lpstr>
      <vt:lpstr>記入シート2!Origami交通・運送・運輸関連サービス</vt:lpstr>
      <vt:lpstr>【見本】記入シート2!Origami小売</vt:lpstr>
      <vt:lpstr>記入シート2!Origami小売</vt:lpstr>
      <vt:lpstr>【見本】記入シート2!Origami専門サービス</vt:lpstr>
      <vt:lpstr>記入シート2!Origami専門サービス</vt:lpstr>
      <vt:lpstr>【見本】記入シート2!Origami選択してください</vt:lpstr>
      <vt:lpstr>記入シート2!Origami選択してください</vt:lpstr>
      <vt:lpstr>【見本】記入シート2!Origami非営利・団体</vt:lpstr>
      <vt:lpstr>記入シート2!Origami非営利・団体</vt:lpstr>
      <vt:lpstr>【見本】記入シート2!Origami美容</vt:lpstr>
      <vt:lpstr>記入シート2!Origami美容</vt:lpstr>
      <vt:lpstr>【見本】記入シート2!Origami百貨店・量販店・専門店</vt:lpstr>
      <vt:lpstr>記入シート2!Origami百貨店・量販店・専門店</vt:lpstr>
      <vt:lpstr>【見本】記入シート2!PayPayサービス</vt:lpstr>
      <vt:lpstr>記入シート2!PayPayサービス</vt:lpstr>
      <vt:lpstr>【見本】記入シート2!PayPayスクール</vt:lpstr>
      <vt:lpstr>記入シート2!PayPayスクール</vt:lpstr>
      <vt:lpstr>【見本】記入シート2!PayPayビューティ・リラクゼーション</vt:lpstr>
      <vt:lpstr>記入シート2!PayPayビューティ・リラクゼーション</vt:lpstr>
      <vt:lpstr>【見本】記入シート2!PayPay飲食</vt:lpstr>
      <vt:lpstr>記入シート2!PayPay飲食</vt:lpstr>
      <vt:lpstr>【見本】記入シート2!PayPay学校・教育機関</vt:lpstr>
      <vt:lpstr>記入シート2!PayPay学校・教育機関</vt:lpstr>
      <vt:lpstr>【見本】記入シート2!PayPay娯楽</vt:lpstr>
      <vt:lpstr>記入シート2!PayPay娯楽</vt:lpstr>
      <vt:lpstr>【見本】記入シート2!PayPay交通</vt:lpstr>
      <vt:lpstr>記入シート2!PayPay交通</vt:lpstr>
      <vt:lpstr>【見本】記入シート2!PayPay行政・公共サービス</vt:lpstr>
      <vt:lpstr>記入シート2!PayPay行政・公共サービス</vt:lpstr>
      <vt:lpstr>【見本】記入シート2!PayPay商品1</vt:lpstr>
      <vt:lpstr>記入シート2!PayPay商品1</vt:lpstr>
      <vt:lpstr>【見本】記入シート2!PayPay小売</vt:lpstr>
      <vt:lpstr>記入シート2!PayPay小売</vt:lpstr>
      <vt:lpstr>【見本】記入シート2!PayPay選択してください</vt:lpstr>
      <vt:lpstr>記入シート2!PayPay選択してください</vt:lpstr>
      <vt:lpstr>【見本】記入シート2!PayPay病院</vt:lpstr>
      <vt:lpstr>記入シート2!PayPay病院</vt:lpstr>
      <vt:lpstr>【見本】記入シート1!PCIDSS準拠状況</vt:lpstr>
      <vt:lpstr>PCIDSS準拠状況</vt:lpstr>
      <vt:lpstr>【楽天Edy用記入シート】チェックシート!Print_Area</vt:lpstr>
      <vt:lpstr>【見本】【楽天Edy用記入シート】チェックシート!Print_Area</vt:lpstr>
      <vt:lpstr>【見本】記入シート1!Print_Area</vt:lpstr>
      <vt:lpstr>【見本】記入シート2!Print_Area</vt:lpstr>
      <vt:lpstr>【追加アプリ用記入シート】チェックシート!Print_Area</vt:lpstr>
      <vt:lpstr>記入シート1!Print_Area</vt:lpstr>
      <vt:lpstr>記入シート2!Print_Area</vt:lpstr>
      <vt:lpstr>【見本】記入シート2!WeChatPayビジネスカテゴリ</vt:lpstr>
      <vt:lpstr>記入シート2!WeChatPayビジネスカテゴリ</vt:lpstr>
      <vt:lpstr>【見本】記入シート1!カード情報保持状況</vt:lpstr>
      <vt:lpstr>カード情報保持状況</vt:lpstr>
      <vt:lpstr>記入シート2!メルペイエンタメ</vt:lpstr>
      <vt:lpstr>記入シート2!メルペイオンラインサービス</vt:lpstr>
      <vt:lpstr>記入シート2!メルペイその他</vt:lpstr>
      <vt:lpstr>記入シート2!メルペイファッション</vt:lpstr>
      <vt:lpstr>記入シート2!メルペイホビー</vt:lpstr>
      <vt:lpstr>記入シート2!メルペイ医療・介護</vt:lpstr>
      <vt:lpstr>記入シート2!メルペイ飲食</vt:lpstr>
      <vt:lpstr>記入シート2!メルペイ学習・教育・保育</vt:lpstr>
      <vt:lpstr>記入シート2!メルペイ冠婚葬祭</vt:lpstr>
      <vt:lpstr>【見本】記入シート2!メルペイ業種</vt:lpstr>
      <vt:lpstr>記入シート2!メルペイ業種</vt:lpstr>
      <vt:lpstr>記入シート2!メルペイ交通・輸送</vt:lpstr>
      <vt:lpstr>記入シート2!メルペイ公共事業・通信</vt:lpstr>
      <vt:lpstr>記入シート2!メルペイ自動車関連</vt:lpstr>
      <vt:lpstr>記入シート2!メルペイ宿泊・娯楽・スポーツ等施設</vt:lpstr>
      <vt:lpstr>記入シート2!メルペイ小売総合</vt:lpstr>
      <vt:lpstr>記入シート2!メルペイ食料品</vt:lpstr>
      <vt:lpstr>記入シート2!メルペイ専門サービス</vt:lpstr>
      <vt:lpstr>記入シート2!メルペイ選択してください</vt:lpstr>
      <vt:lpstr>記入シート2!メルペイ電子機器</vt:lpstr>
      <vt:lpstr>記入シート2!メルペイ美容</vt:lpstr>
      <vt:lpstr>記入シート2!メルペイ暮らし</vt:lpstr>
      <vt:lpstr>記入シート2!メルペイ無人端末</vt:lpstr>
      <vt:lpstr>記入シート2!楽天ペイ0000</vt:lpstr>
      <vt:lpstr>記入シート2!楽天ペイ1000</vt:lpstr>
      <vt:lpstr>記入シート2!楽天ペイ1100</vt:lpstr>
      <vt:lpstr>記入シート2!楽天ペイ1200</vt:lpstr>
      <vt:lpstr>記入シート2!楽天ペイ1300</vt:lpstr>
      <vt:lpstr>記入シート2!楽天ペイ1400</vt:lpstr>
      <vt:lpstr>記入シート2!楽天ペイ1500</vt:lpstr>
      <vt:lpstr>記入シート2!楽天ペイ1600</vt:lpstr>
      <vt:lpstr>記入シート2!楽天ペイ1700</vt:lpstr>
      <vt:lpstr>記入シート2!楽天ペイ1800</vt:lpstr>
      <vt:lpstr>記入シート2!楽天ペイ1900</vt:lpstr>
      <vt:lpstr>記入シート2!楽天ペイ2000</vt:lpstr>
      <vt:lpstr>記入シート2!楽天ペイ2100</vt:lpstr>
      <vt:lpstr>記入シート2!楽天ペイ2200</vt:lpstr>
      <vt:lpstr>記入シート2!楽天ペイ2300</vt:lpstr>
      <vt:lpstr>記入シート2!楽天ペイ2400</vt:lpstr>
      <vt:lpstr>記入シート2!楽天ペイ2500</vt:lpstr>
      <vt:lpstr>記入シート2!楽天ペイ2600</vt:lpstr>
      <vt:lpstr>記入シート2!楽天ペイ大項目</vt:lpstr>
      <vt:lpstr>【見本】記入シート1!都道府県</vt:lpstr>
      <vt:lpstr>都道府県</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奥川　直人（SBPS）</dc:creator>
  <cp:lastModifiedBy>堀内　直也（SBPS）</cp:lastModifiedBy>
  <cp:lastPrinted>2019-03-08T10:08:29Z</cp:lastPrinted>
  <dcterms:created xsi:type="dcterms:W3CDTF">2014-02-15T10:05:44Z</dcterms:created>
  <dcterms:modified xsi:type="dcterms:W3CDTF">2024-09-06T12:08:27Z</dcterms:modified>
</cp:coreProperties>
</file>